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codeName="ThisWorkbook" defaultThemeVersion="124226"/>
  <mc:AlternateContent xmlns:mc="http://schemas.openxmlformats.org/markup-compatibility/2006">
    <mc:Choice Requires="x15">
      <x15ac:absPath xmlns:x15ac="http://schemas.microsoft.com/office/spreadsheetml/2010/11/ac" url="https://elektroprimorska.sharepoint.com/sites/komisijajn/Shared Documents/2020/24. RTP Izola - izgradnja 110 kV GIS stikališča/Objava/Objavljeni PP in rekap/"/>
    </mc:Choice>
  </mc:AlternateContent>
  <bookViews>
    <workbookView xWindow="-105" yWindow="-105" windowWidth="19425" windowHeight="10425" tabRatio="862"/>
  </bookViews>
  <sheets>
    <sheet name="Rekapitulacija" sheetId="14" r:id="rId1"/>
    <sheet name="UVODNE PRIPOMBE" sheetId="69" r:id="rId2"/>
    <sheet name="1" sheetId="48" r:id="rId3"/>
    <sheet name="2.1" sheetId="53" r:id="rId4"/>
    <sheet name="2.2" sheetId="55" r:id="rId5"/>
    <sheet name="2.3" sheetId="56" r:id="rId6"/>
    <sheet name="2.4" sheetId="57" r:id="rId7"/>
    <sheet name="2.5" sheetId="58" r:id="rId8"/>
    <sheet name="2.6" sheetId="59" r:id="rId9"/>
    <sheet name="2.7" sheetId="60" r:id="rId10"/>
    <sheet name="2.8" sheetId="61" r:id="rId11"/>
    <sheet name="2.9" sheetId="62" r:id="rId12"/>
    <sheet name="3.1" sheetId="63" r:id="rId13"/>
    <sheet name="3.2" sheetId="64" r:id="rId14"/>
    <sheet name="4" sheetId="65" r:id="rId15"/>
    <sheet name="5" sheetId="66" r:id="rId16"/>
    <sheet name="6" sheetId="68" r:id="rId17"/>
  </sheets>
  <definedNames>
    <definedName name="_xlnm._FilterDatabase" localSheetId="2" hidden="1">'1'!$D$1:$D$1963</definedName>
    <definedName name="_xlnm._FilterDatabase" localSheetId="3" hidden="1">'2.1'!$D$1:$D$1838</definedName>
    <definedName name="_xlnm._FilterDatabase" localSheetId="4" hidden="1">'2.2'!$D$1:$D$1838</definedName>
    <definedName name="_xlnm._FilterDatabase" localSheetId="5" hidden="1">'2.3'!$D$1:$D$1878</definedName>
    <definedName name="_xlnm._FilterDatabase" localSheetId="6" hidden="1">'2.4'!$D$1:$D$1851</definedName>
    <definedName name="_xlnm._FilterDatabase" localSheetId="7" hidden="1">'2.5'!$D$1:$D$1849</definedName>
    <definedName name="_xlnm._FilterDatabase" localSheetId="8" hidden="1">'2.6'!$D$1:$D$1851</definedName>
    <definedName name="_xlnm._FilterDatabase" localSheetId="9" hidden="1">'2.7'!$D$1:$D$1833</definedName>
    <definedName name="_xlnm._FilterDatabase" localSheetId="10" hidden="1">'2.8'!$D$1:$D$1848</definedName>
    <definedName name="_xlnm._FilterDatabase" localSheetId="11" hidden="1">'2.9'!$D$1:$D$1848</definedName>
    <definedName name="_xlnm._FilterDatabase" localSheetId="12" hidden="1">'3.1'!$D$1:$D$1973</definedName>
    <definedName name="_xlnm._FilterDatabase" localSheetId="13" hidden="1">'3.2'!$D$1:$D$1964</definedName>
    <definedName name="_xlnm._FilterDatabase" localSheetId="14" hidden="1">'4'!$D$1:$D$2055</definedName>
    <definedName name="_xlnm._FilterDatabase" localSheetId="15" hidden="1">'5'!$D$1:$D$1841</definedName>
    <definedName name="_xlnm._FilterDatabase" localSheetId="16" hidden="1">'6'!$D$1:$D$1823</definedName>
    <definedName name="_xlnm._FilterDatabase" localSheetId="1" hidden="1">'UVODNE PRIPOMBE'!#REF!</definedName>
    <definedName name="_xlnm.Print_Area" localSheetId="2">'1'!$A$1:$F$124</definedName>
    <definedName name="_xlnm.Print_Area" localSheetId="3">'2.1'!$A$1:$F$14</definedName>
    <definedName name="_xlnm.Print_Area" localSheetId="4">'2.2'!$A$1:$F$43</definedName>
    <definedName name="_xlnm.Print_Area" localSheetId="5">'2.3'!$A$1:$F$54</definedName>
    <definedName name="_xlnm.Print_Area" localSheetId="6">'2.4'!$A$1:$F$27</definedName>
    <definedName name="_xlnm.Print_Area" localSheetId="7">'2.5'!$A$1:$F$25</definedName>
    <definedName name="_xlnm.Print_Area" localSheetId="8">'2.6'!$A$1:$F$27</definedName>
    <definedName name="_xlnm.Print_Area" localSheetId="9">'2.7'!$A$1:$F$9</definedName>
    <definedName name="_xlnm.Print_Area" localSheetId="10">'2.8'!$A$1:$F$24</definedName>
    <definedName name="_xlnm.Print_Area" localSheetId="11">'2.9'!$A$1:$F$24</definedName>
    <definedName name="_xlnm.Print_Area" localSheetId="12">'3.1'!$A$1:$F$149</definedName>
    <definedName name="_xlnm.Print_Area" localSheetId="13">'3.2'!$A$1:$F$219</definedName>
    <definedName name="_xlnm.Print_Area" localSheetId="14">'4'!$A$1:$F$231</definedName>
    <definedName name="_xlnm.Print_Area" localSheetId="15">'5'!$A$1:$F$53</definedName>
    <definedName name="_xlnm.Print_Area" localSheetId="0">Rekapitulacija!$A$1:$H$28</definedName>
    <definedName name="_xlnm.Print_Area" localSheetId="1">'UVODNE PRIPOMBE'!$A$1:$B$1466</definedName>
    <definedName name="_xlnm.Print_Titles" localSheetId="2">'1'!$1:$2</definedName>
    <definedName name="_xlnm.Print_Titles" localSheetId="3">'2.1'!$1:$2</definedName>
    <definedName name="_xlnm.Print_Titles" localSheetId="4">'2.2'!$1:$2</definedName>
    <definedName name="_xlnm.Print_Titles" localSheetId="5">'2.3'!$1:$2</definedName>
    <definedName name="_xlnm.Print_Titles" localSheetId="6">'2.4'!$1:$2</definedName>
    <definedName name="_xlnm.Print_Titles" localSheetId="7">'2.5'!$1:$2</definedName>
    <definedName name="_xlnm.Print_Titles" localSheetId="8">'2.6'!$1:$2</definedName>
    <definedName name="_xlnm.Print_Titles" localSheetId="9">'2.7'!$1:$2</definedName>
    <definedName name="_xlnm.Print_Titles" localSheetId="10">'2.8'!$1:$2</definedName>
    <definedName name="_xlnm.Print_Titles" localSheetId="11">'2.9'!$1:$2</definedName>
    <definedName name="_xlnm.Print_Titles" localSheetId="12">'3.1'!$1:$2</definedName>
    <definedName name="_xlnm.Print_Titles" localSheetId="13">'3.2'!$1:$2</definedName>
    <definedName name="_xlnm.Print_Titles" localSheetId="14">'4'!$1:$2</definedName>
    <definedName name="_xlnm.Print_Titles" localSheetId="15">'5'!$1:$2</definedName>
    <definedName name="_xlnm.Print_Titles" localSheetId="16">'6'!$1:$2</definedName>
    <definedName name="_xlnm.Print_Titles" localSheetId="1">'UVODNE PRIPOMBE'!$1467:$1467</definedName>
  </definedNames>
  <calcPr calcId="171027"/>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53" l="1"/>
  <c r="F13" i="53" l="1"/>
  <c r="D35" i="63" l="1"/>
  <c r="D49" i="66" l="1"/>
  <c r="D48" i="66"/>
  <c r="D131" i="65" l="1"/>
  <c r="D129" i="65"/>
  <c r="F129" i="65" s="1"/>
  <c r="D128" i="65"/>
  <c r="F128" i="65"/>
  <c r="D30" i="66"/>
  <c r="D29" i="66"/>
  <c r="F68" i="64" l="1"/>
  <c r="F65" i="64" l="1"/>
  <c r="F84" i="64"/>
  <c r="F83" i="64"/>
  <c r="F82" i="64"/>
  <c r="F81" i="64"/>
  <c r="F80" i="64"/>
  <c r="F60" i="64"/>
  <c r="F88" i="64"/>
  <c r="F67" i="64" l="1"/>
  <c r="F66" i="64"/>
  <c r="D119" i="64" l="1"/>
  <c r="D116" i="64"/>
  <c r="F95" i="64"/>
  <c r="F75" i="64" l="1"/>
  <c r="F74" i="64"/>
  <c r="F59" i="64"/>
  <c r="F48" i="63"/>
  <c r="F47" i="63"/>
  <c r="D195" i="64" l="1"/>
  <c r="D139" i="63" l="1"/>
  <c r="F139" i="63" s="1"/>
  <c r="D137" i="63"/>
  <c r="F137" i="63" s="1"/>
  <c r="D134" i="63"/>
  <c r="F134" i="63" s="1"/>
  <c r="D132" i="63"/>
  <c r="F132" i="63" l="1"/>
  <c r="F90" i="48"/>
  <c r="D111" i="63" l="1"/>
  <c r="D106" i="63"/>
  <c r="D107" i="63"/>
  <c r="D108" i="63"/>
  <c r="D109" i="63"/>
  <c r="F109" i="63" s="1"/>
  <c r="D110" i="63"/>
  <c r="F30" i="66"/>
  <c r="F29" i="66"/>
  <c r="D153" i="64" l="1"/>
  <c r="D216" i="64" l="1"/>
  <c r="F216" i="64" s="1"/>
  <c r="F215" i="64"/>
  <c r="D192" i="64"/>
  <c r="F192" i="64" s="1"/>
  <c r="F191" i="64"/>
  <c r="F189" i="64"/>
  <c r="D188" i="64"/>
  <c r="F188" i="64" s="1"/>
  <c r="D115" i="63"/>
  <c r="D198" i="64"/>
  <c r="D200" i="64"/>
  <c r="D199" i="64"/>
  <c r="D24" i="59" l="1"/>
  <c r="F24" i="59" s="1"/>
  <c r="D44" i="63" l="1"/>
  <c r="D45" i="63" s="1"/>
  <c r="F45" i="63" s="1"/>
  <c r="F44" i="63" l="1"/>
  <c r="D67" i="63"/>
  <c r="F67" i="63" s="1"/>
  <c r="D66" i="63"/>
  <c r="F66" i="63" s="1"/>
  <c r="D64" i="63"/>
  <c r="F64" i="63" s="1"/>
  <c r="D63" i="63"/>
  <c r="F63" i="63" s="1"/>
  <c r="D62" i="63"/>
  <c r="F62" i="63" s="1"/>
  <c r="D61" i="63"/>
  <c r="F61" i="63" s="1"/>
  <c r="F89" i="48" l="1"/>
  <c r="F54" i="48"/>
  <c r="F115" i="48"/>
  <c r="D151" i="64" l="1"/>
  <c r="D149" i="64"/>
  <c r="D150" i="64"/>
  <c r="D148" i="64"/>
  <c r="D152" i="64"/>
  <c r="D112" i="64"/>
  <c r="D202" i="64" l="1"/>
  <c r="D203" i="64"/>
  <c r="F203" i="64" s="1"/>
  <c r="D205" i="64"/>
  <c r="D206" i="64"/>
  <c r="D181" i="64"/>
  <c r="D179" i="64"/>
  <c r="D176" i="64"/>
  <c r="F176" i="64" s="1"/>
  <c r="D170" i="64"/>
  <c r="F170" i="64" s="1"/>
  <c r="D162" i="64"/>
  <c r="F162" i="64" s="1"/>
  <c r="D168" i="64"/>
  <c r="F168" i="64" s="1"/>
  <c r="D167" i="64"/>
  <c r="F167" i="64" s="1"/>
  <c r="D165" i="64"/>
  <c r="F165" i="64" s="1"/>
  <c r="D161" i="64"/>
  <c r="F161" i="64" s="1"/>
  <c r="D159" i="64"/>
  <c r="F159" i="64" s="1"/>
  <c r="D158" i="64"/>
  <c r="F158" i="64" s="1"/>
  <c r="D175" i="64"/>
  <c r="F175" i="64" s="1"/>
  <c r="D172" i="64"/>
  <c r="F172" i="64" s="1"/>
  <c r="F163" i="64"/>
  <c r="F164" i="64"/>
  <c r="F169" i="64"/>
  <c r="D137" i="64"/>
  <c r="F132" i="64"/>
  <c r="F152" i="64"/>
  <c r="F151" i="64"/>
  <c r="F150" i="64"/>
  <c r="F149" i="64"/>
  <c r="F148" i="64"/>
  <c r="F145" i="64"/>
  <c r="F141" i="64"/>
  <c r="F146" i="64"/>
  <c r="F144" i="64"/>
  <c r="F143" i="64"/>
  <c r="F142" i="64"/>
  <c r="F130" i="64"/>
  <c r="F127" i="64"/>
  <c r="F128" i="64"/>
  <c r="D8" i="64"/>
  <c r="D120" i="64"/>
  <c r="F120" i="64" s="1"/>
  <c r="F119" i="64"/>
  <c r="D109" i="64"/>
  <c r="D118" i="64" s="1"/>
  <c r="F118" i="64" s="1"/>
  <c r="D108" i="64"/>
  <c r="D117" i="64" s="1"/>
  <c r="F117" i="64" s="1"/>
  <c r="F116" i="64"/>
  <c r="D27" i="64"/>
  <c r="D24" i="64"/>
  <c r="D14" i="64"/>
  <c r="D23" i="64" s="1"/>
  <c r="D7" i="64"/>
  <c r="D21" i="64" s="1"/>
  <c r="D129" i="63"/>
  <c r="F129" i="63" s="1"/>
  <c r="D125" i="63"/>
  <c r="F125" i="63" s="1"/>
  <c r="D124" i="63"/>
  <c r="F124" i="63" s="1"/>
  <c r="D116" i="63"/>
  <c r="F116" i="63" s="1"/>
  <c r="D113" i="63"/>
  <c r="F113" i="63" s="1"/>
  <c r="F111" i="63"/>
  <c r="D112" i="63"/>
  <c r="F112" i="63" s="1"/>
  <c r="F110" i="63"/>
  <c r="F107" i="63"/>
  <c r="D105" i="63"/>
  <c r="D104" i="63"/>
  <c r="F126" i="63"/>
  <c r="F117" i="63"/>
  <c r="D99" i="63"/>
  <c r="D87" i="63"/>
  <c r="F87" i="63" s="1"/>
  <c r="D24" i="57"/>
  <c r="D89" i="63"/>
  <c r="F89" i="63" s="1"/>
  <c r="D88" i="63"/>
  <c r="F88" i="63" s="1"/>
  <c r="F80" i="63"/>
  <c r="F81" i="63"/>
  <c r="F82" i="63"/>
  <c r="F83" i="63"/>
  <c r="D74" i="63"/>
  <c r="D68" i="63"/>
  <c r="D69" i="63"/>
  <c r="D58" i="63"/>
  <c r="D57" i="63"/>
  <c r="D56" i="63"/>
  <c r="D190" i="64"/>
  <c r="D54" i="63"/>
  <c r="D187" i="64" s="1"/>
  <c r="D55" i="63"/>
  <c r="D40" i="63"/>
  <c r="D37" i="63"/>
  <c r="D36" i="63"/>
  <c r="D34" i="63"/>
  <c r="D33" i="63"/>
  <c r="D32" i="63"/>
  <c r="D31" i="63"/>
  <c r="D30" i="63"/>
  <c r="D20" i="63"/>
  <c r="D19" i="63"/>
  <c r="D29" i="63"/>
  <c r="D21" i="63"/>
  <c r="D16" i="66"/>
  <c r="D15" i="66"/>
  <c r="D17" i="63"/>
  <c r="D16" i="63"/>
  <c r="D15" i="63"/>
  <c r="D14" i="63"/>
  <c r="D11" i="63"/>
  <c r="B6" i="48"/>
  <c r="B5" i="66"/>
  <c r="B6" i="65"/>
  <c r="B5" i="63"/>
  <c r="B5" i="62"/>
  <c r="B5" i="61"/>
  <c r="B5" i="60"/>
  <c r="B6" i="59"/>
  <c r="B5" i="58"/>
  <c r="B5" i="57"/>
  <c r="B5" i="56"/>
  <c r="D38" i="55"/>
  <c r="D11" i="55"/>
  <c r="F11" i="55" s="1"/>
  <c r="D37" i="55" l="1"/>
  <c r="D39" i="55" s="1"/>
  <c r="D174" i="64"/>
  <c r="F174" i="64" s="1"/>
  <c r="D29" i="64"/>
  <c r="D12" i="63"/>
  <c r="F12" i="63" s="1"/>
  <c r="F18" i="68"/>
  <c r="D50" i="66"/>
  <c r="D44" i="66"/>
  <c r="D43" i="66"/>
  <c r="D41" i="66"/>
  <c r="D42" i="66"/>
  <c r="D37" i="66"/>
  <c r="D38" i="66" s="1"/>
  <c r="D35" i="66"/>
  <c r="D34" i="66"/>
  <c r="D25" i="66"/>
  <c r="D24" i="66"/>
  <c r="D23" i="66"/>
  <c r="D17" i="66"/>
  <c r="D12" i="66"/>
  <c r="D13" i="66" s="1"/>
  <c r="D11" i="66"/>
  <c r="F131" i="65"/>
  <c r="D220" i="65"/>
  <c r="D213" i="65"/>
  <c r="D205" i="65"/>
  <c r="D197" i="65"/>
  <c r="D189" i="65"/>
  <c r="D181" i="65"/>
  <c r="D173" i="65"/>
  <c r="D165" i="65"/>
  <c r="D157" i="65"/>
  <c r="D143" i="65"/>
  <c r="F143" i="65" s="1"/>
  <c r="D222" i="65"/>
  <c r="D223" i="65" s="1"/>
  <c r="D215" i="65"/>
  <c r="D208" i="65"/>
  <c r="D199" i="65"/>
  <c r="D191" i="65"/>
  <c r="D183" i="65"/>
  <c r="D184" i="65" s="1"/>
  <c r="D175" i="65"/>
  <c r="D176" i="65" s="1"/>
  <c r="D167" i="65"/>
  <c r="D159" i="65"/>
  <c r="D160" i="65" s="1"/>
  <c r="D151" i="65"/>
  <c r="D152" i="65" s="1"/>
  <c r="D221" i="65"/>
  <c r="D214" i="65"/>
  <c r="D207" i="65"/>
  <c r="D206" i="65"/>
  <c r="D198" i="65"/>
  <c r="D190" i="65"/>
  <c r="D182" i="65"/>
  <c r="D174" i="65"/>
  <c r="D166" i="65"/>
  <c r="D158" i="65"/>
  <c r="D150" i="65"/>
  <c r="D149" i="65"/>
  <c r="D144" i="65"/>
  <c r="D219" i="65"/>
  <c r="D212" i="65"/>
  <c r="D204" i="65"/>
  <c r="D196" i="65"/>
  <c r="D188" i="65"/>
  <c r="D180" i="65"/>
  <c r="D172" i="65"/>
  <c r="D164" i="65"/>
  <c r="D156" i="65"/>
  <c r="D142" i="65"/>
  <c r="F142" i="65" s="1"/>
  <c r="D148" i="65"/>
  <c r="F148" i="65" s="1"/>
  <c r="D218" i="65"/>
  <c r="F218" i="65" s="1"/>
  <c r="D211" i="65"/>
  <c r="F211" i="65" s="1"/>
  <c r="D203" i="65"/>
  <c r="F203" i="65" s="1"/>
  <c r="D195" i="65"/>
  <c r="F195" i="65" s="1"/>
  <c r="D187" i="65"/>
  <c r="F187" i="65" s="1"/>
  <c r="D179" i="65"/>
  <c r="F179" i="65" s="1"/>
  <c r="D171" i="65"/>
  <c r="F171" i="65" s="1"/>
  <c r="D163" i="65"/>
  <c r="F163" i="65" s="1"/>
  <c r="D155" i="65"/>
  <c r="F155" i="65" s="1"/>
  <c r="D147" i="65"/>
  <c r="F147" i="65" s="1"/>
  <c r="D141" i="65"/>
  <c r="F141" i="65" s="1"/>
  <c r="D122" i="65"/>
  <c r="D123" i="65"/>
  <c r="D121" i="65"/>
  <c r="F121" i="65" s="1"/>
  <c r="D120" i="65"/>
  <c r="F120" i="65" s="1"/>
  <c r="D113" i="65"/>
  <c r="D112" i="65"/>
  <c r="D119" i="65" s="1"/>
  <c r="D130" i="65"/>
  <c r="D117" i="65"/>
  <c r="D101" i="65"/>
  <c r="D102" i="65"/>
  <c r="D99" i="65"/>
  <c r="F99" i="65" s="1"/>
  <c r="D84" i="65"/>
  <c r="D68" i="65"/>
  <c r="D53" i="65"/>
  <c r="D37" i="65"/>
  <c r="D98" i="65"/>
  <c r="D83" i="65"/>
  <c r="D67" i="65"/>
  <c r="D51" i="65"/>
  <c r="F51" i="65" s="1"/>
  <c r="D35" i="65"/>
  <c r="D93" i="65"/>
  <c r="D77" i="65"/>
  <c r="D62" i="65"/>
  <c r="D46" i="65"/>
  <c r="D30" i="65"/>
  <c r="D92" i="65"/>
  <c r="D97" i="65" s="1"/>
  <c r="D76" i="65"/>
  <c r="D82" i="65" s="1"/>
  <c r="D61" i="65"/>
  <c r="D66" i="65" s="1"/>
  <c r="D45" i="65"/>
  <c r="D50" i="65" s="1"/>
  <c r="D29" i="65"/>
  <c r="D34" i="65" s="1"/>
  <c r="F52" i="65"/>
  <c r="F36" i="65"/>
  <c r="F10" i="53"/>
  <c r="F12" i="53"/>
  <c r="F9" i="53"/>
  <c r="D21" i="65"/>
  <c r="D20" i="65"/>
  <c r="D17" i="65"/>
  <c r="D16" i="65"/>
  <c r="D12" i="65"/>
  <c r="D13" i="65"/>
  <c r="F144" i="65" l="1"/>
  <c r="D15" i="65"/>
  <c r="D22" i="65" s="1"/>
  <c r="F16" i="63"/>
  <c r="F15" i="63"/>
  <c r="F14" i="63"/>
  <c r="D10" i="62"/>
  <c r="D9" i="62"/>
  <c r="F15" i="65" l="1"/>
  <c r="D23" i="65"/>
  <c r="D24" i="65"/>
  <c r="D12" i="57"/>
  <c r="D19" i="62"/>
  <c r="D11" i="61"/>
  <c r="D12" i="59"/>
  <c r="F10" i="61"/>
  <c r="F9" i="61"/>
  <c r="D26" i="59"/>
  <c r="D25" i="59"/>
  <c r="D23" i="59"/>
  <c r="D21" i="59"/>
  <c r="D20" i="59"/>
  <c r="D19" i="59"/>
  <c r="D16" i="59"/>
  <c r="D15" i="59"/>
  <c r="D13" i="59"/>
  <c r="D11" i="59"/>
  <c r="D10" i="59"/>
  <c r="D20" i="58"/>
  <c r="D10" i="58"/>
  <c r="D9" i="58"/>
  <c r="D22" i="57"/>
  <c r="D21" i="57"/>
  <c r="D18" i="57"/>
  <c r="D17" i="57"/>
  <c r="D11" i="57"/>
  <c r="D8" i="57"/>
  <c r="D14" i="57" s="1"/>
  <c r="F45" i="64"/>
  <c r="F44" i="64"/>
  <c r="F43" i="64"/>
  <c r="F47" i="56"/>
  <c r="D15" i="57" l="1"/>
  <c r="D9" i="57"/>
  <c r="D10" i="57" s="1"/>
  <c r="D17" i="59"/>
  <c r="F53" i="56"/>
  <c r="F51" i="56"/>
  <c r="F50" i="56"/>
  <c r="F49" i="56"/>
  <c r="F48" i="56"/>
  <c r="F46" i="56"/>
  <c r="F45" i="56"/>
  <c r="F44" i="56"/>
  <c r="F43" i="56"/>
  <c r="F42" i="56"/>
  <c r="F41" i="56"/>
  <c r="F40" i="56"/>
  <c r="F38" i="56"/>
  <c r="F37" i="56"/>
  <c r="F36" i="56"/>
  <c r="F35" i="56"/>
  <c r="F33" i="56"/>
  <c r="D32" i="56"/>
  <c r="F32" i="56" s="1"/>
  <c r="F30" i="56"/>
  <c r="F28" i="56"/>
  <c r="F27" i="56"/>
  <c r="F26" i="56"/>
  <c r="F25" i="56"/>
  <c r="F24" i="56"/>
  <c r="F23" i="56"/>
  <c r="F22" i="56"/>
  <c r="F21" i="56"/>
  <c r="F20" i="56"/>
  <c r="F19" i="56"/>
  <c r="F18" i="56"/>
  <c r="F16" i="56"/>
  <c r="F15" i="56"/>
  <c r="F13" i="56"/>
  <c r="F12" i="56"/>
  <c r="F11" i="56"/>
  <c r="F10" i="56"/>
  <c r="F8" i="56"/>
  <c r="F7" i="56"/>
  <c r="F6" i="56"/>
  <c r="F54" i="56" l="1"/>
  <c r="D36" i="55"/>
  <c r="F39" i="55" s="1"/>
  <c r="D26" i="55"/>
  <c r="D24" i="48"/>
  <c r="F24" i="48" s="1"/>
  <c r="D23" i="48"/>
  <c r="D13" i="55"/>
  <c r="D212" i="64"/>
  <c r="F95" i="63"/>
  <c r="F97" i="63"/>
  <c r="F98" i="63"/>
  <c r="F96" i="63"/>
  <c r="F93" i="63"/>
  <c r="D19" i="64"/>
  <c r="D16" i="64"/>
  <c r="D144" i="63"/>
  <c r="D143" i="63"/>
  <c r="D141" i="63"/>
  <c r="D136" i="63"/>
  <c r="D127" i="63" s="1"/>
  <c r="D121" i="63"/>
  <c r="F121" i="63" s="1"/>
  <c r="D120" i="63"/>
  <c r="F120" i="63" s="1"/>
  <c r="D119" i="63"/>
  <c r="F119" i="63" s="1"/>
  <c r="F127" i="63" l="1"/>
  <c r="D128" i="63"/>
  <c r="F128" i="63" s="1"/>
  <c r="F25" i="66" l="1"/>
  <c r="F107" i="65" l="1"/>
  <c r="F108" i="65"/>
  <c r="F173" i="64" l="1"/>
  <c r="F177" i="64" s="1"/>
  <c r="F210" i="64"/>
  <c r="F209" i="64"/>
  <c r="F211" i="64"/>
  <c r="D37" i="64"/>
  <c r="D35" i="64"/>
  <c r="D40" i="64" s="1"/>
  <c r="F40" i="64" s="1"/>
  <c r="D36" i="64"/>
  <c r="F36" i="64" s="1"/>
  <c r="D34" i="64"/>
  <c r="D39" i="64" s="1"/>
  <c r="F39" i="64" s="1"/>
  <c r="F35" i="64" l="1"/>
  <c r="D41" i="64"/>
  <c r="F41" i="64" s="1"/>
  <c r="D22" i="48"/>
  <c r="D21" i="48"/>
  <c r="D20" i="48"/>
  <c r="D31" i="55"/>
  <c r="D32" i="55" s="1"/>
  <c r="D10" i="55"/>
  <c r="D14" i="55" s="1"/>
  <c r="D12" i="55" s="1"/>
  <c r="D25" i="55"/>
  <c r="F88" i="48"/>
  <c r="F53" i="48"/>
  <c r="F57" i="48" l="1"/>
  <c r="F15" i="48" l="1"/>
  <c r="F202" i="64" l="1"/>
  <c r="F9" i="64"/>
  <c r="F37" i="64" l="1"/>
  <c r="F21" i="65" l="1"/>
  <c r="F20" i="65"/>
  <c r="F19" i="65"/>
  <c r="F11" i="68" l="1"/>
  <c r="F14" i="68"/>
  <c r="F13" i="68"/>
  <c r="F12" i="68"/>
  <c r="F10" i="68"/>
  <c r="F9" i="68"/>
  <c r="F8" i="68"/>
  <c r="F19" i="68"/>
  <c r="F17" i="68"/>
  <c r="F16" i="68"/>
  <c r="F27" i="68"/>
  <c r="F26" i="68"/>
  <c r="F25" i="68"/>
  <c r="F24" i="68"/>
  <c r="F23" i="68"/>
  <c r="F22" i="68"/>
  <c r="F21" i="68"/>
  <c r="F36" i="68"/>
  <c r="F35" i="68"/>
  <c r="F34" i="68"/>
  <c r="F33" i="68"/>
  <c r="F32" i="68"/>
  <c r="F31" i="68"/>
  <c r="F30" i="68"/>
  <c r="F29" i="68"/>
  <c r="F45" i="68"/>
  <c r="F44" i="68"/>
  <c r="F43" i="68"/>
  <c r="F42" i="68"/>
  <c r="F41" i="68"/>
  <c r="F40" i="68"/>
  <c r="F39" i="68"/>
  <c r="F38" i="68"/>
  <c r="F52" i="68"/>
  <c r="F51" i="68"/>
  <c r="F50" i="68"/>
  <c r="F49" i="68"/>
  <c r="F48" i="68"/>
  <c r="F53" i="68" l="1"/>
  <c r="H19" i="14" s="1"/>
  <c r="B19" i="14" l="1"/>
  <c r="A19" i="14"/>
  <c r="B18" i="14"/>
  <c r="A18" i="14"/>
  <c r="F50" i="66"/>
  <c r="F49" i="66"/>
  <c r="F48" i="66"/>
  <c r="F44" i="66"/>
  <c r="F43" i="66"/>
  <c r="F42" i="66"/>
  <c r="F41" i="66"/>
  <c r="F38" i="66"/>
  <c r="F37" i="66"/>
  <c r="F36" i="66"/>
  <c r="F35" i="66"/>
  <c r="F34" i="66"/>
  <c r="F31" i="66"/>
  <c r="F26" i="66"/>
  <c r="F24" i="66"/>
  <c r="D21" i="66"/>
  <c r="D20" i="66"/>
  <c r="F20" i="66" s="1"/>
  <c r="F16" i="66"/>
  <c r="F15" i="66"/>
  <c r="F12" i="66"/>
  <c r="F11" i="66"/>
  <c r="F17" i="66"/>
  <c r="F13" i="66"/>
  <c r="B17" i="14"/>
  <c r="A17" i="14"/>
  <c r="F228" i="65"/>
  <c r="F227" i="65"/>
  <c r="F226" i="65"/>
  <c r="F191" i="65"/>
  <c r="F183" i="65"/>
  <c r="F167" i="65"/>
  <c r="F223" i="65"/>
  <c r="F222" i="65"/>
  <c r="F220" i="65"/>
  <c r="F219" i="65"/>
  <c r="F215" i="65"/>
  <c r="F214" i="65"/>
  <c r="F213" i="65"/>
  <c r="F212" i="65"/>
  <c r="F208" i="65"/>
  <c r="F207" i="65"/>
  <c r="F206" i="65"/>
  <c r="F205" i="65"/>
  <c r="F204" i="65"/>
  <c r="F198" i="65"/>
  <c r="F197" i="65"/>
  <c r="F196" i="65"/>
  <c r="D192" i="65"/>
  <c r="F192" i="65" s="1"/>
  <c r="F190" i="65"/>
  <c r="F189" i="65"/>
  <c r="F188" i="65"/>
  <c r="F184" i="65"/>
  <c r="F182" i="65"/>
  <c r="F181" i="65"/>
  <c r="F180" i="65"/>
  <c r="F176" i="65"/>
  <c r="F174" i="65"/>
  <c r="F173" i="65"/>
  <c r="F172" i="65"/>
  <c r="D168" i="65"/>
  <c r="F168" i="65" s="1"/>
  <c r="F166" i="65"/>
  <c r="F165" i="65"/>
  <c r="F164" i="65"/>
  <c r="F160" i="65"/>
  <c r="F158" i="65"/>
  <c r="F157" i="65"/>
  <c r="F156" i="65"/>
  <c r="F152" i="65"/>
  <c r="F150" i="65"/>
  <c r="F149" i="65"/>
  <c r="F130" i="65"/>
  <c r="F125" i="65"/>
  <c r="F124" i="65"/>
  <c r="F122" i="65"/>
  <c r="F119" i="65"/>
  <c r="F118" i="65"/>
  <c r="F117" i="65"/>
  <c r="F113" i="65"/>
  <c r="F112" i="65"/>
  <c r="F105" i="65"/>
  <c r="F102" i="65"/>
  <c r="F89" i="65"/>
  <c r="F88" i="65"/>
  <c r="F87" i="65"/>
  <c r="F86" i="65"/>
  <c r="F85" i="65"/>
  <c r="F84" i="65"/>
  <c r="F83" i="65"/>
  <c r="F82" i="65"/>
  <c r="F81" i="65"/>
  <c r="F80" i="65"/>
  <c r="F78" i="65"/>
  <c r="F77" i="65"/>
  <c r="F76" i="65"/>
  <c r="F73" i="65"/>
  <c r="F72" i="65"/>
  <c r="F71" i="65"/>
  <c r="F70" i="65"/>
  <c r="F69" i="65"/>
  <c r="F68" i="65"/>
  <c r="F67" i="65"/>
  <c r="F66" i="65"/>
  <c r="F65" i="65"/>
  <c r="F63" i="65"/>
  <c r="F62" i="65"/>
  <c r="F61" i="65"/>
  <c r="F58" i="65"/>
  <c r="F57" i="65"/>
  <c r="F56" i="65"/>
  <c r="F55" i="65"/>
  <c r="F54" i="65"/>
  <c r="F53" i="65"/>
  <c r="F50" i="65"/>
  <c r="F49" i="65"/>
  <c r="F47" i="65"/>
  <c r="F46" i="65"/>
  <c r="F45" i="65"/>
  <c r="F42" i="65"/>
  <c r="F41" i="65"/>
  <c r="F40" i="65"/>
  <c r="F39" i="65"/>
  <c r="F38" i="65"/>
  <c r="F37" i="65"/>
  <c r="F35" i="65"/>
  <c r="F34" i="65"/>
  <c r="F33" i="65"/>
  <c r="F31" i="65"/>
  <c r="F30" i="65"/>
  <c r="F29" i="65"/>
  <c r="F123" i="65"/>
  <c r="D115" i="65"/>
  <c r="F115" i="65" s="1"/>
  <c r="D114" i="65"/>
  <c r="F104" i="65"/>
  <c r="F103" i="65"/>
  <c r="F101" i="65"/>
  <c r="F100" i="65"/>
  <c r="F98" i="65"/>
  <c r="F97" i="65"/>
  <c r="D96" i="65"/>
  <c r="F96" i="65" s="1"/>
  <c r="D94" i="65"/>
  <c r="D95" i="65" s="1"/>
  <c r="F95" i="65" s="1"/>
  <c r="F93" i="65"/>
  <c r="F92" i="65"/>
  <c r="D79" i="65"/>
  <c r="F79" i="65" s="1"/>
  <c r="D64" i="65"/>
  <c r="F64" i="65" s="1"/>
  <c r="D48" i="65"/>
  <c r="F48" i="65" s="1"/>
  <c r="D32" i="65"/>
  <c r="F32" i="65" s="1"/>
  <c r="F24" i="65"/>
  <c r="F17" i="65"/>
  <c r="F16" i="65"/>
  <c r="F13" i="65"/>
  <c r="F23" i="65"/>
  <c r="F51" i="66" l="1"/>
  <c r="F39" i="66"/>
  <c r="D116" i="65"/>
  <c r="F116" i="65" s="1"/>
  <c r="D22" i="66"/>
  <c r="F22" i="66" s="1"/>
  <c r="F45" i="66"/>
  <c r="F23" i="66"/>
  <c r="F21" i="66"/>
  <c r="F18" i="66"/>
  <c r="F151" i="65"/>
  <c r="F175" i="65"/>
  <c r="F199" i="65"/>
  <c r="F221" i="65"/>
  <c r="F12" i="65"/>
  <c r="F114" i="65"/>
  <c r="F94" i="65"/>
  <c r="F132" i="65" s="1"/>
  <c r="F159" i="65"/>
  <c r="D200" i="65"/>
  <c r="F200" i="65" s="1"/>
  <c r="F22" i="65"/>
  <c r="F229" i="65" l="1"/>
  <c r="F32" i="66"/>
  <c r="F53" i="66" s="1"/>
  <c r="F25" i="65"/>
  <c r="H18" i="14" l="1"/>
  <c r="F231" i="65"/>
  <c r="H17" i="14" s="1"/>
  <c r="B16" i="14"/>
  <c r="A16" i="14"/>
  <c r="F212" i="64"/>
  <c r="F206" i="64"/>
  <c r="F205" i="64"/>
  <c r="F195" i="64"/>
  <c r="F200" i="64"/>
  <c r="F199" i="64"/>
  <c r="F198" i="64"/>
  <c r="F190" i="64"/>
  <c r="F187" i="64"/>
  <c r="F183" i="64"/>
  <c r="F181" i="64"/>
  <c r="F179" i="64"/>
  <c r="D182" i="64"/>
  <c r="F182" i="64" s="1"/>
  <c r="F153" i="64"/>
  <c r="F154" i="64" s="1"/>
  <c r="F137" i="64"/>
  <c r="F138" i="64" s="1"/>
  <c r="F134" i="64"/>
  <c r="F133" i="64"/>
  <c r="F112" i="64"/>
  <c r="F109" i="64"/>
  <c r="F108" i="64"/>
  <c r="F104" i="64"/>
  <c r="F99" i="64"/>
  <c r="F98" i="64"/>
  <c r="F97" i="64"/>
  <c r="F96" i="64"/>
  <c r="F57" i="64"/>
  <c r="F56" i="64"/>
  <c r="F55" i="64"/>
  <c r="F34" i="64"/>
  <c r="F31" i="64"/>
  <c r="F29" i="64"/>
  <c r="F27" i="64"/>
  <c r="F25" i="64"/>
  <c r="F24" i="64"/>
  <c r="F23" i="64"/>
  <c r="F21" i="64"/>
  <c r="F19" i="64"/>
  <c r="F18" i="64"/>
  <c r="F16" i="64"/>
  <c r="F14" i="64"/>
  <c r="D20" i="64"/>
  <c r="F20" i="64" s="1"/>
  <c r="D17" i="64"/>
  <c r="F17" i="64" s="1"/>
  <c r="F213" i="64" l="1"/>
  <c r="F217" i="64"/>
  <c r="F193" i="64"/>
  <c r="F135" i="64"/>
  <c r="F121" i="64"/>
  <c r="F46" i="64"/>
  <c r="F184" i="64"/>
  <c r="F8" i="64"/>
  <c r="F7" i="64"/>
  <c r="F146" i="63"/>
  <c r="F145" i="63"/>
  <c r="F144" i="63"/>
  <c r="F143" i="63"/>
  <c r="F141" i="63"/>
  <c r="F136" i="63"/>
  <c r="F115" i="63"/>
  <c r="F114" i="63"/>
  <c r="F108" i="63"/>
  <c r="F106" i="63"/>
  <c r="F105" i="63"/>
  <c r="F104" i="63"/>
  <c r="F99" i="63"/>
  <c r="F92" i="63"/>
  <c r="F90" i="63"/>
  <c r="F100" i="63"/>
  <c r="F85" i="63"/>
  <c r="F84" i="63"/>
  <c r="F78" i="63"/>
  <c r="F77" i="63"/>
  <c r="F76" i="63"/>
  <c r="F74" i="63"/>
  <c r="F73" i="63"/>
  <c r="F72" i="63"/>
  <c r="F71" i="63"/>
  <c r="F68" i="63"/>
  <c r="F58" i="63"/>
  <c r="F57" i="63"/>
  <c r="F56" i="63"/>
  <c r="F39" i="63"/>
  <c r="F55" i="63"/>
  <c r="F53" i="63"/>
  <c r="F69" i="63"/>
  <c r="F54" i="63"/>
  <c r="F42" i="63"/>
  <c r="F41" i="63"/>
  <c r="F40" i="63"/>
  <c r="F37" i="63"/>
  <c r="F36" i="63"/>
  <c r="F35" i="63"/>
  <c r="F33" i="63"/>
  <c r="F34" i="63"/>
  <c r="F29" i="63"/>
  <c r="F32" i="63"/>
  <c r="F31" i="63"/>
  <c r="F30" i="63"/>
  <c r="D27" i="63"/>
  <c r="F27" i="63" s="1"/>
  <c r="D26" i="63"/>
  <c r="F26" i="63" s="1"/>
  <c r="D25" i="63"/>
  <c r="F17" i="63"/>
  <c r="F21" i="63"/>
  <c r="F20" i="63"/>
  <c r="F19" i="63"/>
  <c r="F11" i="63"/>
  <c r="B15" i="14"/>
  <c r="A15" i="14"/>
  <c r="B14" i="14"/>
  <c r="A14" i="14"/>
  <c r="B13" i="14"/>
  <c r="A13" i="14"/>
  <c r="F17" i="62"/>
  <c r="F12" i="62"/>
  <c r="F9" i="62"/>
  <c r="F8" i="62"/>
  <c r="F10" i="62"/>
  <c r="F23" i="62"/>
  <c r="F21" i="62"/>
  <c r="F19" i="62"/>
  <c r="F18" i="62"/>
  <c r="F15" i="62"/>
  <c r="F14" i="62"/>
  <c r="F13" i="62"/>
  <c r="F23" i="61"/>
  <c r="F22" i="61"/>
  <c r="F21" i="61"/>
  <c r="F19" i="61"/>
  <c r="F18" i="61"/>
  <c r="F17" i="61"/>
  <c r="F15" i="61"/>
  <c r="D20" i="61"/>
  <c r="F20" i="61" s="1"/>
  <c r="D14" i="61"/>
  <c r="F14" i="61" s="1"/>
  <c r="D13" i="61"/>
  <c r="F13" i="61" s="1"/>
  <c r="F11" i="61"/>
  <c r="F24" i="61" s="1"/>
  <c r="B12" i="14"/>
  <c r="A12" i="14"/>
  <c r="D8" i="60"/>
  <c r="F8" i="60" s="1"/>
  <c r="F7" i="60"/>
  <c r="B11" i="14"/>
  <c r="A11" i="14"/>
  <c r="F26" i="59"/>
  <c r="F25" i="59"/>
  <c r="F23" i="59"/>
  <c r="F20" i="59"/>
  <c r="F19" i="59"/>
  <c r="D22" i="59"/>
  <c r="F22" i="59" s="1"/>
  <c r="F16" i="59"/>
  <c r="F15" i="59"/>
  <c r="F13" i="59"/>
  <c r="F12" i="59"/>
  <c r="F17" i="59"/>
  <c r="F11" i="59"/>
  <c r="F10" i="59"/>
  <c r="B10" i="14"/>
  <c r="A10" i="14"/>
  <c r="B9" i="14"/>
  <c r="A9" i="14"/>
  <c r="B8" i="14"/>
  <c r="A8" i="14"/>
  <c r="B7" i="14"/>
  <c r="A7" i="14"/>
  <c r="D21" i="58"/>
  <c r="F21" i="58" s="1"/>
  <c r="D16" i="58"/>
  <c r="F16" i="58" s="1"/>
  <c r="D14" i="58"/>
  <c r="F14" i="58" s="1"/>
  <c r="D13" i="58"/>
  <c r="F13" i="58" s="1"/>
  <c r="D12" i="58"/>
  <c r="F12" i="58" s="1"/>
  <c r="F10" i="58"/>
  <c r="F9" i="58"/>
  <c r="F24" i="58"/>
  <c r="F23" i="58"/>
  <c r="F22" i="58"/>
  <c r="F19" i="58"/>
  <c r="F18" i="58"/>
  <c r="F17" i="58"/>
  <c r="D25" i="57"/>
  <c r="F25" i="57" s="1"/>
  <c r="F22" i="57"/>
  <c r="F21" i="57"/>
  <c r="D19" i="57"/>
  <c r="F19" i="57" s="1"/>
  <c r="F18" i="57"/>
  <c r="F17" i="57"/>
  <c r="F15" i="57"/>
  <c r="F14" i="57"/>
  <c r="F10" i="57"/>
  <c r="F9" i="57"/>
  <c r="F8" i="57"/>
  <c r="F26" i="57"/>
  <c r="F23" i="57"/>
  <c r="F24" i="57"/>
  <c r="F12" i="57"/>
  <c r="F11" i="57"/>
  <c r="H8" i="14"/>
  <c r="F36" i="55"/>
  <c r="D40" i="55"/>
  <c r="F40" i="55" s="1"/>
  <c r="F10" i="64" l="1"/>
  <c r="F219" i="64" s="1"/>
  <c r="H16" i="14" s="1"/>
  <c r="F101" i="63"/>
  <c r="H13" i="14"/>
  <c r="F21" i="59"/>
  <c r="F27" i="59"/>
  <c r="H11" i="14" s="1"/>
  <c r="F22" i="63"/>
  <c r="F9" i="60"/>
  <c r="H12" i="14" s="1"/>
  <c r="F24" i="62"/>
  <c r="H14" i="14" s="1"/>
  <c r="D28" i="63"/>
  <c r="F28" i="63" s="1"/>
  <c r="F130" i="63"/>
  <c r="F147" i="63"/>
  <c r="F25" i="63"/>
  <c r="F20" i="58"/>
  <c r="F25" i="58" s="1"/>
  <c r="H10" i="14" s="1"/>
  <c r="D20" i="57"/>
  <c r="F20" i="57" s="1"/>
  <c r="F49" i="63" l="1"/>
  <c r="F149" i="63" s="1"/>
  <c r="H15" i="14" s="1"/>
  <c r="F27" i="57"/>
  <c r="H9" i="14" s="1"/>
  <c r="F31" i="55"/>
  <c r="D33" i="55"/>
  <c r="F33" i="55" s="1"/>
  <c r="F32" i="55"/>
  <c r="F27" i="55"/>
  <c r="F26" i="55"/>
  <c r="F24" i="55"/>
  <c r="F23" i="55"/>
  <c r="F19" i="55"/>
  <c r="F38" i="55"/>
  <c r="F13" i="55"/>
  <c r="D17" i="55"/>
  <c r="F17" i="55" s="1"/>
  <c r="F23" i="48"/>
  <c r="F22" i="48"/>
  <c r="F20" i="48"/>
  <c r="D25" i="48"/>
  <c r="F25" i="48" s="1"/>
  <c r="F21" i="48"/>
  <c r="F37" i="55" l="1"/>
  <c r="F41" i="55" s="1"/>
  <c r="D15" i="55"/>
  <c r="F15" i="55" s="1"/>
  <c r="F26" i="48"/>
  <c r="F12" i="55"/>
  <c r="F34" i="55"/>
  <c r="F10" i="55"/>
  <c r="F25" i="55"/>
  <c r="F28" i="55" s="1"/>
  <c r="D18" i="55"/>
  <c r="F18" i="55" s="1"/>
  <c r="F14" i="55"/>
  <c r="F20" i="55" l="1"/>
  <c r="F43" i="55"/>
  <c r="H7" i="14" s="1"/>
  <c r="F121" i="48" l="1"/>
  <c r="B6" i="14"/>
  <c r="A6" i="14"/>
  <c r="A5" i="14"/>
  <c r="F8" i="53"/>
  <c r="F7" i="53"/>
  <c r="F6" i="53"/>
  <c r="F5" i="53"/>
  <c r="F14" i="53" s="1"/>
  <c r="F120" i="48"/>
  <c r="F119" i="48"/>
  <c r="F118" i="48"/>
  <c r="F117" i="48"/>
  <c r="F114" i="48"/>
  <c r="F113" i="48"/>
  <c r="F112" i="48"/>
  <c r="F111" i="48"/>
  <c r="F110" i="48"/>
  <c r="F109" i="48"/>
  <c r="F108" i="48"/>
  <c r="F107" i="48"/>
  <c r="F106" i="48"/>
  <c r="F105" i="48"/>
  <c r="F104" i="48"/>
  <c r="F103" i="48"/>
  <c r="F102" i="48"/>
  <c r="F101" i="48"/>
  <c r="F31" i="48"/>
  <c r="F98" i="48"/>
  <c r="F97" i="48"/>
  <c r="F95" i="48"/>
  <c r="F94" i="48"/>
  <c r="F93" i="48"/>
  <c r="D96" i="48"/>
  <c r="F96" i="48" s="1"/>
  <c r="F83" i="48"/>
  <c r="F84" i="48"/>
  <c r="F85" i="48"/>
  <c r="F86" i="48"/>
  <c r="F87" i="48"/>
  <c r="F82" i="48"/>
  <c r="F81" i="48"/>
  <c r="F79" i="48"/>
  <c r="F78" i="48"/>
  <c r="F77" i="48"/>
  <c r="F76" i="48"/>
  <c r="F75" i="48"/>
  <c r="F74" i="48"/>
  <c r="F73" i="48"/>
  <c r="F72" i="48"/>
  <c r="F71" i="48"/>
  <c r="F70" i="48"/>
  <c r="F69" i="48"/>
  <c r="F68" i="48"/>
  <c r="F67" i="48"/>
  <c r="F66" i="48"/>
  <c r="F65" i="48"/>
  <c r="F64" i="48"/>
  <c r="F62" i="48"/>
  <c r="F61" i="48"/>
  <c r="F59" i="48"/>
  <c r="F58" i="48"/>
  <c r="F34" i="48"/>
  <c r="F35" i="48"/>
  <c r="F36" i="48"/>
  <c r="F37" i="48"/>
  <c r="F38" i="48"/>
  <c r="F39" i="48"/>
  <c r="F40" i="48"/>
  <c r="F41" i="48"/>
  <c r="F42" i="48"/>
  <c r="F43" i="48"/>
  <c r="F44" i="48"/>
  <c r="F45" i="48"/>
  <c r="F46" i="48"/>
  <c r="F48" i="48"/>
  <c r="F49" i="48"/>
  <c r="F51" i="48"/>
  <c r="F52" i="48"/>
  <c r="F33" i="48"/>
  <c r="F32" i="48"/>
  <c r="D14" i="48"/>
  <c r="F91" i="48" l="1"/>
  <c r="H6" i="14"/>
  <c r="F99" i="48"/>
  <c r="F122" i="48"/>
  <c r="F11" i="48" l="1"/>
  <c r="F12" i="48" l="1"/>
  <c r="F14" i="48"/>
  <c r="F16" i="48" l="1"/>
  <c r="F124" i="48" s="1"/>
  <c r="H5" i="14" s="1"/>
  <c r="B5" i="14" l="1"/>
  <c r="H20" i="14" l="1"/>
  <c r="H21" i="14" s="1"/>
  <c r="H22" i="14" l="1"/>
</calcChain>
</file>

<file path=xl/sharedStrings.xml><?xml version="1.0" encoding="utf-8"?>
<sst xmlns="http://schemas.openxmlformats.org/spreadsheetml/2006/main" count="4873" uniqueCount="3005">
  <si>
    <t>Rekapitulacija ponudbe JN: Gradbena in obrtniška dela</t>
  </si>
  <si>
    <t>Poz.</t>
  </si>
  <si>
    <t>Specifikacije</t>
  </si>
  <si>
    <t>Znesek EP (€)</t>
  </si>
  <si>
    <t>SKUPAJ</t>
  </si>
  <si>
    <t>DDV (22 %)</t>
  </si>
  <si>
    <t>PONUDBENA VREDNOST z DDV</t>
  </si>
  <si>
    <t>OPOMBA:</t>
  </si>
  <si>
    <t xml:space="preserve"> - Ponudnik naj izpolnjuje samo stolpec "CENA NA ENOTO (€)" - razen v primeru, ko je to drugače zahtevano. Vrednost mora biti zaokrožena na dve </t>
  </si>
  <si>
    <t xml:space="preserve"> decimalki z ročnim vnosom cen. Kopiraj/Prilepi ni dovoljeno uporabljati za vpis cen. Lastnosti tabel se ne sme spreminjati!</t>
  </si>
  <si>
    <t>- Zavarovanje dobav in storitev v svojem imenu in v imenu kupca za tveganja v času nakladanja, transporta, razkladanja, zagonskih preizkusov in</t>
  </si>
  <si>
    <t xml:space="preserve"> poskusnega obratovanja za obseg dobave mora biti vključeno v ponudbi pri vseh postavkah.</t>
  </si>
  <si>
    <r>
      <rPr>
        <b/>
        <sz val="10"/>
        <rFont val="Arial"/>
        <family val="2"/>
      </rPr>
      <t xml:space="preserve">UVODNE PRIPOMBE, OPOMBE IN ZAHTEVE K POPISU:
</t>
    </r>
    <r>
      <rPr>
        <sz val="10"/>
        <rFont val="Arial"/>
        <family val="2"/>
        <charset val="238"/>
      </rPr>
      <t xml:space="preserve">
~</t>
    </r>
    <r>
      <rPr>
        <sz val="10"/>
        <rFont val="Arial"/>
        <family val="2"/>
      </rPr>
      <t xml:space="preserve"> Popis je veljaven le v kombinaciji z vsemi grafičnimi prilogami, risbami, načrti, tehničnim poročilom, shemami in ostalimi sestavinami projekta.
~ Uporaba popisa brez vseh prej omenjenih sestavin projekta ni dovoljena. 
~ Ponudnik pred izdelavo ponudbe opravi ogled na licu mesta in se seznani z dejanskim stanjem objekta, pogoji izvajanja del in predvidenimi posegi. Vsi eventualni drugačni predlogi rešitev morajo biti potrjeni s strani vodje projekta.
~ Pri nekaterih pozicijah, kjer je naveden ponujeni  material, je možna po predhodnem dogovoru z vodjo projekta tudi izbira drugega materiala z enakimi lastnostmi in kvaliteto.
~ Vsa dela morajo biti izvedena kvalitetno iz materialov z zahtevanimi lastnostmi.
~ Vsa dela je potrebno izvajati po veljavnih normativih skladno z obveznimi SIST-i. Pri izvedbi je potrebno upoštevati tudi navodila proizvajalca materiala, ki se uporablja.
~ Vsako opisano delo vsebuje osnovni in pomožni material, prevoz materiala in orodja na objekt, notranje transporte, vse delo, sprotno oz. vsakodnevno čiščenje in odstranitev odpadkov po dovršenem delu.
~ Ponudba mora vsebovati ves pritrdilni, vezni, spojni, tesnilni material in ustrezne podkonstrukcije, dobavo in vgradnjo zaključnih profilov, pločevin in kotnikov, izdelavo vseh potrebnih podkonstrukcij, dodatnega izsekavanja AB in zidanih sten, ponovnega odpiranja montažnih sten in podobna dela potrebna za vgradnjo posameznega elementa objekta.
~ Dobavitelj je dolžan v ceni zajeti in dobaviti vse elemente opreme, dela in storitve, ki niso precizno navedene, so pa bistvenega pomena za funkcionalnost in skladnost s predpisi ter kontinuirano, zanesljivo in varno obratovanje opreme, del in storitev.
~ Izvajalec je dolžan izvesti vsa pripravljalna dela za obseg del v tem popisu del, organizacijo gradbišča skladno z Varnostnim načrtom (kontejner, gradbiščne ograje, sanitarije, oznake in ostalo), kar se upošteva v cenah!
~ Izvajalec je dolžan rušitveni in ostali material ločevati po klasifikaciji posameznega odpadka in predati pooblaščenemu zbiralcu gradbenih odpadkov, kar se upošteva v cenah! Vse navedene količine zemeljskih del so podane v raščenem - komprimiranem stanju.</t>
    </r>
  </si>
  <si>
    <t>→</t>
  </si>
  <si>
    <t>V cenah morajo biti upoštevani vsi stroški za zagotavljanje varnosti in zdravja pri delu v skladu z Uredbo o zagotavljanju varnosti in zdravja pri delu na začasnih in premičnih gradbiščih. V cenah je upoštevano varovanje gradbišča za čas gradnje (do vzpostavitve zunanje ograje RTP).</t>
  </si>
  <si>
    <t>V cenah morajo biti nključena izdelava vseh sprememb, nastalih med gradnjo, ki bodo služile za izdelavo PID dokumentacije. Vse spremembe je potrebno sproti na vse prikaze vnesti v PZI dokumentacijo in jih predstaviti ter celotno dokumentacijo predati projektantu.</t>
  </si>
  <si>
    <t>Ves odpadni material od rušenja in višek izkopa je potrebno odpeljati na stalno urejeno deponijo, ki jo preskrbi izvajalec z vsemi stroški deponiranja (takse itd.). Vsi stroški odvoza in deponiranja so zajeti v cenah posameznih postavk.</t>
  </si>
  <si>
    <t>Evidenčne liste hraniti v posebno mapo za končno poročilo o ravnanju z odpadki. Izvajalec sproti dostavlja evidenčne liste odpeljanih odpadkov. Po končanih rušitvenih delih izdela poročilo o nastalih gradbenih odpadkih in o ravnanju z njimi.</t>
  </si>
  <si>
    <t>Ponudba mora zajemati izdelavo vseh drobnih gradbenih, obrtniških in instalacijskih del ter ostalega četudi to ni neposredno navedeno v popisu del, a je kljub temu razvidno iz grafičnih prilog in ostalih prej naštetih sestavnih delov DZR.</t>
  </si>
  <si>
    <t>Z oddajo ponudbe ponudnik izjavlja, da je skrbno preučil vse prej omenjene sestavne dele DZR in da je v skupno vrednost vključil vsa potrebna dela ter material, ki zagotavljajo popolno, zaključeno in celostno izvedbo objekta, kot tudi vsa dela, ki niso neposredno opisana ali našteta v tekstualnem delu popisa, a so kljub temu razvidna iz grafičnih prilog in ostalih prej naštetih sestavnih delov DZR.</t>
  </si>
  <si>
    <t>Ponudnik z oddajo ponudbe prav tako izjavlja, da je dokumentacija popolna in da je sposoben v popolnosti kvalitetno izvesti celotno predmetno investicijo.</t>
  </si>
  <si>
    <t>Za vse nejasnosti mora ponudnik v razpisnem roku, ki je namenjen postavljanju vprašanj, pisno kontaktirati investitorja. Kontaktiranje ali postavljanje vprašanj neposredno vodji projekta, projektantskim organizacijam, ki so sodelovale pri izdelavi DZR ali posameznim pooblaščenim inženirjem, ni dovoljeno.</t>
  </si>
  <si>
    <t>Vsaka opisana pozicija (rušenje in novo) je mišljena kompletno z vsemi deli, materialom, pomožnim materialom, spojnimi in pritrdilnimi sredstvi, transporti za vgrajen oz. montiran izdelek in vse delo, zaključno čiščenje in odstranitev odpadkov po dovršenem delu.</t>
  </si>
  <si>
    <t>Dela izvajati po predloženi PZI tehnični dokumentaciji, po detajlih in navodilih vodje projekta.</t>
  </si>
  <si>
    <t>Rušenja izvesti v čim manjšem možnem obsegu. Vse ruševine in odstranjene neuporabne elemente odstraniti iz objekta, naložiti na kamion in odpeljati na stalno deponijo. Strošek odvoza in deponiranja ruševin je upoštevan v ceni rušenj in odstranitvah razen pri elementih in opremi, za katero je dogovorjeno, da ostane last investitorja! Izvedba rušenja skladno z zahtevami  zakonodajalca in veljavnimi okoljskimi standardi!</t>
  </si>
  <si>
    <t>Vsi projekti z načrti in vsemi grafičnimi prilogami, kot tudi ves tekstovni del, vsa poročila in vsi opisi ter sheme so sestavni del tega popisa del in jih mora ponudnik obvezno upoštevati pri sami izdelavi ponudbe. Navedene načrte, grafične priloge, ves tekstualni del, vsa poročila, vsa poročila in vsi opisi ter sheme mora ponudnik upoštevati tudi če se besedilo popisa ne sklicuje na konkretne sheme.</t>
  </si>
  <si>
    <t>Z oddajo ponudbe vsak ponudnik izjavlja, da je skrbno preučil vse sestavne dele DZR in da je v skupno vrednost vključil vsa potrebna dela ter material, ki zagotavljajo popolno, zaključeno in celostno izvedbo objekta, kot tudi vsa dela, ki niso neposredno opisana ali našteta v tekstualnem delu popisa, a so kljub temu razvidna iz grafičnih prilog in ostalih sestavnih delov DZR.</t>
  </si>
  <si>
    <t>Vsak ponudnik z oddajo ponudbe prav tako izjavlja, da je dokumentacija popolna in da je sposoben v popolnosti kvalitetno izvesti celotno predmetno investicijo.</t>
  </si>
  <si>
    <t>Vse mere in število obrtniških izdelkov predhodno obvezno kontrolirati na objektu.</t>
  </si>
  <si>
    <t>Cene na enoto morajo vsebovati: 
~ vsa potrebna pripravljalna dela in čiščenje podlog
~ merjenje na objektu
~ vse potrebne transporte do mesta vgrajevanja
~ skladiščenje materiala na gradbišču
~ preizkušanje kvalitete za vse materiale, ki se vgrajujejo in dokazovanje kvalitete z izjavami o skladnosti
~ usklajevanje z osnovnim načrtom
~ izdelava tehnoloških risb za proizvodnjo, z detajli, ki jih je potrebno izvesti za dokončanje posameznih del, tudi če niso podrobno navedeni in opisani v popisu in načrtih, so pa nujna za pravilno funkcioniranje posameznih sistemov in elementov. 
~ ves potreben glavni, pomožni, nerjaveči pritrdilni in vezni material
~ izdelavo vseh potrebnih zaključkov
~ vsa potrebna pomožna sredstva za vgrajevanje na objektu kot so lestve, odri in podobno
~ terminsko usklajevanje del z ostalimi izvajalci na objektu
~ popravilo eventualno povzročene škode ostalim izvajalcem na gradbišču
~ čiščenje prostorov in odvoz odpadnega materiala na stalno deponijo in plačilo takse
~ zaščita izdelkov pred poškodbami do predaje investitorju
~ vsa dela in ukrepe po določilih zakona o varstvu pri delu
~ izpuste za ozemljitve za vse armiranobetonske konstrukcije
~ fazno izvajanje del
~ izvajanje del v neposredni bližini delov pod 110 kV napetostjo
~ pisni sporazum iz varstva pri delu.</t>
  </si>
  <si>
    <t>Dela izvajati skladno z: 
~ Uredbo o vzdrževalnih delih v javno korist na področju energetike (Uradni list RS, št. 37/18).
~  Uredbo o zagotavljanju varnosti in zdravja pri delu na začasnih in premičnih gradbiščih (Uradni list RS, št. 83/05 in 43/11 – ZVZD-1)
~ Pravilnikom o zahtevah za zagotavljanje varnosti in zdravja delavcev na delovnih mestih (Uradni list RS, št. 89/99, 39/05 in 43/11 – ZVZD-1) 
in ostalo merodajno zakonodajo in standardi.</t>
  </si>
  <si>
    <r>
      <t xml:space="preserve">Ponudnik naj se podrobno seznani z </t>
    </r>
    <r>
      <rPr>
        <b/>
        <sz val="11"/>
        <rFont val="Arial"/>
        <family val="2"/>
      </rPr>
      <t>Načrtom s področja geotehnologije in rudarstva - Geotehnično poročilo</t>
    </r>
    <r>
      <rPr>
        <sz val="11"/>
        <rFont val="Arial"/>
        <family val="2"/>
        <charset val="238"/>
      </rPr>
      <t xml:space="preserve"> – Določitev sestave tal, hidrogeoloških
razmer s podanimi predlogi stabilizacije in dreniranja, št. geo/p-9/2019, maj 2019:
Povzetek iz geološkega poročila - geološka sestava terena: 
~ globine cca. 0 - 0,7 m: grušči, peski - heterogena sestava (umetna nasutja - cestni ustroj) 
~ globina cca. 2,0 m: rjave peščene, meljne gline z vložki peskov, gruščev  
~ globine cca. pod 3,0 m: gruščnat material, gline </t>
    </r>
  </si>
  <si>
    <t>Vsa izkopna dela in transporti izkopnih materialov se določajo po prostornini zemljine v raščenem stanju. Vsa nasipna dela se določajo po prostornini zemljine v vgrajenem stanju.
Upoštevati naklon brežin 1:1 oziroma varovanje izkopanih jarkov, delo med ovirami in navodila geomehanika.
Določitev zemeljskih del po dejansko izvedenih količinah na podlagi profilov posnetih pred in po izkopavanju.</t>
  </si>
  <si>
    <r>
      <rPr>
        <b/>
        <sz val="11"/>
        <rFont val="Arial"/>
        <family val="2"/>
      </rPr>
      <t>Zaščitni ukrepi v času gradnje:</t>
    </r>
    <r>
      <rPr>
        <sz val="11"/>
        <rFont val="Arial"/>
        <family val="2"/>
        <charset val="238"/>
      </rPr>
      <t xml:space="preserve">
Glede na termin gradnje se vkop v hribino izvaja v ustreznem začasnem naklonu (45 - 50°), v kampadah oz. z uporabo drugih načinov zaščite - velja kot opcija za izvedbo drenažnega zasipa.
Vsa zemeljska dela se obvezno izvaja v suhem vremenu in pod sprotnim inženirsko - geološkim nadzorom.
</t>
    </r>
    <r>
      <rPr>
        <b/>
        <sz val="11"/>
        <rFont val="Arial"/>
        <family val="2"/>
      </rPr>
      <t>Ocenjene izkopne kategorije:</t>
    </r>
    <r>
      <rPr>
        <sz val="11"/>
        <rFont val="Arial"/>
        <family val="2"/>
        <charset val="238"/>
      </rPr>
      <t xml:space="preserve">
(Kategorizacija zemljin in kamnin: Dopolnila splošnih in tehničnih pogojev, IV. knjiga, DARS, 2001): 3. skupina (vezljiva in nevezljiva zrnata zemljina - zgornji sloj zemljin, umetna nasutja), 4. skupina (mehka kamnina - meljni grušči) in 5. skupina (trda kamnina - kompakten peščenjak - izkop za podkletitev)</t>
    </r>
  </si>
  <si>
    <t>1.</t>
  </si>
  <si>
    <r>
      <rPr>
        <b/>
        <sz val="11"/>
        <rFont val="Arial"/>
        <family val="2"/>
        <charset val="238"/>
      </rPr>
      <t>UKREPI ZA VARSTVO PRI DELU:</t>
    </r>
    <r>
      <rPr>
        <sz val="11"/>
        <rFont val="Arial"/>
        <family val="2"/>
        <charset val="238"/>
      </rPr>
      <t xml:space="preserve"> Vsi potrebni varnostni ukrepi in zaščite v smislu Zakona o varnosti in zdravja pri delu ter Pravilnika o listinah za  sredstva pri delu, ki veljajo pri izvajanju navedenih del. </t>
    </r>
  </si>
  <si>
    <t>2.</t>
  </si>
  <si>
    <r>
      <rPr>
        <b/>
        <sz val="11"/>
        <rFont val="Arial"/>
        <family val="2"/>
        <charset val="238"/>
      </rPr>
      <t>PARCELA IN TRANSPORTI TER DELOVNI REŽIM:</t>
    </r>
    <r>
      <rPr>
        <sz val="11"/>
        <rFont val="Arial"/>
        <family val="2"/>
        <charset val="238"/>
      </rPr>
      <t xml:space="preserve">  Vsi notranji in zunanji vertikalni in horizontalni transporti do začasnih in stalnih deponij ter vsa pripravljalna, pomožna in zaključna dela pri posameznih postavkah. (tudi, če to ni posebej navedeno v posameznih postavkah). Odpadni in izkopani material se deponira na deponije, katere morajo imeti upravna dovoljenja za deponiranje posameznih vrst materiala. Ponudnik izbere lokacije posameznih deponij v skladu s tem popisom in v cenah za E.M. upošteva vse stroške deponiranja in transporta. Prikazane količine v tem popisu so v raščenem ali vgrajenem stanju. Posamezni koeficienti razrahljivosti morajo biti upoštevani že v ceni za enoto mere. Pri cenah za enoto je upoštevati specifičnost  lokacije</t>
    </r>
    <r>
      <rPr>
        <sz val="11"/>
        <rFont val="Arial"/>
        <family val="2"/>
      </rPr>
      <t xml:space="preserve">  (delno utesnjenost) glede na manipulacijo, delno sprotni dovoz materiala in premik strojev, mehanizacije ali delovnih naprav. Hkrati je upoštevati oteževalno okoliščino: neposredno bližino objektov in ovir</t>
    </r>
    <r>
      <rPr>
        <sz val="11"/>
        <rFont val="Arial"/>
        <family val="2"/>
        <charset val="238"/>
      </rPr>
      <t xml:space="preserve">, ki bosta v času predmetne gradnje aktivna in temu nameniti posebno varnost </t>
    </r>
  </si>
  <si>
    <t>3.</t>
  </si>
  <si>
    <r>
      <rPr>
        <b/>
        <sz val="11"/>
        <rFont val="Arial"/>
        <family val="2"/>
        <charset val="238"/>
      </rPr>
      <t xml:space="preserve">KVALITETA MATERIALOV IN OPREME: </t>
    </r>
    <r>
      <rPr>
        <sz val="11"/>
        <rFont val="Arial"/>
        <family val="2"/>
        <charset val="238"/>
      </rPr>
      <t>Vgrajeni material in oprema mora ustrezati veljavnim normativom in  predpisanim standardom, ter ustrezati kvaliteti določeni z veljavno zakonodajo ter predmetno DZR dokumentacijo. Ponudnik to dokaže s predložitvijo ustreznih izjav o ustreznosti, garancijskih listov in CE certifikatov pred samim vgrajevanjem, kar pomeni da je pred izvedbo potrebno izdelati TEE (tehno-ekonomski) elaborat ter ga predložiti nadzoru v pregled in potrditev. Pridobitev teh listin mora biti vkalkulirana v cenah po enoti.  Projektna in tehnična dokumentacija v celoti je sestavni del tega popisa.</t>
    </r>
  </si>
  <si>
    <t>4.</t>
  </si>
  <si>
    <r>
      <rPr>
        <b/>
        <sz val="11"/>
        <rFont val="Arial"/>
        <family val="2"/>
        <charset val="238"/>
      </rPr>
      <t xml:space="preserve">TEHNIČNE ZAHTEVE: </t>
    </r>
    <r>
      <rPr>
        <sz val="11"/>
        <rFont val="Arial"/>
        <family val="2"/>
        <charset val="238"/>
      </rPr>
      <t xml:space="preserve">V kolikor v poziciji ni navedeno drugače , veljajo kot kriteriji enakovrednosti, kot za primer navedenim izvedbam vse tehnične  specifikacije za posamezne elemente ali pa za sistem , ki je opisan  - naveden v tehničnih podlogah proizvajalca, katerega sistem je naveden kot primer načina izvedbe in doseganja kvalitete. </t>
    </r>
  </si>
  <si>
    <t>5.</t>
  </si>
  <si>
    <r>
      <rPr>
        <b/>
        <sz val="11"/>
        <rFont val="Arial"/>
        <family val="2"/>
        <charset val="238"/>
      </rPr>
      <t xml:space="preserve">ZAŠČITA GRADBIŠČA IN TEHNIKE: </t>
    </r>
    <r>
      <rPr>
        <sz val="11"/>
        <rFont val="Arial"/>
        <family val="2"/>
        <charset val="238"/>
      </rPr>
      <t xml:space="preserve">V času izdelave objekta morajo biti vsi vgrajeni materiali kot tudi začasno deponiran material na delovišču in skladiščih zaščiteni pred fizičnimi poškodbami, dežjem, mrazom in hudim vetrom ter ostalimi škodljivimi vremenskimi pogoji. 
</t>
    </r>
    <r>
      <rPr>
        <b/>
        <sz val="11"/>
        <rFont val="Arial"/>
        <family val="2"/>
      </rPr>
      <t>Začasne deponije na trasi 110 kV KBV Šoštanj niso dovoljene.</t>
    </r>
  </si>
  <si>
    <t>6.</t>
  </si>
  <si>
    <r>
      <rPr>
        <b/>
        <sz val="11"/>
        <rFont val="Arial"/>
        <family val="2"/>
        <charset val="238"/>
      </rPr>
      <t>POGOJI SOGLASIJ:</t>
    </r>
    <r>
      <rPr>
        <sz val="11"/>
        <rFont val="Arial"/>
        <family val="2"/>
        <charset val="238"/>
      </rPr>
      <t xml:space="preserve"> Pri izvajanju objekta je obvezno upoštevati požarni elaborat ali načrt za predmetni objekt ter vse ostale pogoje posameznih soglasodajalcev, izdelovalcev posameznih načrtov in gradbenega dovoljenja.  Pred pričetkom del mora izvajalec dodatno natančno pregledati obstoječe stanje na lokaciji gradnje - na gradbeni parceli in se seznaniti z že izvedenimi zakoličbami komunalnih primarnih in sekundarnih vodov, pregledati eventualno izdelan PZI načrt gradbenih konstrukcij, PZI načrt arhitekture, PZI električnih inštalacij, naprav in opreme in PZI načrt strojnih inštalacij, naprav in opreme, vse elaborate in poročila ter morebitne ugotovljene pripombe posredovati investitorju. </t>
    </r>
  </si>
  <si>
    <t>7.</t>
  </si>
  <si>
    <r>
      <rPr>
        <b/>
        <sz val="11"/>
        <rFont val="Arial"/>
        <family val="2"/>
        <charset val="238"/>
      </rPr>
      <t xml:space="preserve">PRIPRAVLJALNA IN ZAKLJUČNA DELA: </t>
    </r>
    <r>
      <rPr>
        <sz val="11"/>
        <rFont val="Arial"/>
        <family val="2"/>
        <charset val="238"/>
      </rPr>
      <t xml:space="preserve">V vseh cenah za enoto mere morajo biti vkalkulirana popolnoma vsa pripravljalna, pomožna in zaključna dela, ki pripadajo k posamezni postavki in so potrebna za nemoteno izvajanje del! Ponudnik mora v posameznih cenah za enoto mere upoštevati vse potrebne vertikalne in horizontalne transporte ter upoštevati velikost in konfiguracijo gradbene parcele, zato bo potreben sprotni dovoz materiala in opreme. </t>
    </r>
  </si>
  <si>
    <t>8.</t>
  </si>
  <si>
    <r>
      <rPr>
        <b/>
        <sz val="11"/>
        <rFont val="Arial"/>
        <family val="2"/>
        <charset val="238"/>
      </rPr>
      <t xml:space="preserve">NORMATIVI ZA DOLOČITEV DEL: </t>
    </r>
    <r>
      <rPr>
        <sz val="11"/>
        <rFont val="Arial"/>
        <family val="2"/>
        <charset val="238"/>
      </rPr>
      <t>Vsebina popisa je izdelana na podlagi trenutno veljavnih predpisov in standardov. Količine so izračunane na podlagi GNG (giposs) normativov in veljajo v nadaljevanju tudi kot kriterij za določitev posameznih količin (v kolikor to ni drugače določeno v posameznih postavkah)! Za doseganje predpisane kvalitete in izdelavo posameznih postopkov ter določitev vgrajenih količin veljajo poleg ostalih pripomb tudi GNG splošna določila!</t>
    </r>
  </si>
  <si>
    <t>9.</t>
  </si>
  <si>
    <r>
      <rPr>
        <b/>
        <sz val="11"/>
        <rFont val="Arial"/>
        <family val="2"/>
        <charset val="238"/>
      </rPr>
      <t>IZBIRA MATERIALOV IN OPREME:</t>
    </r>
    <r>
      <rPr>
        <sz val="11"/>
        <rFont val="Arial"/>
        <family val="2"/>
        <charset val="238"/>
      </rPr>
      <t xml:space="preserve"> Posamezni materiali, ki so v popisu navedeni z imenom ali tipom so za ponudnika zaradi doseganja predpisane kvalitete strogo obvezni! Materiali, ki so opremljeni s citatom: "kot na primer ali enakovredno" ali "kot npr. ali/oz., in enakovredno" za ponudnika niso obvezni! Ponudnik lahko ponuja druge artikle, material in opremo, vendar samo pod pogojem, da izpolnjuje navedene kriterije, parametre in lastnosti, ki se v posamezni postavki ali splošni opombi od določenega artikla, opreme ali materiala zahtevajo! Vse vgrajene materiale in opremo, ki kakor koli odstopajo od popisa; ter vse delavniške načrte mora predhodno (pred izvedbo ali vgrajevanjem) obvezno pismeno potrditi vodja projekta!</t>
    </r>
  </si>
  <si>
    <t>10.</t>
  </si>
  <si>
    <r>
      <rPr>
        <b/>
        <sz val="11"/>
        <rFont val="Arial"/>
        <family val="2"/>
        <charset val="238"/>
      </rPr>
      <t>POGOJI PROJEKTA:</t>
    </r>
    <r>
      <rPr>
        <sz val="11"/>
        <rFont val="Arial"/>
        <family val="2"/>
        <charset val="238"/>
      </rPr>
      <t xml:space="preserve"> Pri izvajanju GOI del je obvezno upoštevati vse detajle in navodila projekta, opise posameznih materialov, naprav in opreme ter barvno karto objekta. Vse navedeno je vgrajevati po navodilih izbranega proizvajalca in po predhodni potrditvi projektanta. Vse materiale, obloge, stavbno pohištvo, naprave, opremo in druge artikle pred vgraditvijo obvezno pismeno potrdi vodja projekta in investitor na podlagi predhodno izdelanih ali dostavljenih vzorcev. </t>
    </r>
  </si>
  <si>
    <t>11.</t>
  </si>
  <si>
    <r>
      <rPr>
        <b/>
        <sz val="11"/>
        <rFont val="Arial"/>
        <family val="2"/>
        <charset val="238"/>
      </rPr>
      <t xml:space="preserve">MANJKAJOČI DELI POPISA: </t>
    </r>
    <r>
      <rPr>
        <sz val="11"/>
        <rFont val="Arial"/>
        <family val="2"/>
        <charset val="238"/>
      </rPr>
      <t xml:space="preserve">Posamezne postavke so iz popisa lahko izpuščene predvsem zaradi vsebine in zahtevkov razpisnih pogojev investitorja, ki so za ponudnika strogo obvezni. Eventualne manjkajoče postavke mora ponudnik upoštevati pri oblikovanju ponujene cene za E.M. ostalih drugih postavk; npr.: vsa čiščenja med posameznimi fazami, zaščite, varovanja, pomožna in spremljevalna dela ... Za ta dela izvajalcu stroški posebej ne pripadajo, ker jih mora zajeti v ceno za E.M. </t>
    </r>
  </si>
  <si>
    <t>12.</t>
  </si>
  <si>
    <r>
      <t xml:space="preserve">CENA ZA ENOTO: </t>
    </r>
    <r>
      <rPr>
        <sz val="11"/>
        <rFont val="Arial"/>
        <family val="2"/>
        <charset val="238"/>
      </rPr>
      <t xml:space="preserve">V vsaki ceni po enoti  je potrebno zajeti vse za gotove montirane in finalno obdelane izdelke - kot kompleten izdelek v skladu s projektom, brez dodatnih del za izvedbo posamezne postavke, kompletno z izdelavo vse potrebne izvedbene delavniške in montažne tehnične dokumentacije ter detajlov izvedbe. Vse rešitve je potrebno uskladiti z vodjo projekta oziroma pridobiti potrditev s strani vodje nadzora. V ceni vseh postavk je potrebno zajeti še vse ostalo iz splošnih razpisnih pogojev za izbor izvajalca, kar s tem popisom ni zajeto. </t>
    </r>
    <r>
      <rPr>
        <b/>
        <sz val="11"/>
        <rFont val="Arial"/>
        <family val="2"/>
        <charset val="238"/>
      </rPr>
      <t>POZOR: V primeru da posamezne postavke v popisu ne zajemajo celotnega opisa potrebnega za funkcionalno dokončanje postavke, mora ponudnik izvedbo le tega vključiti v ceno na enoto!</t>
    </r>
  </si>
  <si>
    <t>12.1.</t>
  </si>
  <si>
    <t xml:space="preserve">Pomožna in spremljevalna dela so : </t>
  </si>
  <si>
    <t>12.1.1.</t>
  </si>
  <si>
    <t>Postavitev, premeščanje, odstranitev in čiščenje vseh odrov, ki so potrebni za nemoteno in varno izvajanje del.</t>
  </si>
  <si>
    <t>12.1.2.</t>
  </si>
  <si>
    <t>Pri  cenah za enoto mere je upoštevati specifičnost lokacije  (dokaj ozko in odprto nezavarovano zemljišče in neposredno bližino prometne ceste) glede na skladiščenje materiala – delno sprotni dovoz le tega ter varovanje materiala vse do zaključka funkcionalne celote objekta, v kolikor ni s pogodbo o izvajanju del drugače določeno.</t>
  </si>
  <si>
    <t>12.1.3.</t>
  </si>
  <si>
    <t xml:space="preserve">V kolikor v posamezni poziciji / postavki ni navedeno drugače, veljajo kot kriteriji enakovrednosti, kot za primer navedenim izvedbam vse tehnične  specifikacije za posamezne elemente ali pa za sistem, ki je opisan  - naveden v tehničnih podlogah proizvajalca, katerega sistem je naveden kot primer načina izvedbe in doseganja kvalitete. </t>
  </si>
  <si>
    <t>12.1.4.</t>
  </si>
  <si>
    <t xml:space="preserve">Posamezne prekinitve del, ki so potrebna za druga vezana dela, je vkalkulirati v ceno za enoto mere. </t>
  </si>
  <si>
    <t>12.1.5.</t>
  </si>
  <si>
    <t xml:space="preserve">Pred pričetkom del je izvajalec / ponudnik dolžan preveriti vse količine in dejanske mere na objektu.  Z izvajalcem gradbenih,  obrtniških in instalacijskih del  se je pravočasno dogovoriti in uskladiti  vgradnjo raznih podlog, ki služijo za kasnejšo montažo elementov. </t>
  </si>
  <si>
    <t>12.1.6.</t>
  </si>
  <si>
    <t xml:space="preserve">Vsa zarisovanja, čiščenja, zakoličbe, transportni in manipulativni stroški, pomožna spremljevalna in zaključna dela, kot tudi vrtanja in dolbljenja za kompletno strojno inštalacijo. </t>
  </si>
  <si>
    <t>13.</t>
  </si>
  <si>
    <t xml:space="preserve">Posamezne postavke so iz popisa izpuščene predvsem zaradi vsebine in zahtevkov razpisnih pogojev investitorja, ki so za ponudnika strogo obvezni. Manjkajoče postavke mora ponudnik upoštevati pri oblikovanju ponujene cene za E.M. ostalih drugih postavk: </t>
  </si>
  <si>
    <t>13.1.</t>
  </si>
  <si>
    <t xml:space="preserve">ZAVAROVANJE GRADBIŠČA PROTI OKOLICI:  </t>
  </si>
  <si>
    <t>13.1.1.</t>
  </si>
  <si>
    <t xml:space="preserve">Postavitev in odstranitev PVC in polne gradbiščne ograje z vsemi predvidenimi prestavitvami zaradi faznosti in tehnologije gradnje, z vzdrževanjem in popravili (PVC folija višine 1,8 m pritrjena na ustrezno trdnih stojalih v medsebojni oddaljenosti do 2 m in po potrebi zavarovanimi pred porušitvijo zaradi vetra) za obdobje 5 mesecev: pvc ograja se postavlja proti cesti, proti parkirišču pa polna ograja. </t>
  </si>
  <si>
    <t>13.1.2.</t>
  </si>
  <si>
    <t>Postavitev, prestavitev in odstranitev opozorilnih znakov predvidenih z načrtom ureditve gradbišča (število ponudnik določi z načrtom ureditve gradbišča).</t>
  </si>
  <si>
    <t>13.2.</t>
  </si>
  <si>
    <r>
      <rPr>
        <b/>
        <sz val="11"/>
        <rFont val="Arial"/>
        <family val="2"/>
        <charset val="238"/>
      </rPr>
      <t>UREDITEV, PRESTAVITEV IN VZDRŽEVANJE PISARN, GARDEROB, SANITARNIH VOZLOV IN DRUGIH OBJEKTOV NA GRADBIŠČU:</t>
    </r>
    <r>
      <rPr>
        <sz val="11"/>
        <rFont val="Arial"/>
        <family val="2"/>
        <charset val="238"/>
      </rPr>
      <t xml:space="preserve"> Opomba: V ta namen in za potrebe skladiščenja izvajalec predvidi gradbiščne kontejnerje in stroške povezane z njihovo postavitvijo, odstranitvijo in vzdrževanjem ter transportom: Gradbiščni prostori - izvajalec mora zagotoviti sledeče kontejnerje za celo obdobje gradnje:</t>
    </r>
  </si>
  <si>
    <t>13.2.1.</t>
  </si>
  <si>
    <t xml:space="preserve">Kontejner za sestanke, gradbiščno pisarno za vodstvo gradbišča in gradbiščno dokumentacijo mora biti na gradbišču. </t>
  </si>
  <si>
    <t>13.2.2.</t>
  </si>
  <si>
    <t xml:space="preserve">Prostore za garderobo za vse zaposlene na gradbišču in prostor za skladišče; samo, če izvajalec smatra, da je to potrebno. </t>
  </si>
  <si>
    <t>13.2.3.</t>
  </si>
  <si>
    <t>Izdelava vzdrževanje in odstranitev tesarske lope, ki služi tudi potrebam železokrivcev, občasnega skladišča in shranjevanje orodja  (Ponudnik poleg vrednosti poda velikost in tip tesarske lope - lesena ali tipska) Opomba: postavitev se izvede samo v primeru, če tako predvideva ponudnikova tehnologija.</t>
  </si>
  <si>
    <t>13.2.4.</t>
  </si>
  <si>
    <t>Prenosni nadstrešek za krožno žago iz odrskih cevi s pokrivno cerado (v primeru, da se predvideva uporaba krožne žage na objektu).</t>
  </si>
  <si>
    <t>13.2.5.</t>
  </si>
  <si>
    <t>Postavitev kontejnerjev za gradbene odpadke.</t>
  </si>
  <si>
    <t>13.2.6.</t>
  </si>
  <si>
    <t xml:space="preserve">Postavitev zabojnikov za gradbene odpadke (za celo obdobje gradnje) </t>
  </si>
  <si>
    <t>13.2.7.</t>
  </si>
  <si>
    <t xml:space="preserve">Dobava in postavitev kemičnih stranišč (1 stranišče na 30 delavcev) </t>
  </si>
  <si>
    <t>13.3.</t>
  </si>
  <si>
    <r>
      <rPr>
        <b/>
        <sz val="11"/>
        <rFont val="Arial"/>
        <family val="2"/>
        <charset val="238"/>
      </rPr>
      <t>UREDITEV PROMETNIH KOMUNIKACIJ, ZASILNIH POTI IN IZHODOV</t>
    </r>
    <r>
      <rPr>
        <sz val="11"/>
        <rFont val="Arial"/>
        <family val="2"/>
        <charset val="238"/>
      </rPr>
      <t xml:space="preserve"> (če jih je potrebo organizirati izven prometnih površin): </t>
    </r>
  </si>
  <si>
    <t>13.3.1.</t>
  </si>
  <si>
    <t>Transportne in peš poti na gradbišču (ponudnik mora preučiti možne transportne in peš poti in podati vrednosti in količine izvedbe le teh ter njihovega vzdrževanja). Izvajalec izdela elaborat organizacije gradbišča.</t>
  </si>
  <si>
    <t>13.3.2.</t>
  </si>
  <si>
    <t>Parkirišča za gradbeno mehanizacijo (ponudnik poda vrednosti in količine izvedbe le teh ter njihovega vzdrževanja).</t>
  </si>
  <si>
    <t>13.4.</t>
  </si>
  <si>
    <r>
      <rPr>
        <b/>
        <sz val="11"/>
        <rFont val="Arial"/>
        <family val="2"/>
        <charset val="238"/>
      </rPr>
      <t>UREDITEV DEPONIJ GRADBENEGA MATERIALA</t>
    </r>
    <r>
      <rPr>
        <sz val="11"/>
        <rFont val="Arial"/>
        <family val="2"/>
        <charset val="238"/>
      </rPr>
      <t xml:space="preserve"> (če jih je potrebno organizirati na zelenicah): </t>
    </r>
  </si>
  <si>
    <t>13.4.1.</t>
  </si>
  <si>
    <t xml:space="preserve">Površino, namenjeno deponiranju je potrebno utrditi do ustrezne trdnosti, glede na deponiran material. Zlaganje mora ustrezati lastnostim materialov, preprečeno mora biti nehoteno premikanje. Najvišja dovoljena višina ročno zloženih skladovnic je 2 m z izjemo zlaganja lažjih kosov materiala. </t>
  </si>
  <si>
    <t>13.5.</t>
  </si>
  <si>
    <r>
      <rPr>
        <b/>
        <sz val="11"/>
        <rFont val="Arial"/>
        <family val="2"/>
        <charset val="238"/>
      </rPr>
      <t>NAČIN OZNAČITVE OZ. ZAVAROVANJA NEVARNIH MEST</t>
    </r>
    <r>
      <rPr>
        <sz val="11"/>
        <rFont val="Arial"/>
        <family val="2"/>
        <charset val="238"/>
      </rPr>
      <t xml:space="preserve"> (nevarne cone): </t>
    </r>
  </si>
  <si>
    <t>13.5.1.</t>
  </si>
  <si>
    <t>Signalna vrvica: Signalna vrvica mora biti nameščena na višini od 1,0 do 1,3 m od tal ter pritrjena na stebričke ali druge podpore tako, da se obremenitev iz enega polja ne more prenašati v drugo polje. Stebrički se pri obtežbi 70 N na višini 1,0 m ne smejo prevrniti ali premakniti po podlagi. UPORABA:  S signalno vrvico morajo biti označeni vsi robovi izkopov. Namesti se pa lahko tudi na oddaljenosti vsaj 2 m od previsnega roba.</t>
  </si>
  <si>
    <t>13.5.2.</t>
  </si>
  <si>
    <t>Zaščitna ograja bo podrobneje določena v Varnostnem načrtu.</t>
  </si>
  <si>
    <t>13.5.3.</t>
  </si>
  <si>
    <t>Pokrovi odprtin v tleh: vse nastale manjše odprtine v tleh je potrebno zavarovati s pokrovi iz med seboj zbitih plohov zavarovanimi pred horizontalno odstranitvijo (obtežitev, pritrditev…),</t>
  </si>
  <si>
    <t>13.5.4.</t>
  </si>
  <si>
    <t>Zavarovanje odprtin v stenah: vse odprtine v stenah je potrebno zavarovati z varnostno ograjo višine 1 m +/- 5 cm, kolensko prečko na 47 cm in 15 cm polno zaporo na tleh,</t>
  </si>
  <si>
    <t>13.5.5.</t>
  </si>
  <si>
    <t>Izdelava, prestavitve in odstranitev varnostne ograje na robovih gradbene jame, betonskih plošč in stopnišč na ustrezno trdnih stojalih (300 Nm bočnega pritiska), višine 1 m, dodatno prečko na 47 cm in 15 cm zaporo pri tleh; samo v primeru visoke gradnje.</t>
  </si>
  <si>
    <t>13.5.6.</t>
  </si>
  <si>
    <t>Dobava, postavitev in odstranitev sidrišč za privezovanje pri delih na višini, kjer ni moč postaviti varnostne ograje (uvrtana sidrišča, montažna sidrišča, utežna sidrišča).  Sidrišče mora biti izdelano in testirano skladno s standardom SIST EN 795.</t>
  </si>
  <si>
    <t>13.6.</t>
  </si>
  <si>
    <t>UREDITEV ELEKTRIČNIH NAPELJAV ZA POGON NAPRAV IN STROJEV TER RAZSVETLJAVE NA GRADBIŠČU:</t>
  </si>
  <si>
    <t>13.6.1.</t>
  </si>
  <si>
    <t xml:space="preserve">Ponudnik mora poskrbeti, da bo zadostil potrebam izgradnje predmetnega objekta in pred pričetkom gradnje uredil elektro priključek v obstoječem objektu (pred rušenjem), ter ga ustrezno zavarovati in usposobiti na lokaciji skladno z načrtom o ureditvi gradbišča. </t>
  </si>
  <si>
    <t>13.6.2.</t>
  </si>
  <si>
    <t>Razdelilne gradbiščne elektroomarice: Za odjemna mesta po gradbišču se namestijo razdelilne gradbiščne elektroomarice. Po postavitvi je potrebno opraviti meritve ponikalne upornosti, ki ne sme presegati 100 Ω in ostale potrebne meritve (izenačenje potenciala, izolacijska upornost, delovanje zaščite pred posrednim dotikom, ozemljitvena upornost...)</t>
  </si>
  <si>
    <t>13.6.3.</t>
  </si>
  <si>
    <t xml:space="preserve">Kabli:  Za razvod električne energije od elektro agregata do gradbiščne omarice ter povezavo te z pomožnimi gradbiščni objekti se uporabi kable tipa HO 7 RN-F. Vse električne povezave izvedemo po zraku. </t>
  </si>
  <si>
    <t>13.6.4.</t>
  </si>
  <si>
    <t>Podaljški:  Podaljševalni kabli morajo biti izdelani skladno z zahtevami standarda SIST HD 22.4, v izvedbi vsaj HO 5 RN – F in primerno mehansko zaščiteni ali postavljeni na ustrezni višini v skladu s posebnimi predpisi.</t>
  </si>
  <si>
    <t>13.6.5.</t>
  </si>
  <si>
    <t>Na gradbiščih se lahko uporabljajo samo kabelski koluti (bobni), ki so opremljeni z vtičnicami pokritimi s pokrovčki proti škropljenju vode, termičnim varovalom proti pregretju kabla in težkim gumi kablom tipa HO 7 RN – F. Zagotoviti zadostno število</t>
  </si>
  <si>
    <t>13.7.</t>
  </si>
  <si>
    <t>DOLOČITEV VRSTE IN IZVEDBE GRADBENIH ODROV:</t>
  </si>
  <si>
    <t>13.7.1.</t>
  </si>
  <si>
    <t>Cevni odri: Izdelani morajo biti v skladu z zahtevami standarda SIST HD 1004. Navodila za montažo in uporabo odrov morajo biti izdelana po zahtevah standarda SIST EN 1298 in morajo biti na razpolago na gradbišču ves čas uporabe odrov. Oder mora biti sestavljen in uporabljen v celoti v skladu z navodili tako, da je onemogočen nezaželen premik, porušitev ali prevrnitev. Uporaba premičnih naslonskih lestev za dostop na oder je prepovedana.</t>
  </si>
  <si>
    <t>13.7.2.</t>
  </si>
  <si>
    <t>Lahki premični odri: Izdelani morajo biti v skladu z zahtevami standarda SIST HD 1004. Navodila za montažo in uporabo odrov morajo biti izdelana po zahtevah standarda SIST EN 1298 in morajo biti na razpolago na gradbišču ves čas uporabe odrov. Oder mora biti sestavljen in uporabljen v celoti v skladu z navodili tako, da je onemogočen nezaželen premik, porušitev ali prevrnitev. Uporaba premičnih naslonskih lestev za dostop na oder je prepovedana. Zagotoviti zadostno število ustreznih odrov.</t>
  </si>
  <si>
    <t>13.7.3.</t>
  </si>
  <si>
    <t>Lestve: Na gradbišču se smejo uporabljati atestirane tipske lestve, ki so izdelane po veljavnih predpisih in opremljene z izjavo o skladnosti.</t>
  </si>
  <si>
    <t>13.7.4.</t>
  </si>
  <si>
    <t>Prislonske lestve -  Največja dovoljena višina je 8 m. Izbirati je potrebno jestve takšne dolžine, da segajo 1 m čez oviro. Lesene lestve, ki so daljše od 4 m morajo biti trdno vezane z železnimi zategami. Delo na lestvi v višini nad 3 m zahteva varovanje proti padcu (varnostni pas, lovilna vrv, pritrjena lestev).</t>
  </si>
  <si>
    <t>13.7.5.</t>
  </si>
  <si>
    <t>Dvokrake lestve -  Največja dovoljena višina je 3 m. Lestve morajo biti stabilne, nepoškodovane, z varnostno vrvico med krakoma in nerazdružljivim spojem med krakoma.</t>
  </si>
  <si>
    <t>13.8.</t>
  </si>
  <si>
    <t>UKREPI VARSTVA PRED POŽAROM:</t>
  </si>
  <si>
    <t>13.8.1.</t>
  </si>
  <si>
    <t>Gasilniki v vseh pomožnih gradbiščnih prostorih - najmanj ABC S6 (določiti število gasilnikov glede na število gradbiščnih objektov razen skladišč nevarnih kemikalij.)</t>
  </si>
  <si>
    <t>13.8.2.</t>
  </si>
  <si>
    <t>Gasilniki v gradbeni mehanizaciji z motorjem na notranje izgorevanje</t>
  </si>
  <si>
    <t>13.9.</t>
  </si>
  <si>
    <t>UREDITEV SKLADIŠČ NEVARNIH SNOVI Če se izvajalec odloči, da bo takšne snovi hranil na delovišču):</t>
  </si>
  <si>
    <t>13.9.1.</t>
  </si>
  <si>
    <t xml:space="preserve">Skladišče tehničnih plinov:  Tehnične pline v jeklenkah se skladišči v nadstreških. Nadstrešek se zapre z žično ograjo (mrežo) od vrha do tal in vrati, ki se jih da zakleniti, južno stran pa s polno steno, ki nudi popolno zaščito pred sončnimi žarki. Urejen mora biti tako, da so polne jeklenke ločene od praznih, mesti za njih pa označeni z napisoma »POLNE«, »PRAZNE«. Na mestu za polne jeklenke mora biti omogočena pritrditev jeklenk, ki jih je potrebno po vsakem premiku pritrditi. </t>
  </si>
  <si>
    <t>13.9.2.</t>
  </si>
  <si>
    <t>Na vidno mesto se namestijo varnostni znaki:  »Eksplozivna snov«,</t>
  </si>
  <si>
    <t>•  »Prepovedano kajenje in kurjenje«</t>
  </si>
  <si>
    <t>• »Kajenje in uporaba odprtega ognja strogo prepovedano«</t>
  </si>
  <si>
    <t>• gasilni aparat CO2 5 kg</t>
  </si>
  <si>
    <t>13.9.3.</t>
  </si>
  <si>
    <t xml:space="preserve">Jeklenke se na gradbišču lahko uporabljajo le na vozičkih, ki zagotavljajo pokončni položaj in so zavarovane pred prevrnitvijo, (določiti število vozičkov) </t>
  </si>
  <si>
    <t>13.9.4.</t>
  </si>
  <si>
    <t xml:space="preserve">Skladišče drugih nevarnih snovi: Nevarne snovi (gorivo in mazivo za gradbene stroje, razni premazi, opažno olje...) se bodo hranile v posebnih skladiščih, skladiščnih kontejnerjih ali kovinskih omarah za skladiščenje nevarnih snovi. </t>
  </si>
  <si>
    <t>13.9.5.</t>
  </si>
  <si>
    <t>Za kemikalije v tekočem stanju se pod embalažo namesti lovilne posode ustreznega volumna, (določiti število lovilnih posod)</t>
  </si>
  <si>
    <t>13.9.6.</t>
  </si>
  <si>
    <t>V skladišču mora biti postavljen gasilnik najmanj ABC S 6</t>
  </si>
  <si>
    <t>Opomba: Skladišče mora biti označeno z varnostnim znakom, ki opozarja na nevarnosti skladiščenih nevarnih snovi. Izvedeno mora biti tako, da ga je mogoče zakleniti.</t>
  </si>
  <si>
    <t>14.</t>
  </si>
  <si>
    <t xml:space="preserve">Sprotno gradbeno čiščenje in ostala čiščenja med posameznimi fazami - velja za objekt, zunanjo ureditev ter celotno gradbeno parcelo z neposredno okolico. </t>
  </si>
  <si>
    <t>15.</t>
  </si>
  <si>
    <t>Izdelava eventualnih  začasnih delnih zapor cest s stroški za postavitev dnevne in nočne signalizacije za celoten rok trajanja posega na gradbeni parceli.</t>
  </si>
  <si>
    <t>16.</t>
  </si>
  <si>
    <t>Celotna in ustrezna zaščita obstoječega objekta za čas gradnje s primernimi zaščitnimi materiali.</t>
  </si>
  <si>
    <t>17.</t>
  </si>
  <si>
    <t>Izdelava ekonomsko tehnološkega elaborata pred pričetkom del in potrditev slednjega s strani vodje nadzora.</t>
  </si>
  <si>
    <t>18.</t>
  </si>
  <si>
    <r>
      <rPr>
        <b/>
        <sz val="11"/>
        <rFont val="Arial"/>
        <family val="2"/>
        <charset val="238"/>
      </rPr>
      <t xml:space="preserve">TRANSPORTI IN  LOKACIJA: </t>
    </r>
    <r>
      <rPr>
        <sz val="11"/>
        <rFont val="Arial"/>
        <family val="2"/>
        <charset val="238"/>
      </rPr>
      <t>Zaradi montaže posameznih prefabriciranih elementov stolpa: točkovni temelji, okvir stolpa, plošče, dostopne klančine, ipd.…  se je ponudnik dolžan v času izdelave ponudbe ogledati  mikrolokacije in gradbeno parcelo. Ogled je potreben zaradi  preverbe možnih dostopov, določitve začasnih mikro lokacij v času montaže prefabrikatov in določitev tehnološkega procesa montaže (transportna sredstva, velikost avtodvigala, dolžina prikolice, ipd...)</t>
    </r>
  </si>
  <si>
    <t>19.</t>
  </si>
  <si>
    <r>
      <rPr>
        <b/>
        <sz val="11"/>
        <rFont val="Arial"/>
        <family val="2"/>
        <charset val="238"/>
      </rPr>
      <t xml:space="preserve">TEHNIČNO EKONOMSKI ELABORAT: </t>
    </r>
    <r>
      <rPr>
        <sz val="11"/>
        <rFont val="Arial"/>
        <family val="2"/>
        <charset val="238"/>
      </rPr>
      <t>Tehnično-ekonomski elaborat (TEE) je razjasnitveni dokument, v katerem izvajalec točno opredeli vse materiale, produkte, elemente in sisteme, ki jih namerava dobaviti, z imeni proizvajalcev, modeli in kataloškimi številkami. S TEE, kjer so opredeljeni dobavitelji posameznih elementov, kataloška imena in številke produktov, izvajalec dokazuje, da materiali in produkti, predvideni za vgradnjo, ustrezajo veljavnim normativom in predpisanim standardom, ter ustrezajo kvaliteti, določeni z veljavno zakonodajo ter so skladni s parametri, zahtevanimi v projektni dokumentaciji in popisu. Za ponujene produkte izvajalec izkaže skladnost z zahtevami popisa. Glede na specifične lastnosti posameznih postavk bo na razpisu izbrani izvajalec predložil:
- CE certifikate,
- izjave o ustreznosti ali izjave o lastnostih,
- druge relevantne dokumente, s katerimi dokazuje skladnost ponujenega materiala ali produkta z zahtevami razpisa: proizvajalčev  prospekt proizvoda, materiala ali opreme.
Izbrani izvajalec mora izdelati TEE v 30 dneh od dneva podpisa pogodbe in ga investitorju predati v potrditev v tiskani sistematično urejeni obliki, na A4 formatih zloženih v ustrezno mapo. Investitor je dolžan TEE potrditi v roku 15 dni od prejema. TEE pismeno potrdijo investitor, vodja projekta in vodja nadzora. V času od podpisa pogodbe do predaje TEE je izvajalec zaradi izpolnitve pogodbenega roka dolžan izvajati vsa dela v skladu s terminskim planom napredovanja del. Dokler  investitor, vodja projekta in vodja nadzora ne potrdijo TEE, se smatra, da ni veljaven oz. popoln in ga je zato izvajalec dolžan ustrezno popraviti in dopolniti skladno s pripombami, ki mu jih posreduje investitor. Do dokončne potrditve TEE izvajalec ne more vgrajevati materialov, naprav in opreme in je za morebitno nastalo škodo, ki bi s tem nastala polnopravno kazensko in odškodninsko odgovoren. TEE bo vključen v pogodbo kot njen bistveni element. Izvajalec bo obvezan k dobavi in vgradnji elementov, ki bodo navedeni v potrjenem tehnično-ekonomskem elaboratu.</t>
    </r>
  </si>
  <si>
    <t>20.</t>
  </si>
  <si>
    <r>
      <rPr>
        <b/>
        <sz val="11"/>
        <rFont val="Arial"/>
        <family val="2"/>
        <charset val="238"/>
      </rPr>
      <t>SESTAVNI DELI PROJEKTNE DOKUMENTACIJE IN DELAVNIŠKI NAČRTI:</t>
    </r>
    <r>
      <rPr>
        <sz val="11"/>
        <rFont val="Arial"/>
        <family val="2"/>
        <charset val="238"/>
      </rPr>
      <t xml:space="preserve"> Pred pričetkom izvajanja del ter vgrajevanja proizvodov mora izvajalec obvezno pridobiti pisno potrditev delavniških načrtov, skic in detajlov. V kolikor zaradi vrste gradbenega proizvoda, delavniške dokumentacije izvajalec ne more zagotoviti je obvezno izdelati vzorec na gradbišču, ki ga potrdita vodja projekta, ter vodja nadzora. Vsi projekti z načrti in vsemi grafičnimi prilogami, kot tudi ves tekstovni del, vsa poročila in vsi opisi ter sheme so sestavni del tega popisa del in jih mora ponudnik obvezno upoštevati pri sami izdelavi ponudbe. Navedene načrte, grafične priloge, ves tekstualni del, vsa poročila, vsa poročila in vsi opisi ter sheme mora ponudnik upoštevati tudi če se besedilo popisa ne sklicuje na konkretne sheme.</t>
    </r>
  </si>
  <si>
    <t>21.</t>
  </si>
  <si>
    <t>V popisu navedena komercialna imena so navedena zaradi natančnega določanja zahtevane kvalitete vgrajenih materialov. Izvajalec (ponudnik) mora že v ponudbi specificirati, ali ponuja material naveden v razpisu, ali alternativen material. V koliko ponuja alternativen material mora ponujati najmanj enakovrednega predvidenemu ali boljšega. Enakovrednost ponujene alternative v ponudbi dokazuje skladno z določili razpisa – z izdelavo tehnično ekonomskega elaborata in predložitvijo certifikatov, tehničnih listov in produktnih specifikacij.</t>
  </si>
  <si>
    <t>22.</t>
  </si>
  <si>
    <t>Izvajalec mora predati v pregled in potrditev  vzorce vseh vgrajenih materialov in produktov (npr. tlaki, finalne obdelave, ....). Število vzorcev dogovori z vodjo projekta in vodjo nadzora, v kolikor z razpisom za izbor izvajalca število ni točno določeno.</t>
  </si>
  <si>
    <t>I.</t>
  </si>
  <si>
    <t>PREDDELA:</t>
  </si>
  <si>
    <t>II.</t>
  </si>
  <si>
    <t>RUŠITVENA IN ODSTRANJEVALNA DELA:</t>
  </si>
  <si>
    <r>
      <rPr>
        <b/>
        <u/>
        <sz val="11"/>
        <rFont val="Arial"/>
        <family val="2"/>
        <charset val="238"/>
      </rPr>
      <t>OPOMBA:</t>
    </r>
    <r>
      <rPr>
        <b/>
        <sz val="11"/>
        <rFont val="Arial"/>
        <family val="2"/>
        <charset val="238"/>
      </rPr>
      <t xml:space="preserve"> </t>
    </r>
    <r>
      <rPr>
        <sz val="11"/>
        <rFont val="Arial"/>
        <family val="2"/>
        <charset val="238"/>
      </rPr>
      <t>Pri izvajanju rušenja posameznih delov objekta je obvezno upoštevati eventualno izdelan "Rušitveni načrt" ali "Načrt gospodarjenja z gradbenimi odpadki" za predmetni objekt ter vse ostale pogoje posameznih soglasodajalcev in izdelovalcev posameznih načrtov. Pred pričetkom del in pred izdelavo ponudbe mora izvajalec dodatno pregledati obstoječe stanje na terenu in stanje obstoječih konstrukcij, ki se rušijo. Pregledati je potrebno že izdelan načrt rušitvenih del in projektantu ali vodji nadzora posredovati eventualne pripombe. V postavkah rušitvenih del je v cenah za enoto mere potrebno zajeti:</t>
    </r>
  </si>
  <si>
    <r>
      <rPr>
        <b/>
        <sz val="11"/>
        <rFont val="Arial"/>
        <family val="2"/>
        <charset val="238"/>
      </rPr>
      <t>FAZNOST RUŠITVENIH DEL:</t>
    </r>
    <r>
      <rPr>
        <sz val="11"/>
        <rFont val="Arial"/>
        <family val="2"/>
        <charset val="238"/>
      </rPr>
      <t xml:space="preserve"> Vsa rušitvena dela se izvajajo v eni fazi. </t>
    </r>
  </si>
  <si>
    <t>II./1.</t>
  </si>
  <si>
    <t xml:space="preserve">Vse potrebne zaščite delovne sile, strojev in neposredne okolice ter obstoječih objektov v času izvajanja rušitvenih del; še posebej pa mirujoči in tekoči promet pešcev in vozil. </t>
  </si>
  <si>
    <t>II./2.</t>
  </si>
  <si>
    <t>Z ruševinami se ravna v skladu z Uredbo o ravnanju z odpadki (UL RS, št. 55/08). Pred odvozom v stalne deponije se ruševine sortirajo v skladu s klasifikacijami iste Uredbe in Elaborata/Načrta gospodarjenja z gradbenimi odpadki.</t>
  </si>
  <si>
    <t>II./3.</t>
  </si>
  <si>
    <t>Količine posameznih postavk so prikazane v raščenem ali vgrajenem stanju. Posamezni koeficienti razrahljivosti morajo biti upoštevani v ceni za E.M. Za izmere za rušenja, predelavo in transport posameznih konstrukcij se upošteva prostornina v neporušenem stanju (po prostornini konstrukcije na objektu). Faktor razrahljivosti je upoštevati smiselno v cenah za enoto mere posameznih pozicij.</t>
  </si>
  <si>
    <t>II./4.</t>
  </si>
  <si>
    <t>Delavci na nezavarovanih višinah morajo biti zavarovani v skladu z predpisi in zakonom o Varstvo pri delu (vsa varovala, ki služijo za uporabo osebne zaščitne opreme v skladu z SIST EN 354, SIST EN 355, SIST EN 360, SIST EN 362 in Zakonom o varstvu in zdravju pri delu.).</t>
  </si>
  <si>
    <t>II./5.</t>
  </si>
  <si>
    <t>Rušitvena dela se izvajajo na način, ki omogoča ohranitev okolice; pri tem se obstoječi konstrukcijski elementi sosednjih stavb ne smejo poškodovati. V ta namen se pred pričetkom del izdelajo vse potrebne zaščite. Pred tem se odklopijo vse notranje ter zunanje inštalacije in zaščiti neposredna okolica pred škodljivimi vplivi. Dvižna in transportna sredstva je potrebno prilagoditi delu v skladu z rušitvenim elaboratom.</t>
  </si>
  <si>
    <t>II./6.</t>
  </si>
  <si>
    <t xml:space="preserve"> V elaboratu rušitvenih del so prikazane smernice za rušenje objekta in sanacijo. Način rušenja je odvisen od izvajalca in njegove tehnologije, skladen z opisom tega popisa. Tehnološki elaborat rušenja z vsemi pomožnimi odri in podpiranjem konstrukcij v času rušenja mora izdelati izvajalec rušitvenih del.</t>
  </si>
  <si>
    <t>II./7.</t>
  </si>
  <si>
    <t xml:space="preserve">V kolikor se investitor ali vodja nadzora iz finančnih razlogov odloči za uporabo mletih ruševin pri zasipavanju objekta do kote -1,00 m od kote terena in to strokovno  upravičenost potrdita tudi geomehanik in statik, se določene ruševine po predelavi - mletju odpeljejo nazaj na delovišče, kjer se ustrezno uporabijo pri gradnjo novega objekta. Predmetni popis to varianto v tej fazi ne upošteva! </t>
  </si>
  <si>
    <t>III.</t>
  </si>
  <si>
    <t>SANACIJSKA DELA:</t>
  </si>
  <si>
    <t>IV.</t>
  </si>
  <si>
    <t>ZEMELJSKA DELA:</t>
  </si>
  <si>
    <r>
      <rPr>
        <b/>
        <u/>
        <sz val="11"/>
        <rFont val="Arial"/>
        <family val="2"/>
        <charset val="238"/>
      </rPr>
      <t>OPOMBA:</t>
    </r>
    <r>
      <rPr>
        <b/>
        <sz val="11"/>
        <rFont val="Arial"/>
        <family val="2"/>
        <charset val="238"/>
      </rPr>
      <t xml:space="preserve"> </t>
    </r>
    <r>
      <rPr>
        <sz val="11"/>
        <rFont val="Arial"/>
        <family val="2"/>
        <charset val="238"/>
      </rPr>
      <t xml:space="preserve">Posamezne količine so izračunane za celotno gradbeno jamo v raščenem stanju. Pred izdelavo projekta in popisa je bil opravljen Načrtom s področja geotehnologije in rudarstva - </t>
    </r>
    <r>
      <rPr>
        <b/>
        <sz val="11"/>
        <rFont val="Arial"/>
        <family val="2"/>
      </rPr>
      <t>Geotehnično poročilo, št. geo/p-9/2019, maj 2019,</t>
    </r>
    <r>
      <rPr>
        <sz val="11"/>
        <rFont val="Arial"/>
        <family val="2"/>
        <charset val="238"/>
      </rPr>
      <t xml:space="preserve"> zato so kategorije in konfiguracija terena pri izračunu izkopa določene v smislu izsledkov slednjega. Ponudnik je dolžan pri formiranju cene v celoti upoštevati vse izsledke in navodila ter zahteve poročila. V primeru kakršnihkoli težav pri temeljenju objekta in odstopanj od navedenih določil (sestava tal, dotoki vode) je potrebno obvestiti geomehanika, ki bo na osnovi opravljenega ogleda podal dopolnila k načinu temeljenja. Pred temeljenem je treba izvesti ustrezne meritve in kontrolni pregled. Rezultati meritev morajo biti posredovani pooblaščenemu inženirju s področja gradbeništva in vodji projekta, ki skupaj z vodjo nadzora presodijo nadaljnji način temeljenja. V kolikor meritve ne bodo pokazale ustreznosti temeljne podlage, je dolžan investitor upoštevati nova navodila statika in geomehanika.</t>
    </r>
  </si>
  <si>
    <t xml:space="preserve">V času izvajanja izkopa in geomehanskih del mora izvajalec ažurno spremljati dela, ter temu primerno ukrepati v skladu s pravili stroke. Pri posameznih postavkah zemeljskih del iz tega poglavja mora ponudnik v cenah za enoto mere obvezno zajeti, upoštevati in vkalkulirati še: </t>
  </si>
  <si>
    <t>IV./1.</t>
  </si>
  <si>
    <t>Vse potrebne zaščite že varovanih brežin gradbene jame ter ostalih izkopov in varovanje le teh v času izvajanja del vse do dokončanja zasipa (vsakodnevno ažurno kontroliranje stanja gradbene jame, zaščite, pilotov, torkreta in robov izkopa: rob gradbene jame mora biti ustrezno zavarovan, gradbena jama se pregleda vsak dan s strani vodje del izvajalca, ki naroči takojšno odstranitev eventualnih nevarnih delov zemljine. Varovanje gradbene jame je predmet drugega poglavja! Pri izvedbi gradbene jame se varovanja le te ne smejo poškodovati.</t>
  </si>
  <si>
    <t>IV./2.</t>
  </si>
  <si>
    <t>Ažurno črpanje meteornih voda in eventualnih vdorov  podtalnice/zalednih vod iz gradbene jame.  Pri izvajanju izkopa je obvezno kontrolirati površino brežine, da ne nastanejo lokalni previsi. Celotna brežina mora biti v predpisanem nagibu.  Glede na opravljen ogled in lokacijo objekta bo izkop ne bo posebej zahteven. Brežine začasnih izkopov se v peščenem produ lahko izvajajo v naklonu največ 1:1 oziroma je potrebno izkop varovati. Trajne brežine naj se oblikuje v naklonu največ 2:3 oziroma je potrebno brežine varovati in površinsko zaščititi.</t>
  </si>
  <si>
    <t>IV./3.</t>
  </si>
  <si>
    <t>Vsa utrjevanja dna izkopa, tampona, nasutij in zasipov je potrebno izvajati do predpisane zbitosti v skladu z načrtom gradbenih konstrukcij (statika) ali po navodilih projektanta ter Geološko geotehničnega elaborata. Robov izkopov se ne sme dodatno obremenjevati. V ceno je vkalkulirati izdelavo poročila o opravljenih meritvah utrjene tamponske temeljne blazine, v kolikor je to potrebno.</t>
  </si>
  <si>
    <t>IV./4.</t>
  </si>
  <si>
    <t>Pred izvedbo zasipa se je obvezno posvetovati s statikom ali vodjo nadzora zaradi večplastne, mešane sestave zasipa, eventualne souporabe izkopanega materiala in izdelave zasipov ter nasipov iz mletih ruševin!</t>
  </si>
  <si>
    <t>IV./5.</t>
  </si>
  <si>
    <t>Izkopani, nasuti, zasuti in odpeljani materiali se določajo v raščenem stanju. Stalne koeficiente razrahljivosti je upoštevati v ceni za E.M. posamezne postavke. Pri določitvi zemeljskih del je upoštevati že izvedene odstranitve zemljine in vkopane odstranjene konstrukcije iz časa izvajanja rušitvenih del!</t>
  </si>
  <si>
    <t>IV./6.</t>
  </si>
  <si>
    <t>Faktor razrahljivosti je upoštevati smiselno v količinah - raščenem stanju - posledično v cenah za enoto mere posameznih pozicij. Dodatno se ga ne priznava, zato ga je zajeti v cenah za enoto mere.</t>
  </si>
  <si>
    <t>IV./7.</t>
  </si>
  <si>
    <t>V ceni za enoto je treba upoštevati vsa dela, ki so opisana v posamezni postavki ter vsa dela in ukrepe iz zgornje točke tega splošnega opisa. V  ceni na enoto je potrebno upoštevati vse prenose, transporte, pomožne dela, začasna podpiranja, premične odre in čiščenje po zaključku del, vso potrebno zaščito pred uničenjem oz. poškodovanjem, vsa nakladanja in prevoz odvečnega materiala oz. izkopa na začasno in stalno deponijo s plačilom takse za deponijo.</t>
  </si>
  <si>
    <t>IV./8.</t>
  </si>
  <si>
    <t>Standardi, ki se nanašajo zemeljska dela, oziroma materiale, ki se uporabljajo pri zemeljskih delih.</t>
  </si>
  <si>
    <t>IV./8.1.</t>
  </si>
  <si>
    <t>Geotekstilije in geotekstilijam sorodni izdelki – Značilnosti, ki se zahtevajo pri nasipih, temeljih in trdnih strukturah:</t>
  </si>
  <si>
    <t>SIST EN 13251:2001</t>
  </si>
  <si>
    <t>SIST EN 13251:2001/ A1:2005</t>
  </si>
  <si>
    <t>IV./8.2.</t>
  </si>
  <si>
    <t>Geotekstilije in geotekstilijam sorodni izdelki – Značilnosti, ki se zahtevajo pri drenažnih sistemih:</t>
  </si>
  <si>
    <t>SIST EN 13252:2001</t>
  </si>
  <si>
    <t>SIST EN 13252:2001/ A1:2005</t>
  </si>
  <si>
    <t>IV./8.3.</t>
  </si>
  <si>
    <t>Geosintetične ovire-Zahtevane karakteristike pri gradnji rezervarjev in nasipov:</t>
  </si>
  <si>
    <t>SIST EN 13361:2004</t>
  </si>
  <si>
    <t>SIST EN 13361:2004/A1:2007</t>
  </si>
  <si>
    <t>Splošna določila za zemeljska dela :</t>
  </si>
  <si>
    <t>Zemeljska dela se morajo izvajati po določilih začasnih tehničnih predpisov v soglasju z obveznimi standardi. Standardi za zemeljska dela vsebujejo poleg izdelave same po opisu v posameznem standardu še :</t>
  </si>
  <si>
    <t>•</t>
  </si>
  <si>
    <t>dela in ukrepe po določilih veljavnih predpisov varstva pri delu</t>
  </si>
  <si>
    <t>pregled bodočih strani izkopa vsak dan pred pričetkom dela, zlasti pa po deževnem vremenu, mrazu in miniranju</t>
  </si>
  <si>
    <t>črpanje vode iz gradbene jame in temeljev</t>
  </si>
  <si>
    <t>čiščenje temeljev neposredno pred pričetkom betonskih del</t>
  </si>
  <si>
    <t>Kot široki izkop se smatra izkop širine preko 2 m1, kot površinski široki izkop, ki ne presega povprečne globine 20 cm.</t>
  </si>
  <si>
    <t>Odstranjevanje rastlin, zakoličenje objektov, dovoz, montaža, demontaža in odvoz strojev, naprav itd., se vkalkulirajo v pripravljalna dela.</t>
  </si>
  <si>
    <t>Stroški dovoza, montaža, demontaže in odvozi strojev za zemeljska dela so osnovni kriteriji za določitev strojne oziroma ročne izvršitve zemeljskih del.</t>
  </si>
  <si>
    <t>Določitev izkopov in prevozov zemlje se vrši od m3 izkopa, merjeno na osnovi profilov posnetih pred izvršenim izkopom in po njem. Za določitev standardne transportne razdalje je merodajna zazidana površina objekta in sicer:</t>
  </si>
  <si>
    <t xml:space="preserve">do 250 m2 na ravnem:  = H do 20 m1                           </t>
  </si>
  <si>
    <t>do 250 m2 na pobočju: = H do 20 m1 + V 2 m1</t>
  </si>
  <si>
    <t>nad 250 m2 na ravnem:  = H nad 20 m1</t>
  </si>
  <si>
    <t>nad 250 m2 na pobočju: = H nad 20 m1 + V 2 m1</t>
  </si>
  <si>
    <t>Tabela zemljišč :</t>
  </si>
  <si>
    <t>Ktg  - naziv zemljišča - potrebno orodje -  koef.zač.pov.prost.</t>
  </si>
  <si>
    <t>I. - zrahljana zemlja - lopata - 1,15</t>
  </si>
  <si>
    <t>II. - Navadna obdelana zemlja - lopata - 1,20</t>
  </si>
  <si>
    <t>III.  - Neobdelana plodna zemlja - lopata - kramp - 1,25</t>
  </si>
  <si>
    <t>IV. - Preper.stena, lapor v razpad.  - kramp-lomilka - 1,30</t>
  </si>
  <si>
    <t xml:space="preserve">V. - Mehka stena ( lapor-apnenec )  - smodnik - 1,40 </t>
  </si>
  <si>
    <t>V.</t>
  </si>
  <si>
    <t>BETONSKA, ARMIRANOBETONSKA IN ŽELEZOKRIVSKA  DELA:</t>
  </si>
  <si>
    <r>
      <rPr>
        <b/>
        <u/>
        <sz val="11"/>
        <rFont val="Arial"/>
        <family val="2"/>
        <charset val="238"/>
      </rPr>
      <t>OPOMBA:</t>
    </r>
    <r>
      <rPr>
        <sz val="11"/>
        <rFont val="Arial"/>
        <family val="2"/>
        <charset val="238"/>
      </rPr>
      <t xml:space="preserve"> Pri izvajanju betonskih, armirano betonskih del je upoštevati vse pogoje, katere navaja in predpisuje Pravilnik o tehničnih normativih za beton in armirani beton in Projekt betona, katerega izdela izvajalec. Armatura se izdeluje v skladu S PZI projektom gradbenih konstrukcij; pri čemer je upoštevati vse pogoje in navodila za izdelavo. V betonske konstrukcije bodo vgrajeni tipski ozeljitveni izpusti.  Pri posameznih postavkah betonskih del iz tega poglavja mora ponudnik v cenah za enoto mere obvezno zajeti, upoštevati in vkalkulirati še: 
</t>
    </r>
  </si>
  <si>
    <t>V./1.</t>
  </si>
  <si>
    <t xml:space="preserve">Opaži morajo biti čisti in v celoti pripravljeni za betoniranje (močenje), črpni beton se ne sme vgrajevati z višine večje od 1m! Betonirati se lahko začne šele po pregledu podlage, odrov, opažev in armature. Vse vezi, stebri in preklade pod ploščami se betonirajo skupaj s ploščo! Beton se ročno vgrajuje samo v predelne stene in v primerih kadar to dovoli vodja nadzora. </t>
  </si>
  <si>
    <t>V./2.</t>
  </si>
  <si>
    <t xml:space="preserve">Armatura ne sme rjaveti, pred montažo  jo je potrebno očistiti od eventualnih nečistoč, upoštevati je debelino zaščitne plasti betona. Armatura (stiki) mora biti varjena min. 30%. </t>
  </si>
  <si>
    <t>V./3.</t>
  </si>
  <si>
    <t xml:space="preserve">Pred naročilom je upoštevati navedene eurokode in oznake betona; po končanem betoniranju je vgrajen beton potrebno zaščititi in negovati v skladu s pravili stroke. </t>
  </si>
  <si>
    <t>V./4.</t>
  </si>
  <si>
    <t xml:space="preserve">Nadomestila za izvedbo elementov z naklonom  do 5 % od vodoravnosti se posebej ne priznava. Za vidne konstrukcije se smatrajo vse tiste konstrukcije, ki po končani izdelavi ostanejo neometane. </t>
  </si>
  <si>
    <t>V./5.</t>
  </si>
  <si>
    <t>Dopustna odstopanja za pravokotnost, dimenzije in ravnost posameznih betonskih ali armiranobetonskih konstrukcij so določena po določilih DIN 18202.</t>
  </si>
  <si>
    <t>V./6.</t>
  </si>
  <si>
    <t xml:space="preserve">Pred začetkom betonskih del morata biti opaž in armatura popolnoma pripravljena. Odprtine za instalacijske vode morajo biti nameščene na točno predvidenih lokacijah, nameščena morajo biti vsa sidra, podometna inštalacija in ostali podometni elementi. </t>
  </si>
  <si>
    <t>V./7.</t>
  </si>
  <si>
    <t xml:space="preserve">Vse vezi, stebri, nosilci in preklade se betonirajo strojno s črpnim sivim betonom skupaj s ploščami ali posebej! Beton se lahko ročno vgrajuje samo v predelne stene in v primerih, kadar to dovoli vodja nadzora ali je to predpisano v statičnem izračunu. </t>
  </si>
  <si>
    <t>V./8.</t>
  </si>
  <si>
    <t xml:space="preserve">Betonske mešanice morajo biti izdelane v skladu s predpisanimi standardi:  SIST EN  206-1. 1, SIST EN 206, preglednico N.1 standarda SIST 1026:2007,  prEN 12620:2000,  </t>
  </si>
  <si>
    <t>V./9.</t>
  </si>
  <si>
    <t>Pred izvedbo se je v skladu s pravili stroke in potrjenim projektom betona z vodjo nadzora posvetovati o načinu vgrajevanja, kot je to označeno po posameznih postavkah:</t>
  </si>
  <si>
    <t>V./9.1.</t>
  </si>
  <si>
    <r>
      <rPr>
        <b/>
        <sz val="11"/>
        <rFont val="Arial"/>
        <family val="2"/>
        <charset val="238"/>
      </rPr>
      <t>č</t>
    </r>
    <r>
      <rPr>
        <sz val="11"/>
        <rFont val="Arial"/>
        <family val="2"/>
        <charset val="238"/>
      </rPr>
      <t xml:space="preserve"> - črpni (ali aeriran) beton dobavljen Frco delovišče z avtomikserji; strojno vgrajevanje ali delno ročno vgrajevanje</t>
    </r>
  </si>
  <si>
    <t>V./9.2.</t>
  </si>
  <si>
    <r>
      <rPr>
        <b/>
        <sz val="11"/>
        <rFont val="Arial"/>
        <family val="2"/>
        <charset val="238"/>
      </rPr>
      <t>k</t>
    </r>
    <r>
      <rPr>
        <sz val="11"/>
        <rFont val="Arial"/>
        <family val="2"/>
        <charset val="238"/>
      </rPr>
      <t xml:space="preserve"> - beton dobavljen Frco delovišče s kamionom kiperjem (kipni/kibelni beton) , vgrajen ročno s premeti ali preko prekladalnega silosa in žerjava</t>
    </r>
  </si>
  <si>
    <t>V./9.3.</t>
  </si>
  <si>
    <r>
      <rPr>
        <b/>
        <sz val="11"/>
        <rFont val="Arial"/>
        <family val="2"/>
        <charset val="238"/>
      </rPr>
      <t xml:space="preserve">ž,M </t>
    </r>
    <r>
      <rPr>
        <sz val="11"/>
        <rFont val="Arial"/>
        <family val="2"/>
        <charset val="238"/>
      </rPr>
      <t>- črpni beton (ali aeriran) dobavljen Frco delovišče z avtomikserji; ročno ali delno ročno vgrajevanje s pomočjo prekladalnega silosa in žerjava</t>
    </r>
  </si>
  <si>
    <t>V./10.</t>
  </si>
  <si>
    <t>Nosilci, preklade in vezi, ki so v sklopu posameznih AB plošč in AB sten se upoštevajo skupaj s ploščami ali stenami, katerim pripadajo.</t>
  </si>
  <si>
    <t>V./11.</t>
  </si>
  <si>
    <t>Pri izvajanju železokrivskih del se uporablja armatura, predpisana s projektom gradbenih konstrukcij: Za armaturne mreže  -  jeklo trdnostnega razreda S500,; za rebraste armaturne palice jeklo trdnostnega razreda S400. na splošno velja, da morajo biti trdnostne, deformabilnostne in mehanske lastnosti jekla S400 in S500 v skladu s  standardom SIST EN 1992-1-1:2005.</t>
  </si>
  <si>
    <t>V./12.</t>
  </si>
  <si>
    <t>Vse vidne armirano betonske konstrukcije morajo biti izdelane v kvaliteti vidnega betona in imeti popolne 90˚ ali 45˚ stopinjske robove. Pri posameznih postavkah v popisu so v oklepajih podani podatki o zahtevani  betonski mešanici v sledečem zaporedju: tlačna trdnost - razred izpostavljenosti - kloridi - maksimalno zrno. V zahtevah so podane tudi zaščitne plasti: zgoraj - spodaj - bočno.</t>
  </si>
  <si>
    <t>V./13.</t>
  </si>
  <si>
    <t xml:space="preserve">ZAHTEVE ZA VIDNI  BETON </t>
  </si>
  <si>
    <t>V./13.1.</t>
  </si>
  <si>
    <t xml:space="preserve">Stebri, stene in plošče na objektu se izdelajo na licu mesta – na gradbišču. Osnovna zahteva je, da so elementi izdelani iz vidnega betona bele barve. V tem dokumentu so podane osnovne smernice za izdelavo elementov kot izhodišče za nadaljnje delo. </t>
  </si>
  <si>
    <t>V./13.2.</t>
  </si>
  <si>
    <t>Za njegovo pripravo se bo uporabljal cement izbrane vrste in izvora. Predlaga se beli cement proizvajalca kot npr. KEMA Puconci. Vse ostale komponente in njihove količine se bodo določile v okviru laboratorijskih preskusov, pri čemer se bo upošteval njihov vpliv na:</t>
  </si>
  <si>
    <t>V./13.2.1.</t>
  </si>
  <si>
    <t xml:space="preserve">barvo betona in na zahteve za vidni beton, </t>
  </si>
  <si>
    <t>V./13.2.2.</t>
  </si>
  <si>
    <t xml:space="preserve">obdelovalnost svežega betona (samo-zgoščevalni beton) in </t>
  </si>
  <si>
    <t>V./13.2.3.</t>
  </si>
  <si>
    <t xml:space="preserve">lastnosti strjenega betona (tlačno trdnost, geološko obnašanje). </t>
  </si>
  <si>
    <t>V./13.3.</t>
  </si>
  <si>
    <t>Samo-zgoščevalni beton ima lastnost, da doseže potrebno zgoščenost brez dodatnega zgoščevanja (vibriranja). Zato mora imeti tako konsistenčno stopnjo, ki omogoči betonu, da teče, pri čemer ne sme priti do segregacije in odvajanja odvečne vode (krvavenja). V strjenem stanju pa mora doseči vse s projektom predpisane lastnosti. Njegova sestava se določi v okviru predhodnih laboratorijskih preskusov, oziroma začetnih tipskih preiskav.</t>
  </si>
  <si>
    <t>V./13.4.</t>
  </si>
  <si>
    <t>3. Kriteriji za vidni beton so povzeti iz veljavnega standarda za izvajanje betonskih konstrukcij – Nacionalni dodatek SIST EN 13670:2010/A101:2010.</t>
  </si>
  <si>
    <t>V./13.5.</t>
  </si>
  <si>
    <t xml:space="preserve">Konstrukcijski elementi predmetnega objekta morajo izpolnjevati naslednje zahteve, ki veljajo za razred vidne površine betona VB 2: </t>
  </si>
  <si>
    <t>V./14.</t>
  </si>
  <si>
    <t>Standardi, ki se nanašajo na AB oziroma materiale, ki se uporabljajo pri AB delih.</t>
  </si>
  <si>
    <t>V./14.1.</t>
  </si>
  <si>
    <t>Cement – 1. del: Sestava, zahteve in merila skladnosti za običajne cemente</t>
  </si>
  <si>
    <t>SIST EN 197-1:2011</t>
  </si>
  <si>
    <t>V./14.2.</t>
  </si>
  <si>
    <t>Cement:-Sestave, zahteve in merila skladnosti za posebne cemente z zelo nizko toplotno hidratacijo</t>
  </si>
  <si>
    <t>SIST EN 14216:2004</t>
  </si>
  <si>
    <t>Kalcijev aluminatni cement-Sestava, zahteve in merila skladnosti</t>
  </si>
  <si>
    <t>SIST EN 14647:2005</t>
  </si>
  <si>
    <t>SIST EN 14647.2005/AC:2007</t>
  </si>
  <si>
    <t>V./14.3.</t>
  </si>
  <si>
    <t>Supersulfatni cement-sestava, zahteve in merila skladnosti za običajne cemente</t>
  </si>
  <si>
    <t>SIST EN 15743:2010</t>
  </si>
  <si>
    <t>V./14.4.</t>
  </si>
  <si>
    <t>Agregati za beton</t>
  </si>
  <si>
    <t>SIST EN 12620:2002+A1:2008</t>
  </si>
  <si>
    <t>V./14.5.</t>
  </si>
  <si>
    <t>Lahki agregati – 1. del: Lahki agregati za beton, malto in injekcijsko malto</t>
  </si>
  <si>
    <t>SIST EN 13055-1:2002</t>
  </si>
  <si>
    <t>SIST EN 13055-1:2002/AC:2004</t>
  </si>
  <si>
    <t>V./14.6.</t>
  </si>
  <si>
    <t>Beton - 1.del - Specifikacija, lastnosti, proizvodnja in skladnost</t>
  </si>
  <si>
    <t>SIST EN 206-1:2003</t>
  </si>
  <si>
    <t>SIST EN 206-1:2003/A1:2004</t>
  </si>
  <si>
    <t>SIST EN 206-1:2003/A2:2005</t>
  </si>
  <si>
    <t>SIST EN 1026 (OP: Uporablja se zadnja veljavna izdaja standarda z vsemi dopolnili in popravki)</t>
  </si>
  <si>
    <t>V./14.7.</t>
  </si>
  <si>
    <t>Armatura</t>
  </si>
  <si>
    <t>slovensko tehnično soglasje STS-05/007</t>
  </si>
  <si>
    <t>STS-05/012 za armaturne mreže</t>
  </si>
  <si>
    <t>STS-06/042 za rezano in krivljeno armaturo</t>
  </si>
  <si>
    <t>V./14.8.</t>
  </si>
  <si>
    <t>Vlakna za beton-1.del:Jeklena vlakna-definicije, specifikacije in skladnost</t>
  </si>
  <si>
    <t>SIST EN 14889-1:2006</t>
  </si>
  <si>
    <t>V./14.9.</t>
  </si>
  <si>
    <t>Vlakna za beton-2.del: Polimerna vlakna-definicije, specifikacije in skladnost</t>
  </si>
  <si>
    <t>SIST EN 14889-2:2006</t>
  </si>
  <si>
    <t>V./14.10.</t>
  </si>
  <si>
    <t>Konstrukcijska ležišča- 5.del:Lončna  ležišča</t>
  </si>
  <si>
    <t>SIST EN 1337-5:2005</t>
  </si>
  <si>
    <t>V./14.11.</t>
  </si>
  <si>
    <t xml:space="preserve">Konstrukcijska ležišča- 6.del:Linijska in točkovna zasučna ležišča </t>
  </si>
  <si>
    <t>SIST EN 1337-6:2004</t>
  </si>
  <si>
    <t>V./14.12.</t>
  </si>
  <si>
    <t xml:space="preserve">Konstrukcijska ležišča- 7.del:Sferična in cilindrična PTFE ležišča </t>
  </si>
  <si>
    <t>SIST EN 1337-7:2004</t>
  </si>
  <si>
    <t>V./14.13.</t>
  </si>
  <si>
    <t xml:space="preserve">Konstrukcijska ležišča- 8.del:Vodila za ležišča in pritrjene konstrukcije </t>
  </si>
  <si>
    <t>SIST EN 1337-8:2008</t>
  </si>
  <si>
    <t>V./14.14.</t>
  </si>
  <si>
    <t>Betonarna ki proizvede beton o kontroli proizvodnje</t>
  </si>
  <si>
    <t>Certifikat kontrole proizvodnje s strani certifikacijskega organa</t>
  </si>
  <si>
    <t>V./14.15.</t>
  </si>
  <si>
    <t>Kemijski dodatki za beton, malto in injekcijsko maso – 2.del: Kemijski dodatki za beton – Definicije, zahteve, skladnost, označevanje in etiketiranje</t>
  </si>
  <si>
    <t>SIST EN 934-2:2009+A1:2012</t>
  </si>
  <si>
    <t>V./14.16.</t>
  </si>
  <si>
    <t>Kemijski dodatki za beton, malto in injekcijsko maso – 5.del: Kemijski dodatki za brizgan beton – Definicije, zahteve, skladnost, označevanje in obeleževanje</t>
  </si>
  <si>
    <t>SIST EN 934-5:2008</t>
  </si>
  <si>
    <t>V./14.17.</t>
  </si>
  <si>
    <t>Proizvodi in sistemi za zaščito in popravilo betonskih konstrukcij – Definicije, zahteve, kontrola kakovosti in ovrednotenje skladnosti – 2.del: Sistemi za zaščito površine betona</t>
  </si>
  <si>
    <t>SIST EN 1504-2:2004</t>
  </si>
  <si>
    <t>V./14.18.</t>
  </si>
  <si>
    <t>Proizvodi in sistemi za zaščito in popravilo betonskih konstrukcij – Definicije, zahteve, kontrola kakovosti in ovrednotenje skladnosti – 3.del: Konstrukcijska in nekonstrukcijska popravila</t>
  </si>
  <si>
    <t>SIST EN 1504-3:2006</t>
  </si>
  <si>
    <t>V./14.19.</t>
  </si>
  <si>
    <t>Proizvodi in sistemi za zaščito in popravilo betonskih konstrukcij – Definicije, zahteve, kontrola kakovosti in ovrednotenje skladnosti – 4.del: Konstrukcijsko povezovanje</t>
  </si>
  <si>
    <t>SIST EN 1504-4:2005</t>
  </si>
  <si>
    <t>V./14.20.</t>
  </si>
  <si>
    <t>Proizvodi in sistemi za zaščito in popravilo betonskih konstrukcij – Definicije, zahteve, kontrola kakovosti in ovrednotenje skladnosti – 5.del: Injektiranje betona</t>
  </si>
  <si>
    <t>SIST EN 1504-5:2005</t>
  </si>
  <si>
    <t>V./14.21.</t>
  </si>
  <si>
    <t>Proizvodi in sistemi za zaščito in popravilo betonskih konstrukcij – Definicije, zahteve, kontrola kakovosti in ovrednotenje skladnosti – 6. del: Sidranje armaturne palice</t>
  </si>
  <si>
    <t>SIST EN 1504-6:2006</t>
  </si>
  <si>
    <t>V./14.22.</t>
  </si>
  <si>
    <t>Proizvodi in sistemi za zaščito in popravilo betonskih konstrukcij – Definicije, zahteve, kontrola kakovosti in ovrednotenje skladnosti – 7.del: Zaščita armature proti koroziji</t>
  </si>
  <si>
    <t>SIST EN 1504-7:2006</t>
  </si>
  <si>
    <t>V./14.23.</t>
  </si>
  <si>
    <t>Mikro silika za beton – 1.del: Definicije, zahteve in merila skladnosti</t>
  </si>
  <si>
    <t>SIST EN 13263-1:2005+A1:2009</t>
  </si>
  <si>
    <t>V./14.24.</t>
  </si>
  <si>
    <t>Montažni betonski izdelki</t>
  </si>
  <si>
    <t>SIST EN 14843:2007</t>
  </si>
  <si>
    <t>Splošna določila za betonska dela :</t>
  </si>
  <si>
    <t>Betonska dela se morajo izvajati po določilih veljavnih tehničnih predpisov in normativov v soglasju z obveznimi standardi (SIST)</t>
  </si>
  <si>
    <t>Vgrajeni materiali za ta dela morajo po kvaliteti ustrezati določilom veljavnih tehničnih predpisov in standardov.</t>
  </si>
  <si>
    <t>Standardi za betonska dela po tem katalogu vsebujejo poleg izdelave opisane v posameznem standardu še vsa potrebna pomožna dela, zlasti:</t>
  </si>
  <si>
    <t>dela in ukrepe po določenih veljavnih predpisov varstva pri delu,</t>
  </si>
  <si>
    <t>čiščenje in močenje opažev neposredno pred pričetkom betoniranja,</t>
  </si>
  <si>
    <t>čiščenje betonskega železa od blata, maščob in rje, ki se lušči, postavljanje podložk in začasno vezanje  armature k opažu,</t>
  </si>
  <si>
    <t>manjša popravila opažev pri betoniranju;</t>
  </si>
  <si>
    <t>vmetavanje betona v opaže in premeščanje lijaka med betoniranjem,</t>
  </si>
  <si>
    <t>čiščenje prostorov in delavnih naprav po dovršenem delu,</t>
  </si>
  <si>
    <t>zaščita in močenje betona,</t>
  </si>
  <si>
    <t>Naprava in odstranitev opažev, podpor, transportnih in drugih odrov, potrebnih pri vgrajevanju betona ter priprava in polaganje betonskega železa, niso vključeni v standardih za betonska dela.</t>
  </si>
  <si>
    <t>Vgrajevanje betona</t>
  </si>
  <si>
    <t>Splošni pogoji:</t>
  </si>
  <si>
    <t>Pred pričetkom betonskih del mora biti opaž in armatura popolnoma pripravljena;</t>
  </si>
  <si>
    <t>Opaž mora biti popolnoma zaliti z betonom, beton mora biti gost in brez gnezd. Armatura mora ostati na svojem mestu in mora biti obdana od vseh strani s predpisanim zaščitnim slojem betona;</t>
  </si>
  <si>
    <t>Višina prostega pada betona ne sme biti večja od 1 m. V primeru, da se mora beton vmetavati z večje višine, je potrebno, da bi preprečili segregacijo, uporabiti eno od priznanih metod za vmetavanje betona;</t>
  </si>
  <si>
    <t>Kvaliteta betona mora ustrezati zahtevam splošnih določil za betonska dela in opis del;</t>
  </si>
  <si>
    <t>Kot vidne konstrukcije se smatrajo vse tiste konstrukcije iz betona, ki ostanejo po izdelavi neometane.</t>
  </si>
  <si>
    <t>Opis dela :</t>
  </si>
  <si>
    <t>Ročno vgrajevanje z ročnim ali strojnim zgoščevanjem betona v konstrukcije določenega preseka;</t>
  </si>
  <si>
    <t>Naprava betona s prenosom vsega materiala do mesta izdelave;</t>
  </si>
  <si>
    <t>Prenos betona do mesta vgraditve;</t>
  </si>
  <si>
    <t>Vsa pomožna dela po opisu iz splošnih določil za betonska dela</t>
  </si>
  <si>
    <t>Dela :</t>
  </si>
  <si>
    <t>vgrajevanje se določa v m3 vgrajenega betona:</t>
  </si>
  <si>
    <t>Betonsko železo :</t>
  </si>
  <si>
    <t>Splošni pogoji :</t>
  </si>
  <si>
    <t>betonsko železo mora biti obdelano v skladu z veljavnimi predpisi, točno po armaturnem načrtu.</t>
  </si>
  <si>
    <t>Pritrjeno mora biti tako, da ostane med betoniranjem na svojem mestu</t>
  </si>
  <si>
    <t>Standardi razlikujejo tri vrste armature:</t>
  </si>
  <si>
    <t>enostavna armatura: to je enojna armatura čez eno polje nosilec, plošče in stropove, armatura  temeljev, zidov, zidnih vezi, navadno armiranih stebrov in podobno.</t>
  </si>
  <si>
    <t>srednje zahtevna  armatura : to je armatura čez več polj za nosilce, plošče in stropove, dvojna armatura čez eno polje, armatura kontinuiranih temeljev, nosilcev in preklad nepravilnih oblik,   ločenih zidov, bunkerjev in protiletalskih zaklonišč, stebrov za daljnovode, navadnih okvirjev in   podobno.</t>
  </si>
  <si>
    <t>zahtevna armatura : to je dvojna armatura čez več polj za nosilce, plošče in stropove, armatura poševnih okvirov, zavitih stopnic brez stebra v sredini, kupol, lupin in podobno.</t>
  </si>
  <si>
    <t>Opis dela:</t>
  </si>
  <si>
    <t>ravnanje, rezanje, krivljenje, polaganje in vezanje armature</t>
  </si>
  <si>
    <t>prenos armature do mesta vgraditve</t>
  </si>
  <si>
    <t>vsa pomožna dela po opisu iz točke splošnih določil za betonska dela</t>
  </si>
  <si>
    <t>VI.</t>
  </si>
  <si>
    <t>ZIDARSKA DELA:</t>
  </si>
  <si>
    <r>
      <t>OPOMBA:</t>
    </r>
    <r>
      <rPr>
        <sz val="11"/>
        <rFont val="Arial"/>
        <family val="2"/>
        <charset val="238"/>
      </rPr>
      <t xml:space="preserve"> Čiščenje prostorov, objekta, opreme in delovnih naprav po končanih posameznih fazah je vkalkulirati v e.m. Pri posameznih postavkah zidarskih del iz tega poglavja mora ponudnik v cenah za enoto mere obvezno zajeti, upoštevati in vkalkulirati še: </t>
    </r>
  </si>
  <si>
    <t>VI./1.</t>
  </si>
  <si>
    <t xml:space="preserve">Izvajalec je pred pričetkom izvedbe estrihov dolžan predložiti projekt estrihov, v katerem bo prikazan način zagotavljanja kvalitete vgrajenih estrihov  ter njihovo negovanje do dosežene dokončne predpisane kvalitete. Stroške negovanja estrihov je vkalkulirati v ceno po enoti mere in pri sami izvedbi estrihov obvezno izvesti vsa dela po popisu vključno s potrebno  dobavo in polaganjem robnih trakov  v višini celotne podne  konstrukcije  + 2 cm. Višek trakov se odstrani po končanih delih odstrani. Nadomestila za izvedbo estrihov z naklonom do 5 % od vodoravnosti se posebej ne priznava.  V ceno enote mere izvedbe estriha je vkalkulirati tudi izvedbo morebitnih muld in grebenov ; delovne stike in dilatacije. - Dilatacijska polja zunanjih in notranjih estrihov so velikosti 20-25 m2 in jih je potrebno uskladiti s potekom fug finalnega tlaka. </t>
  </si>
  <si>
    <t>VI./2.</t>
  </si>
  <si>
    <t>Dopustna odstopanja za pravokotnost, površinsko ravnost in dimenzije gradbenih elementov veljajo določila DIN 18202.</t>
  </si>
  <si>
    <t>VI./3.</t>
  </si>
  <si>
    <t xml:space="preserve">Vsa dela morajo biti izvedena na način, ki omogoča in zagotavlja predpisano varnost, stabilnost in funkcionalnost ter življensko dobo posameznega elementa. </t>
  </si>
  <si>
    <t>VI./4.</t>
  </si>
  <si>
    <t xml:space="preserve">V ponudbenih  cenah je zajeti tudi strošek zaščite izvedenih del med posameznimi fazami del (hidroizolacija , estrihi,  polaganje keramike) in pri izdelavi horizontalne in vertikalne hidroizolacije obvezno upoštevati in v e.m. vkalkulirati vsa predhodna dela: izdelava zaokrožnic na stikih vertikal in horizontal ipd... </t>
  </si>
  <si>
    <t>VI./5.</t>
  </si>
  <si>
    <t>Ometane površine morajo biti vertikalno in horizontalno ravne z ostrimi robovi na stikih sten in na vogalih (če ni s popisom in projektom drugače predvideno). Na mestih, kjer se stene oblagajo s keramično oblogo, se ometi namesto s podaljšano apneno malto izdelajo s podaljšano cementno malto in na željo investitorja lahko samo z grobim gladko zaribanim ometom, kar se upošteva pri določitvi cen.</t>
  </si>
  <si>
    <t>VI./6.</t>
  </si>
  <si>
    <t xml:space="preserve">Vse zidarske odre je potrebno vkalkulirati v ceno za enoto mere. </t>
  </si>
  <si>
    <t>VI./7.</t>
  </si>
  <si>
    <t xml:space="preserve">Zidovi morajo biti zidani ravno, s čistimi bloki, fuge morajo biti enakomernih debelin ter popolnoma horizontalne in vertikalne. Stiki in fuge morajo biti z veznim sredstvom popolnoma zapolnjeni. </t>
  </si>
  <si>
    <t>VI./8.</t>
  </si>
  <si>
    <t xml:space="preserve">Cevi za prezračevanje so predmet popisa strojnih inštalacij. </t>
  </si>
  <si>
    <t>Standardi, ki se nanašajo zidarska dela, oziroma materiale, ki se uporabljajo pri zidarskih delih.</t>
  </si>
  <si>
    <t>VI./10.1.</t>
  </si>
  <si>
    <t>Zidarski cement – 1. del: Sestava, zahteve in merila skladnosti</t>
  </si>
  <si>
    <t>SIST EN 413-1:2011</t>
  </si>
  <si>
    <t>VI./10.2.</t>
  </si>
  <si>
    <t>Gradbeno apno – 1. del: Definicije, zahteve in merila skladnosti</t>
  </si>
  <si>
    <t>SIST EN 459-1:2010</t>
  </si>
  <si>
    <t>VI./10.3.</t>
  </si>
  <si>
    <t>Specifikacija za zidake – 1. del: Opečni zidaki</t>
  </si>
  <si>
    <t>Specifikacija za zidake – 3. del: Betonski zidaki (kompaktni in lahki agregati)</t>
  </si>
  <si>
    <t>SIST EN 771-6:2011</t>
  </si>
  <si>
    <t>VI./10.4.</t>
  </si>
  <si>
    <t>Montažni betonski izdelki-Normalni in lahki betonski bloki-Značilnosti in obnašanje izdelkov</t>
  </si>
  <si>
    <t>SIST EN 15435:2008</t>
  </si>
  <si>
    <t>VI./10.5.</t>
  </si>
  <si>
    <t>Montažni betonski bloki-Betonski bloki iz lesenih drobcev-Lastnosti in obnašanje izdelkov</t>
  </si>
  <si>
    <t>SIST EN 15498:2008</t>
  </si>
  <si>
    <t>VI./10.6.</t>
  </si>
  <si>
    <t>Specifikacija za dodatne komponente zidovine – 1. del: Vezna stremena, sidrni trakovi, obešala in konzole</t>
  </si>
  <si>
    <t>SIST EN 845-1:2013</t>
  </si>
  <si>
    <t>VI./10.7.</t>
  </si>
  <si>
    <t xml:space="preserve"> Specifikacija za dodatne komponente zidovine – 2. del: Preklade</t>
  </si>
  <si>
    <t>SIST EN 845-2:2013</t>
  </si>
  <si>
    <t>VI./10.8.</t>
  </si>
  <si>
    <t>Specifikacija za dodatne komponente zidovine – 3. del: Jeklene mreže za armiranje naležnih reg</t>
  </si>
  <si>
    <t>SIST EN 845-3:2013</t>
  </si>
  <si>
    <t>VI./10.9.</t>
  </si>
  <si>
    <t xml:space="preserve"> Specifikacija malt za zidanje – 1. del: Zunanji in notranji ometi</t>
  </si>
  <si>
    <t>SIST EN 998-1:2010</t>
  </si>
  <si>
    <t>VI./10.10.</t>
  </si>
  <si>
    <t>Specifikacija malt za zidanje – 2. del: Malta za zidanje</t>
  </si>
  <si>
    <t>SIST EN 998-2:2010</t>
  </si>
  <si>
    <t>VI./10.11.</t>
  </si>
  <si>
    <t>Agregati za malte</t>
  </si>
  <si>
    <t>SIST EN 13139:2002</t>
  </si>
  <si>
    <t>SIST EN 13139:2002/AC:2004</t>
  </si>
  <si>
    <t>VI./10.12.</t>
  </si>
  <si>
    <t>Lahki agregati -1.del:Lahki agregati za beton, malto in injekcijsko malto</t>
  </si>
  <si>
    <t>VI./10.13.</t>
  </si>
  <si>
    <t xml:space="preserve">Specifikacija za zunanje in notranje omete na osnovi organskih veziv </t>
  </si>
  <si>
    <t>SIST EN 15824:2009</t>
  </si>
  <si>
    <t>VI./10.14.</t>
  </si>
  <si>
    <t>Vlakna za beton – 1. del: Jeklena vlakna – Definicije, specifikacije in skladnost</t>
  </si>
  <si>
    <t>VI./10.15.</t>
  </si>
  <si>
    <t>Vlakna za beton – 2. del: Polimerna vlakna – Definicije, specifikacije in skladnost</t>
  </si>
  <si>
    <t>VI./10.16.</t>
  </si>
  <si>
    <t>Kemijski dodatki za beton, malto in injekcijsko maso – 3.del: Kemijski dodatki za malto za zidanje – Definicije, zahteve, skladnost, označevanje in etiketiranje</t>
  </si>
  <si>
    <t>SIST EN 934-3:2009+A1:2012</t>
  </si>
  <si>
    <t>VI./10.17.</t>
  </si>
  <si>
    <t>Pigmenti za obarvanje gradbenih materialov na osnovi cementa in/ali apna – Specifikacije in metode preskušanja</t>
  </si>
  <si>
    <t>SIST EN 12878:2005</t>
  </si>
  <si>
    <t>SIST EN 12878:2005/ AC:2006</t>
  </si>
  <si>
    <t>VI./10.18.</t>
  </si>
  <si>
    <t>Mavčna veziva in mavčni notranji ometi – 1. del: Definicije in zahteve</t>
  </si>
  <si>
    <t>SIST EN 13279-1:2008</t>
  </si>
  <si>
    <t>VI./10.19.</t>
  </si>
  <si>
    <t>Veziva, sestavljena veziva in industrijsko pripravljene mešanice za estrihe na osnovi kalcijevega sulfata – 1. del: Definicije in zahteve</t>
  </si>
  <si>
    <t>SIST EN 13454-1:2004</t>
  </si>
  <si>
    <t>VI./10.20.</t>
  </si>
  <si>
    <t>Veziva za magnezitne estrihe – Akustični magnezit in magnezijev klorid – 1. del: Definicije in zahteve</t>
  </si>
  <si>
    <t>SIST EN 14016-1:2004</t>
  </si>
  <si>
    <t>VI./10.21.</t>
  </si>
  <si>
    <t>Veziva za magnezitne estrihe – Kaustični magnezit in magnezijev klorid – 1.del: definicije in zahteve</t>
  </si>
  <si>
    <t>VI./10.22.</t>
  </si>
  <si>
    <t xml:space="preserve">Estrihi – Materiali za estrihe- Lastnosti in zahteve </t>
  </si>
  <si>
    <t>SIST EN 13813:2003</t>
  </si>
  <si>
    <t>VI./10.23.</t>
  </si>
  <si>
    <t xml:space="preserve">Kovinski profili-Definicije, zahteve in preskusne metode – 1.del: Notranji omet </t>
  </si>
  <si>
    <t>SIST EN 13658-1:2005</t>
  </si>
  <si>
    <t>VI./10.24.</t>
  </si>
  <si>
    <t xml:space="preserve">Kovinski profili-Definicije, zahteve in preskusne metode – 2.del: Zunanji omet </t>
  </si>
  <si>
    <t>SIST EN 13658-2:2005</t>
  </si>
  <si>
    <t>VI./10.25.</t>
  </si>
  <si>
    <t>Polimerni materiali-Profili iz nemehčanega polivinilklorida (PVC-U) za uporabo v gradbeništvu – 2.del: Profili PVC-U in PVC-UE za notranje in zunanje obloge zidov in stropov</t>
  </si>
  <si>
    <t>SIST EN 13245-2:2008</t>
  </si>
  <si>
    <t>SIST EN 13245-2:2008/AC:2010</t>
  </si>
  <si>
    <t>VI./10.26.</t>
  </si>
  <si>
    <t>Mavčni bloki -Definicije, zahteve in metode preizkušanja</t>
  </si>
  <si>
    <t>SIST EN 12859:2011</t>
  </si>
  <si>
    <t>VI./10.27.</t>
  </si>
  <si>
    <t>Lepila na osnovi mavca za bloke iz mavca-Definicije, zahteve in metode preizkušanja</t>
  </si>
  <si>
    <t>SIST EN 12860:2002</t>
  </si>
  <si>
    <t>SIST EN 12860:2002/AC:2004</t>
  </si>
  <si>
    <t>VI./10.28.</t>
  </si>
  <si>
    <t>Steklo v gradbeništvu-Stekleni zidaki in stekleni tlakovci-2.del: Ovrednotenje skladnosti, standard za izdelek</t>
  </si>
  <si>
    <t>SIST EN 1051-2:2008</t>
  </si>
  <si>
    <t xml:space="preserve">Izolacije </t>
  </si>
  <si>
    <t>VI./10.29.</t>
  </si>
  <si>
    <t>Toplotnoizolacijski proizvodi za stavbe – Proizvodi iz mineralne volne (MW) – Specifikacija</t>
  </si>
  <si>
    <t>SIST EN 13162:2013</t>
  </si>
  <si>
    <t>VI./10.30.</t>
  </si>
  <si>
    <t>Toplotnoizolacijski proizvodi za opremo stavb in industrijske instalacije – Proizvodi iz mineralne volne (MW) – Specifikacija</t>
  </si>
  <si>
    <t>SIST EN 14303:2010+A1:2013</t>
  </si>
  <si>
    <t>VI./10.31.</t>
  </si>
  <si>
    <t>Toplotnoizolacijski proizvodi za stavbe – Razsuti proizvodi iz mineralne volne (MW)-1.del:Specifikacija za vezane in razsute proizvode pred vgradnjo</t>
  </si>
  <si>
    <t>SIST EN 14064-1:2010</t>
  </si>
  <si>
    <t>VI./10.32.</t>
  </si>
  <si>
    <t>Toplotnoizolacijski proizvodi za opremo stavb in industrijske inštalacije – Proizvodi iz ekspandiranega perlita (EP), oblikovani na mestu vgradnje -1.del: Specifikacija za vezane in razsute proizvode pred vgradnjo</t>
  </si>
  <si>
    <t>SIST EN 15599-1:2011</t>
  </si>
  <si>
    <t>VI./10.33.</t>
  </si>
  <si>
    <t>Toplotnoizolacijski proizvodi za opremo stavb in industrijske inštalacije – Proizvodi iz ekspandiranega vermikulita (EV), oblikovani na mestu vgradnje -1.del: Specifikacija za vezane in razsute proizvode pred vgradnjo</t>
  </si>
  <si>
    <t>SIST EN 15600-1:2011</t>
  </si>
  <si>
    <t>VI./10.34.</t>
  </si>
  <si>
    <t>Toplotnoizolacijski proizvodi za stavbe – Proizvodi iz ekspandiranega polistirena (EPS) – Specifikacija</t>
  </si>
  <si>
    <t>SIST EN 13163:2013</t>
  </si>
  <si>
    <t>VI./10.35.</t>
  </si>
  <si>
    <t>Toplotnoizolacijski proizvodi za stavbe – Proizvodi iz ekstrudiranega polistirena (XPS) – Specifikacija</t>
  </si>
  <si>
    <t>SIST EN 13164:2013</t>
  </si>
  <si>
    <t>VI./10.36.</t>
  </si>
  <si>
    <t>Toplotnoizolacijski proizvodi za stavbe – Proizvodi iz trde poliuretanske pene (PUR) – Specifikacija</t>
  </si>
  <si>
    <t>VI./10.37.</t>
  </si>
  <si>
    <t>SIST EN 13165:2013</t>
  </si>
  <si>
    <t>VI./10.38.</t>
  </si>
  <si>
    <t>Toplotnoizolacijski proizvodi za stavbe – Proizvodi iz brizgane poliuretanske pene (PUR)  in poliizocianuratne pene (PIR), oblikovani na mestu vgradnje -1.del: Specifikacija penastega sistema pred vgradnjo</t>
  </si>
  <si>
    <t>SIST EN 14315-1:2013</t>
  </si>
  <si>
    <t>VI./10.39.</t>
  </si>
  <si>
    <t>Toplotnoizolacijski proizvodi za stavbe – Proizvodi iz trde poliuretanske pene (PUR)  in poliizocianuratne pene (PIR), oblikovani na mestu vgradnje -1.del: Specifikacija penastega sistema pred vgradnjo</t>
  </si>
  <si>
    <t>SIST EN 14318-1:2013</t>
  </si>
  <si>
    <t>VI./10.40.</t>
  </si>
  <si>
    <t>Toplotnoizolacijski proizvodi za stavbe – Proizvodi iz fenolne pene (PF) – Specifikacija</t>
  </si>
  <si>
    <t>SIST EN 13166:2013</t>
  </si>
  <si>
    <t>VI./10.41.</t>
  </si>
  <si>
    <t>Toplotnoizolacijski proizvodi za stavbe – Proizvodi iz penjenega stekla (CG) – Specifikacija</t>
  </si>
  <si>
    <t>SIST EN 13167:2013</t>
  </si>
  <si>
    <t>VI./10.42.</t>
  </si>
  <si>
    <t>Toplotnoizolacijski proizvodi za stavbe – Proizvodi iz lesne volne (WW) – Specifikacija</t>
  </si>
  <si>
    <t>SIST EN 13168:2013</t>
  </si>
  <si>
    <t>VI./10.43.</t>
  </si>
  <si>
    <t>Toplotnoizolacijski proizvodi za stavbe – Proizvodi iz ekspandiranega perlita (EPB) – Specifikacije</t>
  </si>
  <si>
    <t>SIST EN 13169:2013</t>
  </si>
  <si>
    <t>VI./10.44.</t>
  </si>
  <si>
    <t>Toplotnoizolacijski proizvodi za stavbe _ Proizvodi iz ekspandirane plute (ICB) – Specifikacija</t>
  </si>
  <si>
    <t>SIST EN 13170:2013</t>
  </si>
  <si>
    <t>VI./10.45.</t>
  </si>
  <si>
    <t>Toplotnoizolacijski proizvodi za stavbe – Proizvodi iz lesenih vlaken (WF) – Specifikacija</t>
  </si>
  <si>
    <t>SIST EN 13171:2013</t>
  </si>
  <si>
    <t>VI./10.46.</t>
  </si>
  <si>
    <t>Toplotnoizolacijski materiali in proizvodi – Proizvodi iz ekspandiranega glinenega agregatnega proizvoda (LWA), oblikovani na mestu vgradnje – 1.del: Specifikacija za vezane in razsute proizvode pred vgradnjo</t>
  </si>
  <si>
    <t>SIST EN 14063-1:2005</t>
  </si>
  <si>
    <t>SIST EN 14063-1:2005/AC:2008</t>
  </si>
  <si>
    <t>VI./10.47.</t>
  </si>
  <si>
    <t>Toplotnoizolacijski in lahki polnilni proizvodi za inženirske objekte (DEA) – Proizvodi iz ekspandiranega glinenega agregatnega proizvoda (LWA)</t>
  </si>
  <si>
    <t>SIST EN 15732:2013</t>
  </si>
  <si>
    <t>VI./10.48.</t>
  </si>
  <si>
    <t xml:space="preserve">Toplotnoizolacijski proizvodi za opremo stavb in industrijske instalacije – Proizvodi iz ekspandiranega perlita (EPB) in vermikulita (EV) -  Specifikacija </t>
  </si>
  <si>
    <t>SIST EN 15501:2013</t>
  </si>
  <si>
    <t>VI./10.49.</t>
  </si>
  <si>
    <t>Toplotnoizolacijski proizvodi za stavbe _ Proizvodi iz ekspandiranega perlita (EP), oblikovani na mestu vgradnje – 1.del: Specifikacija za vezane in razsute proizvode pred vgradnjo</t>
  </si>
  <si>
    <t>SIST EN 14316-1:2005</t>
  </si>
  <si>
    <t>VI./10.50.</t>
  </si>
  <si>
    <t>Toplotnoizolacijski materiali in proizvodi – Proizvodi iz razplastenega vermikulita (EV), oblikovani na mestu vgradnje – 1.del: Specifikacija za vezane in razsute proizvode pred vgradnjo</t>
  </si>
  <si>
    <t>SIST EN 14317-1:2005</t>
  </si>
  <si>
    <t>VI./10.51.</t>
  </si>
  <si>
    <t>Toplotnoizolacijski in lahko polnilni proizvodi za inženirske objekte – Proizvodi iz ekspandiranega polistirena (SPS) – Specifikacija</t>
  </si>
  <si>
    <t>SIST EN 14933:2007</t>
  </si>
  <si>
    <t>VI./10.52.</t>
  </si>
  <si>
    <t>Toplotnoizolacijski in lahko polnilni proizvodi za inženirske objekte – Proizvodi iz ekstrudiranega  polistirena (XPS) – Specifikacija</t>
  </si>
  <si>
    <t>SIST EN 14934:2008</t>
  </si>
  <si>
    <t>VI./10.53.</t>
  </si>
  <si>
    <t>Toplotnoizolacijski proizvodi za stavbe – Proizvodi iz polietilenske pene (PEF) – Specifikacija</t>
  </si>
  <si>
    <t>SIST EN 16069:2013</t>
  </si>
  <si>
    <t>VI./10.54.</t>
  </si>
  <si>
    <t>Hidroizolacijski trakovi – Polimerni in elastomerni tesnilni trakovi za temelje – Definicije in lastnosti</t>
  </si>
  <si>
    <t>SIST EN 13967:2012</t>
  </si>
  <si>
    <t>VI./10.55.</t>
  </si>
  <si>
    <t>Hidroizolacijski trakovi – Bitumenski tesnilni trakovi za temelje – Definicije in lastnosti</t>
  </si>
  <si>
    <t>SIST EN 13969:2005</t>
  </si>
  <si>
    <t>SIST EN 13969:2005/ A1:2007</t>
  </si>
  <si>
    <t>VI./10.56.</t>
  </si>
  <si>
    <t>Hidroizolacijski trakovi – Bitumenski trakovi, ki kontrolirajo gibanje vode in/ali vodne pare – Definicije in lastnosti</t>
  </si>
  <si>
    <t>SIST EN 13970:2005</t>
  </si>
  <si>
    <t>SIST EN 13970:2005/ A1:2007</t>
  </si>
  <si>
    <t>VI./10.57.</t>
  </si>
  <si>
    <t>Hidroizolacijski trakovi – Polimerni in elastomerni trakovi, ki kontrolirajo gibanje vode in/ali vodne pare – Definicije in lastnosti</t>
  </si>
  <si>
    <t>SIST EN 13984:2013</t>
  </si>
  <si>
    <t>VI./10.58.</t>
  </si>
  <si>
    <t>Hidroizolacijski trakovi – Polimerni in elastomerni trakovi za tesnjenje – Definicije in lastnosti</t>
  </si>
  <si>
    <t>SIST EN 14909:2012</t>
  </si>
  <si>
    <t>Hidroizolacijski trakovi – Bitumenski trakovi za tesnjenje – Definicije in lastnosti</t>
  </si>
  <si>
    <t>SIST EN 14967:2006</t>
  </si>
  <si>
    <t>Sistemi za kontrolo tesnosti – 1.del: Splošna načela</t>
  </si>
  <si>
    <t>SIST EN 13160-1:2003</t>
  </si>
  <si>
    <t>Bitumen in bitumenska veziva – Okvirna specifikacija za bitumne, modificirane s polimeri</t>
  </si>
  <si>
    <t>SIST EN 14023:2010</t>
  </si>
  <si>
    <t>Splošna določila za zidarska dela :</t>
  </si>
  <si>
    <t>Zidarska dela se morajo izvajati po določilih veljavnih tehničnih predpisov in normativov v soglasju z obveznimi standardi.</t>
  </si>
  <si>
    <t>Vgrajeni materiali za ta dela morajo po kvaliteti ustrezati določilom veljavnih tehničnih predpisov in sl. standardov.</t>
  </si>
  <si>
    <t>Kvaliteta malt za zidarska dela mora ustrezati določilom veljavnih tehničnih predpisov in standardov.</t>
  </si>
  <si>
    <t>Standardi za zidarska dela vsebujejo, poleg izdelave opisane v posameznem standardu, še vsa potrebna pomožna dela, zlasti:</t>
  </si>
  <si>
    <t>• dela in ukrepe po določenih veljavnih predpisov varstva pri delu</t>
  </si>
  <si>
    <t>• prenos vode za močenje opeke in zidov, premeščanje malte in občasno mešanje malte, dodajanje  materiala in orodja</t>
  </si>
  <si>
    <t>• postavite, premeščanje in odstranitev premičnih odrov višine do 2 m1</t>
  </si>
  <si>
    <t>• prenos in obeleževanje višinskih točk v objektu</t>
  </si>
  <si>
    <t>• čiščenje prostorov, izdelkov in delavnih priprav med delom in po dovršenem delu.</t>
  </si>
  <si>
    <t>Za višino prostorov nad 4 m se postavitev, premeščanje in odstranitev premičnih odrov določa posebej.</t>
  </si>
  <si>
    <t>Naprava in odstranitev nepremičnih odrov, stopnišč, transportnih in lovilnih odrov se določa posebej.</t>
  </si>
  <si>
    <t>Zidarska dela obrtnikom in instaliranjem ter vzidave se upoštevajo pri standardih za obrtniška in instalaterska dela.</t>
  </si>
  <si>
    <t>Zidanje z opeko :</t>
  </si>
  <si>
    <t>Zidanje mora biti čisto, s pravilno vezavo opeke. Stiki morajo biti dobro zaliti z malto, vrste popolnoma vodoravne, malta pa ne sme biti v debelejšem sloju kot 15 mm. Vse površine morajo biti popolnoma ravne in navpične, odvečna malta iz stikov se mora odstraniti, dokler je še sveža;</t>
  </si>
  <si>
    <t>Kvaliteta opeke in malte mora ustrezati zahtevam splošnih določil in opisu standardov za zidarska del.</t>
  </si>
  <si>
    <t>• zastavljanje zidov;</t>
  </si>
  <si>
    <t>• naprava malt s prenosom do mesta izdelave malte;</t>
  </si>
  <si>
    <t>• prenos materiala do mesta vgraditve;</t>
  </si>
  <si>
    <t>• zidanje z opeko po opisu v posameznem standardu;</t>
  </si>
  <si>
    <t>• vsa pomožna dela po opisu iz splošnih določil za zidarska dela.</t>
  </si>
  <si>
    <t>Dela:</t>
  </si>
  <si>
    <t>Zidanje z opeko se določa po dejansko izvršenih količinah, po opisu in enoti mere v posameznem standardu.</t>
  </si>
  <si>
    <t>Odprtine za okna in vrata se odbijajo po zidarskih merah iz načrta.</t>
  </si>
  <si>
    <t>Ometi</t>
  </si>
  <si>
    <t>Vse omete površine morajo biti popolnoma ravne, z enakomerno površinsko obdelavo.</t>
  </si>
  <si>
    <t xml:space="preserve">Kvaliteta malte mora ustrezati določilom standardov. </t>
  </si>
  <si>
    <t>• naprava vodil</t>
  </si>
  <si>
    <t>• naprava malt s prenosi do mesta vgraditve</t>
  </si>
  <si>
    <t>• prenos materiala do mesta vgraditve</t>
  </si>
  <si>
    <t>• naprava ometa po opisu v posameznem standardu</t>
  </si>
  <si>
    <t>• vsa pomožna dela po opisu iz točke splošnih določil za zidarska dela</t>
  </si>
  <si>
    <t>Določitev pri širini špalete do 20 cm :</t>
  </si>
  <si>
    <t>• odprtine do 3 m2 se ne odbijajo, špalete se ne določajo posebej</t>
  </si>
  <si>
    <t>• pri odprtinah 3-5 m2 se odbijajo odprtine nad 3 m2 in špalete se ne določajo posebej</t>
  </si>
  <si>
    <t>• pri odprtinah nad  5 m2 se odbijajo odprtine nad 3 m2 in špalete se določajo posebej</t>
  </si>
  <si>
    <t>Če so špalete širše od 20 cm, se v vseh primerih širine nad 20 cm določa posebej, odprtine pa se odbijajo na isti način , kot pri odprtinah s špaletami do 20 cm.</t>
  </si>
  <si>
    <t>Izolacije :</t>
  </si>
  <si>
    <t>• vse izolacije morajo ustrezati splošnim določilom veljavnih tehničnih predpisov, drugih normativov in obveznih standardov /SIST/EN</t>
  </si>
  <si>
    <t>• po zvočni izolaciji se stropne konstrukcije delijo v dve skupini:</t>
  </si>
  <si>
    <t>• stropne konstrukcije, ki zadovoljujejo zahtevam o zaščiti pred ropotom/teže nad 300kg/m2</t>
  </si>
  <si>
    <t>• stropne konstrukcije, ki ne odgovarjajo zaščiti pred ropotom / prenosu zraka po zraku - teže izpod 300 kg/m2</t>
  </si>
  <si>
    <t>• priprava vsega izolacijskega materiala s prenosom do mesta vgraditve</t>
  </si>
  <si>
    <t>• naprava izolacije po opisu v posameznih standardu</t>
  </si>
  <si>
    <t>• vsa pomožna dela po opisu iz splošnih določil za zidarska dela</t>
  </si>
  <si>
    <t>Razna zidarska dela :</t>
  </si>
  <si>
    <t>• razna zidarska dela se morajo izvajati po veljavnih predpisih in normativih</t>
  </si>
  <si>
    <t xml:space="preserve">• kvaliteta uporabljenih materialov in izdelkov mora ustrezati zahtevam obveznih standardov </t>
  </si>
  <si>
    <t>• naprava malt s prenosi do mesta izdelave malte</t>
  </si>
  <si>
    <t>• naprava raznih zidarskih del po opisu v posameznem standardu</t>
  </si>
  <si>
    <t>Splošna določila za fasaderska dela :</t>
  </si>
  <si>
    <t xml:space="preserve">Fasaderska dela se morajo izvajati po določenih veljavnih normativov v skladu  z obveznimi standardi. </t>
  </si>
  <si>
    <t xml:space="preserve">Materiali za ta dela morajo v pogledu kvalitete ustrezati določilom normativov in splošnih obveznih standardov. </t>
  </si>
  <si>
    <t>Standardi za fasaderska dela po tem katalogu vsebujejo poleg izdelave same po opisu v posameznem standardu in še vsa potrebna pomožna dela, zlasti:</t>
  </si>
  <si>
    <t>• dela in ukrepe po določilih veljavnih predpisov varstva pri delu</t>
  </si>
  <si>
    <t>• prenos vode za močenje zidov, premeščanje malte in občasno mešanje malte, dodajanje materiala   in orodja</t>
  </si>
  <si>
    <t>• čiščenje prostorov, odrov, izdelkov in delovnih priprav po dovršenem delu</t>
  </si>
  <si>
    <t>Naprava in odstranitev potrebnih fasadnih odrov niso vključena v standardih za fasaderska dela in se določajo posebej.</t>
  </si>
  <si>
    <t>Omet fasade:</t>
  </si>
  <si>
    <t>• vse ometane površine morajo biti ravne z enakomerno površinsko obdelavo</t>
  </si>
  <si>
    <t>• standardi razlikujejo tri vrste fasade :</t>
  </si>
  <si>
    <t>° enostavne gladke fasade: odstotek odprtin in izpadov na fasadi je 25% celotne površine fasade</t>
  </si>
  <si>
    <t>° srednje razčlenjena fasada: odstotek odprtin in izpadov na fasadi je 35% celotne površine fasade</t>
  </si>
  <si>
    <t>° razčlenjena fasada : odstotek odprtin in izpadov na fasadi je nad 35% celotne površine fasade</t>
  </si>
  <si>
    <t>• čiščenje reg in močenje površine zidu</t>
  </si>
  <si>
    <t>• naprava vodil, napravo malt in prenose materiala do mesta vgraditve</t>
  </si>
  <si>
    <t>• ometavanje po opisu v posamezni postavki</t>
  </si>
  <si>
    <t>• vsa pomožna dela po opisu iz splošnih določil za fasaderska dela</t>
  </si>
  <si>
    <t>VII.</t>
  </si>
  <si>
    <t>TESARSKA DELA - OPAŽI IN ODRI:</t>
  </si>
  <si>
    <r>
      <rPr>
        <b/>
        <u/>
        <sz val="11"/>
        <rFont val="Arial"/>
        <family val="2"/>
        <charset val="238"/>
      </rPr>
      <t>OPOMBA:</t>
    </r>
    <r>
      <rPr>
        <sz val="11"/>
        <rFont val="Arial"/>
        <family val="2"/>
        <charset val="238"/>
      </rPr>
      <t xml:space="preserve"> Pri izvajanju tesarskih del je upoštevati vsa pripravljalna dela pri opažih, razopaženje in zlaganje lesa in opažev. Opaži morajo biti pred uporabo pravilno negovani s premazi in odstranitev premazov upoštevana v posameznih cenah E.M. Tesnost in stabilnost opažev mora biti brezpogojno zagotovljena. Opaži za vidne betone morajo biti pripravljeni tako, da so po razopaženju betonske ploskve brez deformacij, gladke oziroma v strukturi določeni s projektom in popolnoma zalite brez gnezd in iztekajočega betona. Pred izvedbo opažev je preveriti in upoštevati vsa navodila in opombe, ki so navedene pri AB delih.  Pri posameznih postavkah tesarskih del iz tega poglavja mora ponudnik v cenah za enoto mere obvezno zajeti, upoštevati in vkalkulirati še: </t>
    </r>
  </si>
  <si>
    <t>VII./1.</t>
  </si>
  <si>
    <t xml:space="preserve">Varovalni odri, ki služijo varovanju življenja, izvajalcev ter ostalih na gradbišču se za čas izvajanja ne določajo posebej, ampak jih je potrebno upoštevati v cenah za enoto posameznih postavk, v kolikor to ni v popisu posebej opisano in označeno. </t>
  </si>
  <si>
    <t>VII./2.</t>
  </si>
  <si>
    <t xml:space="preserve">Amortizacijsko stopnjo opažev in odrov ne glede na dobo za ves čas gradnje na objektu oziroma posamezne faze pri gradnji tudi takrat, kadar je  v posamezni postavki amortizacija določena. </t>
  </si>
  <si>
    <t>VII./3.</t>
  </si>
  <si>
    <t xml:space="preserve">Stroške  za morebitne statične presoje stabilnosti, sidranja in preizkuse opažev, delovnih odrov, varovalnih ali pomičnih odrov je vkalkulirati v cene po enoti posameznih postavk.  </t>
  </si>
  <si>
    <t>VII./4.</t>
  </si>
  <si>
    <t xml:space="preserve">Opaži morajo biti izdelani po merah iz projekta ali posameznih načrtov z vsemi potrebnimi podporami z vodoravno in diagonalno povezavo tako, da so stabilni in vzdržijo vse obtežbe; površine morajo biti čiste in ravne; Vidni opaž se smatra v primeru ko konstrukcija po razopaženju ostane neometana.  </t>
  </si>
  <si>
    <t>VII./5.</t>
  </si>
  <si>
    <t xml:space="preserve">Opaži armiranobetonskih sten in ostalih armiranobetonskih konstrukcij se zapirajo šele po montaži podometne inštalacije ali po montaži opažev za utore.  </t>
  </si>
  <si>
    <t>VII./6.</t>
  </si>
  <si>
    <t>Za vidni opaž se smatra primer, ko konstrukcija po razopaženju ostane neometana (plošče, stene in stebri), glej oznako "viden beton". V teh primerih je točnost in toleranca opaženja  ± 3 mm! V cenah na enoto pri postavkah z navedbo "vidni beton" mora ponudnik upoštevati izdelavo perfektnih 90 stopinjskih robov, brez okruškov. Odprtine v opažih AB zidov in AB plošč se ne odbijajo vendar mora ponudnik zajeti v osnovni ceni za enoto opaža vse predvidene preboje, katere se ne določajo kot dodatno delo razen prebojev, ki so s tem popisom ali s popisom inštalacij (vsi manjši preboji) obdelani v ločenih postavkah.</t>
  </si>
  <si>
    <t>VII./7.</t>
  </si>
  <si>
    <t>V vseh postavkah tesarskih del je v ceni za enoto mere opažev obvezno  zajeti potrebno opaževanje, razopaženje, čiščenje in mazanje opažev ter zlaganje na primernih deponijah skupaj z vsemi transporti in pomožnimi deli.</t>
  </si>
  <si>
    <t>VII./8.</t>
  </si>
  <si>
    <t>Nosilci, preklade, razširitve (stebri) in vezi, ki so v sklopu posameznih AB sten se ne določajo posebej in se določajo kot dvostranski ali enostranski opaž sten, katerim pripadajo. Posebej in ločeno pod posameznimi drugimi postavkami se lahko določajo samo kot samostojni konstrukcijski elementi. Stransko zapiranje elementov se določajo posebej. Odprtine uza okna in vrat se odbijejo v celoti!</t>
  </si>
  <si>
    <t>VII./9.</t>
  </si>
  <si>
    <t>Odri:</t>
  </si>
  <si>
    <t>VII./9.1.</t>
  </si>
  <si>
    <t>Za vse odre je izdelati statični izračun izdelan s strani izvajalca, z upoštevanjem standarda SIST EN 12811. Odre je izdelati, pregledovati in voditi dokumentacijo v skladu s predpisi. Upoštevati je SIST HD 1000 za sistemske delovne odre.</t>
  </si>
  <si>
    <t>VII./9.2.</t>
  </si>
  <si>
    <t>Vsi odri na zgradbi morajo biti napravljeni, premeščeni in odstranjevani z delavci predpisane kvalifikacije in pod nadzorom vodje nadzora.</t>
  </si>
  <si>
    <t>VII./9.3.</t>
  </si>
  <si>
    <t>Ves material za napravo odrov mora biti kvaliteten in ustreznih dimenzij, kar je treba pred vgraditvijo preveriti.</t>
  </si>
  <si>
    <t>VII./9.4 .</t>
  </si>
  <si>
    <t>Pred uporabo ter vsaj enkrat tedensko med uporabo in pred ponovno uporabo po daljši prekinitvi del, mora  vse odre pregledati odgovorna strokovna oseba iz strani izvajalca.</t>
  </si>
  <si>
    <t>V primeru da posamezne postavke v popisu ne zajemajo celotnega opisa potrebnega za funkcionalno dokončanje dela, mora ponudnik izvedbo le tega vključiti v ceno na enoto!</t>
  </si>
  <si>
    <t>VII./9.4.</t>
  </si>
  <si>
    <t>Pred izvedbo opažev je preveriti in upoštevati vsa navodila in opombe, ki so navedene pri AB delih.</t>
  </si>
  <si>
    <t>VII./9.5.</t>
  </si>
  <si>
    <t>Eventualne distančne cevke je potrebno po odstranitvi opaža odstraniti in zatesniti z ustreznim materialom, kjer je potrebno mora polnilo zagotavljati vodotesnost. Tesnilni material mora biti enakega izgleda, strukture in barve, površina pa mora imeti enako teksturo kot osnovna betonirana površina betonskega elementa, ki se tesni.</t>
  </si>
  <si>
    <t>Splošna določila za tesarska dela :</t>
  </si>
  <si>
    <t>Tesarska dela se morajo izvajati po določilih veljavnih tehničnih predpisov v soglasju z obveznimi standardi. Les za ta dela mora v pogledu dimenzij in kvalitete ustrezati določilom obveznih standardov. Standardi za tesarska dela vsebujejo poleg izdelave same, po opisu v posameznem standardu, še vsa potrebna pomožna dela zlasti:</t>
  </si>
  <si>
    <t>• dela in ukrepe po določilih veljavnih predpisov varstva pri delu;</t>
  </si>
  <si>
    <t>• snemanje potrebnih izmer na mestu samem;</t>
  </si>
  <si>
    <t>• postavitev, premeščanje in odstranitev premičnih odrov višine do 2 m1 potrebnih za napravo tesarskih del;</t>
  </si>
  <si>
    <t>• zbiranje in sortiranje lesa po dimenzijah</t>
  </si>
  <si>
    <t>Naprava in odstranitev morebitnih nepremičnih odrov, potrebnih za napravo tesarskih del na višini, se določajo posebej.</t>
  </si>
  <si>
    <t>Opaži :</t>
  </si>
  <si>
    <t xml:space="preserve">Opaži morajo biti izvršeni točno po merah iz načrtov z vsemi potrebnimi podporami, z vodoravno in diagonalno povezani tako, da so stabilni in da vzdržijo obtežbe z betonom. Notranje površine morajo biti čiste in ravne. Pri objektih z več nadstropji mora biti razpored gornjih podpor tak, da se obtežba prenaša neposredno na spodnje podpore. </t>
  </si>
  <si>
    <t>Opaži morajo biti izdelani tako, da se razopaženje opravi lahko brez pretresov in poškodovanja konstrukcije in opažev samih.</t>
  </si>
  <si>
    <t>• naprava opažev po opisu v posamezni postavki s prenosom potrebnega materiala do mesta vgraditve</t>
  </si>
  <si>
    <t>• podpiranje, zavetrovanje in vezanje opažev</t>
  </si>
  <si>
    <t>• razopaženje</t>
  </si>
  <si>
    <t>• ruvanje žičnikov, čiščenje opažev, odnos lesa v deponijo ter sortiranje po dimenzijah</t>
  </si>
  <si>
    <t>• vsa pomožna dela po opisu iz splošnih določil za tesarska dela</t>
  </si>
  <si>
    <t>Opaž temeljev, zidov, stebrov, nosilcev, preklad plošč in obokov ter vencev nad 80 cm širine se določajo po m2 notranje površine, tj.. razvite vidne površine izdelanih konstrukcij. Opaž vezi se določajo v m1 horizontalne projekcije vezi, merjena vsaka vidna stran posebej.</t>
  </si>
  <si>
    <t>Opaž vencev širine do 80 cm se določajo v m1 horizontalne projekcije merjene po zunanjem robu konstrukcije.</t>
  </si>
  <si>
    <t>Opaž stopniščnih ram, podestov in klančin se določajo po m2 opažne površine vključno z zrcalno in čelno ploskvijo.</t>
  </si>
  <si>
    <t>Odri :</t>
  </si>
  <si>
    <t>• material za napravo odrov mora biti kvaliteten, kar je treba pred vgraditvijo preveriti</t>
  </si>
  <si>
    <t>• pred uporabo, enkrat tedensko med uporabo in po daljši prekinitvi del mora vse odre pregledati odgovorna strok. oseba</t>
  </si>
  <si>
    <t>• premični odri višine do 2 m1 so vključeni v standardih ostalih gradbenih del in se ne določajo posebej</t>
  </si>
  <si>
    <t>Fasadni odri se določajo po m2 vertikalne projekcije merjeno po zunanjem robu nosilnih stebrov (zidov) in 1,00 m1 nad najvišjim podom,</t>
  </si>
  <si>
    <t>• odstranitev odrov, žičnikov, čiščenje in odnos materiala v deponijo ter sortiranje po dimenzijah se ne določajo posebej.</t>
  </si>
  <si>
    <t>• vsa pomožna dela po opisu iz točke splošnih določil za tesarska dela</t>
  </si>
  <si>
    <t>• naprava odrov po opisu v posamezni postavki del s prenosom materiala do mesta vgraditve</t>
  </si>
  <si>
    <t>• naprava predpisanih ograj, sidranja in pritrditev</t>
  </si>
  <si>
    <t>• odstranitev odrov , ruvanje žičnikov, čiščenje in odnos materiala v deponijo ter sortiranje po dimenzijah</t>
  </si>
  <si>
    <t>Lesene konstrukcije :</t>
  </si>
  <si>
    <t>Vse lesene konstrukcije morajo biti izvršene strokovno pravilno, po obstoječih tehničnih predpisih in izdelani po tehnični dokumentaciji. Za izbiro standarda je merodajna dejanska količina lesa na m2 konstrukcije po projektu. Upošteva se najbližji gornji standardni popis in temu primerno določi potrebo drugega materiala in časa.</t>
  </si>
  <si>
    <t>• naprava poda za risanje profilov na podu</t>
  </si>
  <si>
    <t>• izdelava in postavitev konstrukcije po opisu v posamezni postavki del s prenosom materiala do mesta vgraditve</t>
  </si>
  <si>
    <t>• vsa pomožna dela po opisu točke splošnih določil za tesarska dela</t>
  </si>
  <si>
    <t>Polaganje lesenih stropnikov in opaži lesenih stropnih konstrukcij se določajo v m2 površine stropa, merjeno med nosilnimi zidovi. Leseni podi se določajo v m2 izvršenega poda.</t>
  </si>
  <si>
    <t>Lesene strešne konstrukcije se določajo po m2 horizontalne projekcije strehe. Za 1,00 m1 grebena ali žlote ( brez slemena )merjenega v horizontalni projekciji se doda 0,50 m2 strehe, odprtine za strešna okna , oz. površine do 4 m2 se ne odbijajo.</t>
  </si>
  <si>
    <t>Letvanje strehe in strešni opaži se določajo v m2 poševne projekcije strehe.</t>
  </si>
  <si>
    <t>Ostale lesene konstrukcije se merijo in določajo v posameznem standardu.</t>
  </si>
  <si>
    <t>VIII.</t>
  </si>
  <si>
    <t>KANALIZACIJA IN DRENAŽA:</t>
  </si>
  <si>
    <r>
      <t>OPOMBA:</t>
    </r>
    <r>
      <rPr>
        <sz val="11"/>
        <rFont val="Arial"/>
        <family val="2"/>
        <charset val="238"/>
      </rPr>
      <t xml:space="preserve"> Podometni H in V razvodi meteorne in fekalne kanalizacije so predmet načrta strojnih inštalacij in opreme, kjer jih opredeljujejo pripadajoči popisi. V sledečem poglavju je zajeta samo meteorna in fekalna kanalizacija  - talni in stropni razvodi ter odvodi v notranjosti po spodnji etaži do priključnega jaška ali cevi izven objekta v zunanji ureditvi in podtlačni odtočni sistem; skratka dela, katere izvajajo delavci gradbene ali obrtne stroke. Instalacijski razvodi, katere izvajajo instalaterji, so zajeti v popisu strojnih instalacij. Pri posameznih postavkah meteorne kanalizacije iz tega poglavja mora ponudnik v cenah za enoto mere obvezno zajeti, upoštevati in vkalkulirati še:</t>
    </r>
  </si>
  <si>
    <t>VIII./1.</t>
  </si>
  <si>
    <t>Celoten cevni material mora v smislu kvalitete, trdnosti in vodotesnosti odgovarjati predpisom, za kar je po končani gradnji dostaviti ustrezna dokazila in izjavo o vodotesnosti cevi. Preizkus tesnosti se opravi po standardu PSIST-EN 1610   s strani pooblaščene organizacije, o čemer je potrebno izdelati ustrezno poročilo.</t>
  </si>
  <si>
    <t>VIII./2.</t>
  </si>
  <si>
    <t xml:space="preserve">Pri ceni je upoštevati izdelavo posnetka kanalizacije: snemanje profilov, vertikalnih in horizontalnih lomov in izdelavo tehničnega  posnetka kanalizacije. Izvajalec na koncu podatke in posnetek preda izdelovalcu PID in POV projekta. </t>
  </si>
  <si>
    <t>VIII./3.</t>
  </si>
  <si>
    <t xml:space="preserve">Kanalizacija pod povoznimi površinami mora biti obvezno polno obbetonirana. </t>
  </si>
  <si>
    <t>VIII./4.</t>
  </si>
  <si>
    <t>Razvod cevi pod stropom, po ploščah in pod stropom objekta po posameznih etažah ter po stenah objekta je predmet popisa strojnih inštalacij; poglavje vodovod v načrtu strojnih inštalacij.</t>
  </si>
  <si>
    <t>VIII./5.</t>
  </si>
  <si>
    <t xml:space="preserve">Vsi vertikalni in horizontalni prehodi skozi posamezne konstrukcije zidov in plošč morajo biti izvedeni na način, ki preprečuje deformacijo kanalizacijskih cevi, stiki morajo biti dilatirani in izvedeni vodotesno: vse skupaj je zajeti v ceno za enoto mere posamezne postavke. </t>
  </si>
  <si>
    <t>VIII./6.</t>
  </si>
  <si>
    <t>Eventualna montaža kolen ali posameznih reducirk ter odcepov se določa kot ekvivalent - 0,5 m1 položene cevi, če ni v popisu drugače opredeljeno. Posamezni preboji in prehodi skozi posamezne AB konstrukcije so obdelani v zidarskih in tesarskih delih.</t>
  </si>
  <si>
    <t>VIII./7.</t>
  </si>
  <si>
    <t xml:space="preserve">Pokrovi, ki so prirejeni za montažo utopljene finalne talne  obloge se montirajo tik pred izdelavo estrihov, zato so obdelani in opisani posebej in ne v sklopu posameznega jaška, katerega se izdela že v prehodnih fazah gradbenih del. </t>
  </si>
  <si>
    <t>VIII./8.</t>
  </si>
  <si>
    <t xml:space="preserve">PVC Cevi, kolena, odcepi, reducirni kosi in loki morajo ustrezati sledečim parametrom: uličnih kanalizacijske UK-PVC troslojne COEX cevi, kolena, odcepi in reducirni kosi, izdelani po standardu EN 1401-1) z nazivno trdnostjo SN-8 (temenska togost 8kN/m2) ali SN-4 (temenska togost 4kN/m2) ravnijo hrupnosti 6 dB (A) pri pretoku 2 l/s,  odporni na vročo vodo, v skladu z normo DIN 1986 (območje uporabe od 0° do 95°C; primerni za odpadne vode s pH vrednostjo med 2 in 12 in do temperature 45°C; skupaj z vsemi pomožnimi deli in materialom ter stičenjem na osnovni sistem. </t>
  </si>
  <si>
    <t>Splošna določila za kanalizacijo:</t>
  </si>
  <si>
    <t>Kanalizacija se mora izvajati po splošnih določilih začasnih tehničnih predpisov v skladu z obveznimi standardi. Materiali in izdelki za ta dela morajo ustrezati določilom obveznih standardov.</t>
  </si>
  <si>
    <t>Standardi za kanalizacijo vsebujejo poleg izdelave same po opisu v posameznem standardu še vsa potrebna pomožna dela in sicer :</t>
  </si>
  <si>
    <t>snemanje potrebnih izmer in profilov na mestu samem</t>
  </si>
  <si>
    <t>niveliranje in postavljanje profilov</t>
  </si>
  <si>
    <t>dodajanje materiala in orodja</t>
  </si>
  <si>
    <t>čiščenje po dovršenem delu</t>
  </si>
  <si>
    <t>OPOMBA : vsa potrebna zemeljska dela se izvedejo in določajo po standardih za zemeljska dela !</t>
  </si>
  <si>
    <t>naprava malte</t>
  </si>
  <si>
    <t>polaganje kanalizacijskih cevi</t>
  </si>
  <si>
    <t>prenos materiala in izdelkov do mesta vgraditve</t>
  </si>
  <si>
    <t>vsa pomožna dela</t>
  </si>
  <si>
    <t>polaganje cevi se določajo po m1 položene cevi</t>
  </si>
  <si>
    <t>naprava jaškov vseh vrst je opisana detajlno in se določa v kompletni izvedbi po komadih.</t>
  </si>
  <si>
    <t>IX.</t>
  </si>
  <si>
    <t>TESARSKA DELA: LESENE STREŠNE in MONTAŽNE KONSTRUKCIJE:</t>
  </si>
  <si>
    <r>
      <rPr>
        <b/>
        <u/>
        <sz val="11"/>
        <rFont val="Arial"/>
        <family val="2"/>
        <charset val="238"/>
      </rPr>
      <t>OPOMBA:</t>
    </r>
    <r>
      <rPr>
        <sz val="11"/>
        <rFont val="Arial"/>
        <family val="2"/>
        <charset val="238"/>
      </rPr>
      <t xml:space="preserve"> Pri izvajanju tesarskih del - ostrešja je upoštevati vsa pripravljalna dela, pomožna dela, zaključna dela, snemanje in izdelavo potrebnih profilov ter ustrezno zlaganje lesa. Hkrati je potrebno tudi upoštevati:</t>
    </r>
  </si>
  <si>
    <t>IX./1.</t>
  </si>
  <si>
    <t xml:space="preserve">Varovalni odri, ki služijo varovanju življenja, izvajalcev ter ostalih na gradbišču in niso posebej navedena v tem popisu (glej tesarska dela - opaži in odri) se za čas izvajanja ne določajo posebej, ampak jih je potrebno upoštevati v cenah za enoto posameznih postavk, v kolikor to ni v popisu posebej opisano in označeno. </t>
  </si>
  <si>
    <t>IX./2.</t>
  </si>
  <si>
    <t>IX./3.</t>
  </si>
  <si>
    <t>IX./4.</t>
  </si>
  <si>
    <t xml:space="preserve">Les za vgradnjo mora biti suh, ostrorobno rezan, očiščen od lubja in ustrezati evropskim standardom EN. </t>
  </si>
  <si>
    <t>IX./5.</t>
  </si>
  <si>
    <t>Eventualno postavitev, premeščanje in odstranitev  premičnih odrov  je upoštevati v cenah za enoto posamezne postavke, pred pričetkom del se opravi snemanje potrebnih izmer in profilov na mestu samem. V ceno je potrebno upoštevati tudi stroške za izdelavo poda in profila.</t>
  </si>
  <si>
    <t>IX./6.</t>
  </si>
  <si>
    <t xml:space="preserve">Tesarji in delavci na strehi morajo biti zavarovani v skladu z predpisi in zakonom o Varstvo pri delu (vsa varovala, ki služijo za uporabo osebne zaščitne opreme v skladu z SIST EN 354, SIST EN 355, SIST EN 360, SIST EN 362 in Zakonom o varstvu in zdravju pri delu). </t>
  </si>
  <si>
    <t>IX./7.</t>
  </si>
  <si>
    <r>
      <t xml:space="preserve">MATERIAL - LESENE LEPLJENE KONSTRUKCIJE: Za lesene lepljene konstrukcije se uporabi kvaliteten sušen les iglavcev kvalitete GL24c, za masive pa C24 po standardu EN 336 (smrekov les, visoke kvalitete: 1. vrsta, z čim manj grčami). Za lepljenje mora izvajalec pripraviti kvaliteten, zdrav les, ki sme vsebovati le vrasle, »zdrave« grče, po možnosti v čim manjšem številu (1. vrsta). Po lepljenju morajo biti elementi posameznega lepljenca v celoti zaščiteni z zaščitnimi impregnacijskimi premazi proti trohnobi, plesni, lesnim škodljivcem in zajedalcem. Zaščita in impregnacija se izdela po postopku "24-urnega potapljanja" v primernih kadeh, ki se jih pripravi na delovišču ali v delovnih obratih dobavitelja.  </t>
    </r>
    <r>
      <rPr>
        <u/>
        <sz val="8"/>
        <rFont val="Arial"/>
        <family val="2"/>
        <charset val="238"/>
      </rPr>
      <t/>
    </r>
  </si>
  <si>
    <t>IX./7.1.</t>
  </si>
  <si>
    <r>
      <rPr>
        <u/>
        <sz val="11"/>
        <rFont val="Arial"/>
        <family val="2"/>
        <charset val="238"/>
      </rPr>
      <t>Način zaščite lesa – opis sistema:</t>
    </r>
    <r>
      <rPr>
        <sz val="11"/>
        <rFont val="Arial"/>
        <family val="2"/>
        <charset val="238"/>
      </rPr>
      <t xml:space="preserve">
Zaščitno sredstvo za les mora izpolnjevati zahteve v skladu s standardi
SIST –TS CEN/TS 12037:2005, SIST EN 152: 1996, SIST ENV 1250-2:2004, 
SIST TS CEN/TS 15119-1:2008, SIST – TS CEN/TS15083-1:2006, SIST EN 46-1:2010, SIST EN 84:2002 in SIST EN 275:2004 ali s primerljivimi standardi, ki zagotavljajo, da je sredstvo primerno učinkovito proti vsem lesnim škodljivcem in da se ob izpostavljenosti zunanjim vplivom ne izpira iz lesa. Skladnost z vsemi navedenimi standardi mora biti izkazana z ustreznimi veljavnimi certifikati, ki jih je na osnovi testiranj izdala neodvisna ustanova.</t>
    </r>
    <r>
      <rPr>
        <u/>
        <sz val="8"/>
        <rFont val="Calibri"/>
        <family val="2"/>
        <charset val="238"/>
      </rPr>
      <t/>
    </r>
  </si>
  <si>
    <t>IX./7.2.</t>
  </si>
  <si>
    <t>Količina vnosa impregnacijskega sredstva v les: 
Les mora biti s tovrstnim sredstvom zaščiten v skladu s standardom SIST EN 351-1, ki zagotavlja, da zaščitno sredstvo med postopkom zaščite v dovolj veliki količini in dovolj globoko prodre v les, kot na primer; vakuumska impregnacija s Silvanolin-om, v komorah. Zunanji, vidni deli konstrukcije in oblog so še dodatno pleskani  z lazurnim premazom na vodni osnovi s pigmentom v sivi barvi. Ton in videz pred izvedbo pismeno potrdi vodja projekta.</t>
  </si>
  <si>
    <t>IX./8.</t>
  </si>
  <si>
    <t>STANDARDI ZA LEPLJENE LESENE KONSTRUKCIJE: Pri izvajanju montažnih del, ostrešja in drugih nosilnih primarnih ter sekundarnih elementov iz lepljenega lesa je striktno upoštevati navodila proizvajalca posameznih elementov, njegove detajle in obrobe ter zaključke, ki so potrebni za garancijo in predpisano kvaliteto, katero pogojujejo izvajalčevi parametri in sledeči standardi: 
• DIN 52611 in DIN 4108 (toplotna prevodnost), 
• DIN 4102-2 in EN 13501 (razred ognje odpornosti), 
• DIN 4102 (gorljivost)
• DIN 52210 (zvočna izolativnost).</t>
  </si>
  <si>
    <t>IX./8.1.</t>
  </si>
  <si>
    <t>8.2. Izolacija lesenih konstrukcij mora ustrezati sledečim standardom: 
• SIST EN 12667 (toplotna prevodnost), 
• SIST EN 13501 (odziv na ogenj), 
• SIST EN 1609 in 12087 (vodo vpojnost), 
• SIT EN 12086 (difuzijska upornost vodni pari) in 
• DIN 4102/T17 (tališče).</t>
  </si>
  <si>
    <t>IX./8.2.</t>
  </si>
  <si>
    <t>Les za konstrukcije (nosilni elementi: nosilci, stebri, ….): Vsi nosilci morajo biti izdelani iz lepljenega lameliranega lesa, ki v končni obliki tvorijo lamelirani lepljeni nosilec, sestavljen iz troslojno dolžinsko spojenega lepljenega lesa (BSH), po standardu EN 386 in EN 14080
• Vrsta lesa: iglavci (smreka)
• Sortiranje: DIN 4074-1 S 10 (s13)
• Vlažnost: 12 ± 2%
• Lepilo 1-K PUR (Dynea ali enakovredno)
• Trdnost: DIN 1052, EN 386
• Dimenzijska natančnost: 
o ≤ 10 cm = ± 1 mm
o ≥ 10 cm = ± 1,5 mm</t>
  </si>
  <si>
    <t>IX./8.3.</t>
  </si>
  <si>
    <t>Izračun lesenih konstrukcij v skladu z SIST EN 1995 1-1 (evrokod5 – Projektiranje lesenih konstrukcij)
Preiskave nosilnosti: SIST EN 408 (Ugotavljanje mehanskih lastnosti)
Les za nenosilne elemente (deske, stavbno pohištvo, fasadne obloge): Vse fasadne plošče/fasadni prefabricirani elementi morajo biti izdelane is večslojnega BSH , DUO ali TRIO  lepljenega sestava, v skladu z osnovni standardom SIST EN 13986 in harmoniziranimi standardi za : 
• Masivne lesene lepljene plošče : SIST EN 13353
• Stenski in stropni elementi: prEN 14732-1
• Stavbno pohištvo (nekonstrukcijski elementi): prEN 13307-1
Lepila: visokokvalitetno lepilo, namenjeno konstrukcijski uporabi, z visoko trdnostjo in trajnostjo, odporno proti vodi, vlagi, temperaturi in biološkim dejavnikom (rezorcionolna, poliuretanska, fenolna ali melaminska) v skladu s standardom: SIST EN 301</t>
  </si>
  <si>
    <t>IX./9.</t>
  </si>
  <si>
    <t>NAČIN OBDELAVE LESA: 
• - V ceni morajo biti zajeti stroški obdelave, prevoza in manipulacije lesenih elementov iz lepljenega lesa velikih dimenzij; dolžin do 12,00 m!
• - Vsi elementi nosilne lesene konstrukcije so izvedeni iz kvalitetnega lepljenjega lesa, spojeni s vodoodpornim lepilom in dimenzij po načrtu. 
• - Vsi elementi lesene nosilne konstrukcije in obložnih materialov morajo biti požarno varni 30 minut in dodatno prepojeni z materiali, ki preprečujejo prekomerno pirolizo lesa. Vsi pritrdilni elementi, vijaki in okovja so iz vročecinkanega jekla.</t>
  </si>
  <si>
    <t>IX./10.</t>
  </si>
  <si>
    <t>SPAJANJE LESENIH KONSTRUKCIJ: Masivne nosilne lesene konstrukcije in lesene lepljene duo, trio, KVH ali BSH konstrukcije ter elementi so lahko sestavljeni v celoti iz med seboj posameznih kosov  ali  večih delov z ustreznimi pravilnimi lesnimi zvezami - dolžinski spoj z dvojno ali enojno zagozdo oz. enakovredno z kovinsko zvezo proizvajalca, npr.; SIMPSON Strong Tie – BMF ali tehnično enakovredno.  Lege so podložene dolžinsko na točkovne podloge iz hrastovih desk in zagozd na osni razdalji max.: 2,00 m in sidrane v ustrezno podlogo z vijaki, sidri in maticami.  (kalo upoštevati v ceni za E.M.)</t>
  </si>
  <si>
    <t>IX./11.</t>
  </si>
  <si>
    <t>Obložene površine morajo biti vertikalno in horizontalno ravne z ostrimi robovi na stikih sten in na vogalih.  Površina dovodnih odprtin ob napuščih - vstopih zraka v prezračevani del strehe mora znašati 2 0/00 tlorisne površine strehe, vendar minimalno 200 cm2 na tekoči meter napušča. Skupna površina odvodnih površin v slemenu mora znašati po DIN 4108 najmanj 0,5 0/00  tlorisne površine strehe.</t>
  </si>
  <si>
    <t>IX./12.</t>
  </si>
  <si>
    <t xml:space="preserve">OPOMBA: Pred izdelavo ostrešja, krovskih in kleparskih del se morajo vsi izvajalci s projektantom dogovoriti o načinu izvedbe zračnega sloja ter o načinu polaganja različnih kritin na ravnem delu strehe in naklonskem delu strehe! Pred pričetkom del morajo biti pismeno s strani vodje nadzora potrjeni vsi detajli. </t>
  </si>
  <si>
    <t>Vse lesene konstrukcije morajo biti izvršene strokovno pravilno, po obstoječih tehničnih predpisih in izdelani po tehnični dokumentaciji. Za izbiro standarda je merodajna dejanska količina lesa na m2 konstrukcije po projektu.</t>
  </si>
  <si>
    <t>Upošteva se najbližji gornji standardni popis in temu primerno določi potrebo drugega materiala in časa.</t>
  </si>
  <si>
    <t>•- naprava poda za risanje profilov na podu</t>
  </si>
  <si>
    <t>• - izdelava in postavitev konstrukcije po opisu v posamezni postavki del s prenosom materiala do mesta vgraditve</t>
  </si>
  <si>
    <t xml:space="preserve"> •- vsa pomožna dela po opisu točke splošnih določil za tesarska dela</t>
  </si>
  <si>
    <t>Lesene strešne konstrukcije se določajo po m2 horizontalne projekcije strehe. Za 1,00 m1 grebena ali žlote (brez slemena) merjenega v horizontalni projekciji se doda 0,50 m2 strehe, odprtine za strešna okna, oz. površine do 4 m2 se ne odbijajo.</t>
  </si>
  <si>
    <t>X.</t>
  </si>
  <si>
    <t>KROVSKO KLEPARSKA DELA</t>
  </si>
  <si>
    <r>
      <rPr>
        <b/>
        <u/>
        <sz val="11"/>
        <rFont val="Arial"/>
        <family val="2"/>
        <charset val="238"/>
      </rPr>
      <t>OPOMBA:</t>
    </r>
    <r>
      <rPr>
        <sz val="11"/>
        <rFont val="Arial"/>
        <family val="2"/>
        <charset val="238"/>
      </rPr>
      <t xml:space="preserve"> Pri izvajanju krovskih in kleparskih del je upoštevati vsa pripravljalna dela, pomožna dela zaključna dela. Pri posameznih postavkah iz tega poglavja mora ponudnik v cenah za enoto mere obvezno zajeti, upoštevati in vkalkulirati še: </t>
    </r>
  </si>
  <si>
    <t>X./1.</t>
  </si>
  <si>
    <t xml:space="preserve">1. Varovalni odri, ki služijo varovanju življenja, izvajalcev ter ostalih na gradbišču in niso posebej navedena v tem popisu (glej tesarska dela - opaži in odri) se za čas izvajanja ne določajo posebej, ampak jih je potrebno upoštevati v cenah za enoto posameznih postavk, v kolikor to ni v popisu posebej opisano in označeno. </t>
  </si>
  <si>
    <t>X./2.</t>
  </si>
  <si>
    <t xml:space="preserve">2. Krovci in kleparji na strehi morajo biti zavarovani v skladu z predpisi in zakonom o Varstvo pri delu (vsa varovala, ki služijo za uporabo osebne zaščitne opreme v skladu z SIST EN 354, SIST EN 355, SIST EN 360, SIST EN 362 in Zakonom o varstvu in zdravju pri delu.). </t>
  </si>
  <si>
    <t>X./3.</t>
  </si>
  <si>
    <t>3. Pri izvajanju krovsko kleparskih del je striktno upoštevati navodila proizvajalca strešnih elementov, njegove detajle in obrobe ter zaključke, ki so potrebni za garancijo in predpisano kvaliteto, katero pogojujejo izvajalčevi parametri in sledeči standardi: DIN 52611 in DIN 4108 (toplotna prevodnost), DIN 4102-2 in EN 13501 (razred ognjeodpornosti), DIN 4102 (gorljivost in DIN 52210 (zvočna izolativnost). Izolacija mora ustrezati sledečim standardom: SIST EN 12667 (toplotna prevodnost), SIST EN 13501 (odziv na ogenj), SIST EN 1609 in 12087 (vodovpojnost), SIT EN 12086 (difuzijska upornost vodni pari) in DIN 4102/T17 (tališče).</t>
  </si>
  <si>
    <t>X./4.</t>
  </si>
  <si>
    <t xml:space="preserve">4. Pri delu je obvezno upoštevati navodila za montažo ter detajle vgraditve od proizvajalca kritine in pločevine. </t>
  </si>
  <si>
    <t>X./5.</t>
  </si>
  <si>
    <t>5. Vsi kleparski izdelki so izdelani iz pocinkane barvane pločevine v kvaliteti DX 51- posebej odbdelani tudi za okroglo krivljenje v debelini 0.55, širini 1000/1250 mm , z nanosom cinka 140 g/m2 + 25 mikronov nanosa barve z obeh strani. Finalni ton je odvisen od namena obrobe ali kritine in ga pogojujejo proizvajalčevi parametri za dosego predpisane kvalitete in garancije ter barvna študija iz PZI načrta (ali po naročilu vodje nadzora) v standardnih barvah: Rjava - RAL 8017, antracit – RAL 7016, vinsko rdeča – RAL 3009, opečna – RAL 8004, bela – RAL 9002, srebrna - RAL 9006, črna – RAL 9005, zelena – RAL 6005 ter siva – RAL 7037.</t>
  </si>
  <si>
    <t>X./6.</t>
  </si>
  <si>
    <t xml:space="preserve">6. Obložene površine morajo biti vertikalno in horizontalno ravne z ostrimi robovi na stikih sten in na vogalih. Rezanje kritine in pločevine je zajeti v ceno za enoto mere, v kolikor ni v popisu drugače določeno. </t>
  </si>
  <si>
    <t>X./7.</t>
  </si>
  <si>
    <t xml:space="preserve">7. Pri montaži kritine je upoštevati detajle in sheme PZI projekta ter tehnične lite ter navodila proizvajalca kritine. </t>
  </si>
  <si>
    <t>X./8.</t>
  </si>
  <si>
    <t>Pri izdelavi kleparskih obrob in montaži kritine je upoštevati detajle in sheme PZI projekta. Navedeni sestavi v popisu so izdelani v skladu z DIN standardi. Izvedba detajlov je določena v skladu s tehničnimi pravili VDD združenja. Za morebitno spremembo sestav je potrebno predhodno potrdilo projektanta!</t>
  </si>
  <si>
    <t>Standardi, ki se nanašajo na ravne strehe oz. materiale, ki se uporabljajo pri ravnih strehah:</t>
  </si>
  <si>
    <t>X./9.</t>
  </si>
  <si>
    <t>kleparska</t>
  </si>
  <si>
    <t>X./9.1.</t>
  </si>
  <si>
    <t>Povsem podprta pločevina in trakovi za pokrivanje streh ter zunanje in notranje obloge – Specifikacija za izdelek in zahteve</t>
  </si>
  <si>
    <t>SIST EN 14783:2006</t>
  </si>
  <si>
    <t>X./9.2.</t>
  </si>
  <si>
    <t>Samonosilna pločevina za pokrivanje streh ter zunanje in notranje obloge – Specifikacija proizvoda in zahteve</t>
  </si>
  <si>
    <t>SIST EN 14782:2006</t>
  </si>
  <si>
    <t xml:space="preserve">OP: Glej še standarde pri ključavničarskih delih in pri pasarskih delih! </t>
  </si>
  <si>
    <t>ravne strehe</t>
  </si>
  <si>
    <t>X./9.3.</t>
  </si>
  <si>
    <t>Hidroizolacijski trakovi – Ojačeni bitumenski trakovi za tesnjenje streh – Definicije in lastnosti</t>
  </si>
  <si>
    <t>SIST EN 13707:2005+A2:2009</t>
  </si>
  <si>
    <t>X./9.4.</t>
  </si>
  <si>
    <t>Hidroizolacijski trakovi – Definicije in lastnosti podložnih folij – 1. del: Podložne folije za strehe</t>
  </si>
  <si>
    <t>SIST EN 13859-1:2010</t>
  </si>
  <si>
    <t>X./9.5.</t>
  </si>
  <si>
    <t>Hidroizolacijski trakovi – Definicije in lastnosti podložnih folij – 2. del: Podložne folije za stene</t>
  </si>
  <si>
    <t>SIST EN 13859-2:2010</t>
  </si>
  <si>
    <t>X./9.6.</t>
  </si>
  <si>
    <t>Hidroizolacijski trakovi – Polimerni in elastomerni trakovi za tesnjenje streh – Definicije in lastnosti</t>
  </si>
  <si>
    <t>SIST EN 13956:2013</t>
  </si>
  <si>
    <t>X./9.7.</t>
  </si>
  <si>
    <t>Lepila za splošne namene montaže v gradbeništvu – zahteve in preskusne metode</t>
  </si>
  <si>
    <t>SIST EN 15274:2009</t>
  </si>
  <si>
    <t>X./9.8.</t>
  </si>
  <si>
    <t>Hidroizolacija ravnih streh:</t>
  </si>
  <si>
    <t>IFD- Direktives pour la conception et la mise en oeuvre de toitures avec etancheite (evropska smernica za projektiranje in izvajanje ravnih streh)</t>
  </si>
  <si>
    <t>Splošna določila za krovska dela:</t>
  </si>
  <si>
    <t>Krovska dela se morajo izvajati po določilih veljavnih normativov v soglasju z obveznimi standardi. Materiali za ta dela morajo po kvaliteti ustrezati določilom normativov in standardov. Standardi za krovska dela po tem katalogu vsebujejo poleg izdelave same po opisu v posameznem standardu še potrebna pomožna dela, zlasti:
- snemanje potrebnih izmer na mestu samem;
- občasno mešanje malte, občasno močenje krovne opreke, prenos vode, premeščanje maltark, dodajanje malte, opreke, vode, maltark, materiala in orodja krovcem ter priprava in kuhanje bitumna;
- čiščenje prostorov, izdelkov in delovnih priprav po dovršenem delu;
Krovci morajo biti med delom na strehi zavarovani po veljavnih predpisih varstva pri delu.</t>
  </si>
  <si>
    <t>Pokrivanje s strešniki
Splošni pogoji :
- nosilna konstrukcija, lesena podloga oz. letve morajo biti predhodno popolnoma pripravljene in dobro izravnane na strani, kjer bodo pribite
- naklon strehe mora ustrezati posameznim predpisom za posamezne vrste strešnikov
Opis dela :
- naprava malte in prenos vsega potrebnega materiala do mesta vgraditve
- pokrivanje strehe po opisu v posameznem standardu
- vsa pomožna dela po opisu iz splošnih določil za krovska dela
Določitev:
- vsa krovska dela se določajo po m2 dejansko izvršenih razvitih površin
- pokrivanje slemena, grebenov, žlot, zidnih priključkov in posebnih strešnih prelomov in zaključkov (šedni slemenjaki, čelna obroba) se določajo po m1 dejansko izvršenih del
- odprtine ležečih strešnih oken, nadsvetlob, dimnikov in podobno se odbijajo od pokrite površine strehe samo, če so večje od 3 m2.
- površina žlote, izdelane iz drugega materiala se odbija od površine strehe le, če je njena širina nad 50 cm in skupna površina nad 3,00 m2.</t>
  </si>
  <si>
    <t xml:space="preserve">Pokrivanje s pločevino :
Splošni pogoji :
- nosilna konstrukcija mora biti popolnoma izdelana in gladka,
- standardi razlikujejo štiri vrste pločevine in dve vrsti podloge:
- lesno podlogo
- betonsko ali podobno podlogo, kot je opeka, kamen itd.
</t>
  </si>
  <si>
    <t>Opis kooperantske /obrtniške/ usluge :
- snemanje potrebnih izmer na objektu
- pregled izvršenih podlog in fino čiščenje pred pričetkom dela
- dobava in postavitev enega sloja strešne lepenke na vse podloge iz opeke, malte in betona
- dobava osnovnega, pomožnega in pritrdilnega materiala in elementov
- delo v delavnici in na montaži z dajatvami
- prevoz izdelkov na objekt, z nakladanjem, ekspeditom, razkladanje, skladiščenjem in notranjim
prenosom do mesta vgraditve
Opis zidarske pomoči :
- vzidava podlog za pritrditev pločevine
Določitev:
- pokrivanje s pločevino se določajo po m2 pokrite površine, merjene v nagibu
- odprtine do 0,50 m2 se ne odbijajo</t>
  </si>
  <si>
    <t xml:space="preserve">Pri izvajanju krovsko kleparskih del je potrebno upoštevati vsa potrebna pripravljalna, pomožna in zaključna dela (pritrdilni material, vezni, tesnilni material, podkonstrukcije in podobno). Dela morajo biti izvršena po določilih veljavnih normativov in v soglasju z obveznimi standardi. Materiali morajo po kvaliteti ustrezati določilom veljavnih standardov; DIN 52611 in DIN 4108 (toplotna prevodnost), DIN 4102-2 in EN 13501 (razred ognjeodpornosti), DIN 4102 (gorljivost in DIN 52210 (zvočna izolativnost). Izolacija mora ustrezati sledečim standardom: SIST EN 12667 (toplotna prevodnost), SIST EN 13501 (odziv na ogenj), SIST EN 1609 in 12087 (vodovpojnost), SIT EN 12086 (difuzijska upornost vodni pari) in DIN 4102/T17 (tališče).
Upoštevati je potrebno: 
- Pravilnik o zaščiti stavb pred vlago
- SIST EN 13707 Hidroizolacijski trakovi - Ojačeni bitumenski trakovi za tesnjenje streh </t>
  </si>
  <si>
    <t>SIST EN 13970 Hidroizolacijski trakovi - Bitumenski trakovi, ki kontrolirajo gibanje vode in/ali vodne pare 
- SIST 1031 Hidroizolacijski trakovi - Bitumenski hidroizolacijski trakovi
- SIST EN 13956 Hidroizolacijski trakovi - Polimerni in elastomerni trakovi za tesnjenje streh
Za izvršitev kleparskih del se uporabljajo obstoječi delovni odri na objektu.
- izvajalec je dolžan izdelati izračun glede dimenzioniranja mehanskega pritrjevanja strešne folije (obremenitev z vetrom)</t>
  </si>
  <si>
    <t>Splošna določila za kleparska dela:</t>
  </si>
  <si>
    <t>Pokrivanje s pločevino :
Splošni pogoji :
- nosilna konstrukcija mora biti popolnoma izdelana in gladka,
- standardi razlikujejo štiri vrste pločevine in dve vrsti podloge:
- lesno podlogo
- betonsko ali podobno podlogo, kot je opeka, kamen itd.</t>
  </si>
  <si>
    <t>Opis kooperantske /obrtniške/ usluge :
- snemanje potrebnih izmer na objektu
- pregled izvršenih podlog in fino čiščenje pred pričetkom dela
- dobava in postavitev enega sloja strešne lepenke na vse podloge iz opeke, malte in betona
- dobava osnovnega, pomožnega in pritrdilnega materiala in elementov
- delo v delavnici in na montaži z dajatvami
- prevoz izdelkov na objekt, z nakladanjem, ekspeditom, razkladanje, skladiščenjem in notranjim prenosom do mesta vgraditve
Opis zidarske pomoči :
- vzidava podlog za pritrditev pločevine
Določitev:
- pokrivanje s pločevino se določajo po m2 pokrite površine, merjene v nagibu
- odprtine do 0,50 m2 se ne odbijajo.</t>
  </si>
  <si>
    <t>Splošni pogoji:
Kleparska dela morajo biti izvršena po določilih veljavnih normativov in v soglasju z obveznimi standardi.
Material za ta del mora po kvaliteti ustrezati določilom veljavnih standardov.
- podloge za kleparska dela morajo biti popolnoma ravne in izvršene v določenem padcu po določilih tehnične dokumentacije. Naprava podloge se določa posebej.
- za izvršitev kleparskih del se uporabljajo obstoječi odri na objektu. V primeru, da so za montažo kleparski izdelki potrebni posebni odri, se ti določajo posebej:
- standardi za kleparska dela vsebujejo:
- izvršitev kooperantske/obrtniške/storitve
- zidarsko pomoč obrtniku - kooperantu
- ostale manipulativne stroške izvajalca del</t>
  </si>
  <si>
    <t>Opis storitev kooperanta/obrtnika/ :
Storitve kooperanta obsegajo, če ni z medsebojno pogodbo drugače določeno:
- snemanje potrebnih izmer na objektu
- pregled izvršenih podlog in fino čiščenje pred pričetkom dela
- dobava in položitev enega sloja strešne lepenke na vse podloge iz opeke, malte ali betona
- dobava osnovnega, pomožnega in pritrdilnega materiala
- delo v delavnici in na montaži z dajatvami
- cinkanje oz. minimiziranje vseh železnih delov, ki so v neposrednem stiku z pločevino
- prevoz izdelkov na objekt z nakladanjem, z ekspeditom, razkladanjem, skladiščenjem in notranjim prenosom do mesta vgraditve
- čiščenje izdelkov po izvršenem delu.</t>
  </si>
  <si>
    <t>Opis zidarske/težaške/pomoči :
- vzidava podlog za pritrditev pločevinastih izdelkov
- vzidava kljuk za viseče žlebove
- vzidava objemk za odtočne cevi
- vzidava strešnih kotličev in podobno
Določitev:
- čelne obrobe, venci in police po m1 merjeno pri odkapniku
- zidne in druge obrobe po m1 merjeno po sredini obrobe
- obrobe dimnikov po m1 merjeno po obodu obrobe
- žlebovi po m1 merjeno po zunanjem robu žleba
- odtočne cevi po m1 merjeno po osi cevi tako, da se za vsak prelom dodaja 0,50 m1 cevi
- strešna okna, kotliči in žlebni priključki po kosu</t>
  </si>
  <si>
    <t>XI.</t>
  </si>
  <si>
    <t>KLJUČAVNIČARSKA DELA:</t>
  </si>
  <si>
    <r>
      <t>OPOMBA:</t>
    </r>
    <r>
      <rPr>
        <sz val="11"/>
        <rFont val="Arial"/>
        <family val="2"/>
        <charset val="238"/>
      </rPr>
      <t xml:space="preserve"> Pri izvajanju ključavničarskih del je upoštevati vsa pripravljalna, pomožna, spremljevalna in zaključna dela. Pri posameznih postavkah ključavničarskih del iz tega poglavja mora ponudnik v cenah za enoto mere obvezno zajeti, upoštevati in vkalkulirati še: </t>
    </r>
  </si>
  <si>
    <t>XI./1.</t>
  </si>
  <si>
    <t xml:space="preserve">1. V ceno za enoto mere morajo biti vračunani stroški za izdelavo delavniških načrtov ter detajlov za izvedbo posameznih konstrukcijskih elementov in izdelava predizmer na objektu.  </t>
  </si>
  <si>
    <t>XI./2.</t>
  </si>
  <si>
    <t xml:space="preserve">2. Varovalni odri, ki služijo varovanju življenja, izvajalcev ter ostalih na gradbišču in niso posebej navedena v tem popisu (glej tesarska dela - opaži in odri) se za čas izvajanja ne določajo posebej, ampak jih je potrebno upoštevati v cenah za enoto posameznih postavk, v kolikor to ni v popisu posebej opisano in označeno. </t>
  </si>
  <si>
    <t>XI./3.</t>
  </si>
  <si>
    <t xml:space="preserve">3. Monterji na višini morajo biti zavarovani v skladu z predpisi in zakonom o Varstvo pri delu (vsa varovala, ki služijo za uporabo osebne zaščitne opreme v skladu z SIST EN 354, SIST EN 355, SIST EN 360, SIST EN 362 in Zakonom o varstvu in zdravju pri delu.). </t>
  </si>
  <si>
    <t>XI./4.</t>
  </si>
  <si>
    <t>4. Vsi jekleni profili, ki so izpostavljeni atmosferskim vplivom, so primarno vroče cinkani in finalno prašno barvani V RAL lestvici.</t>
  </si>
  <si>
    <t>XI./5.</t>
  </si>
  <si>
    <t>5. Pri izdelavi ključavničarskih del in montaži le teh je upoštevati detajle in sheme PZI projekta; Izvajalec del je pred izvedbo dolžan izdelati delavniške načrte, katerih vse detajle in delavniške risbe pred izvedbo pisno potrdi vodja projekta. Pred naročanjem materiala, opreme in vrat je preveriti kosovnice v PZI načrtih gradbenih konstrukcij in statike ter sheme vrat in oken v prikazih arhitekture skupaj s predpisanimi opisi in opremo. Mere kontrolirati in po potrebi prilagoditi pri montaži na terenu. Ob montaži upoštevati celotno projektno dokumentacijo.</t>
  </si>
  <si>
    <t>XI./6.</t>
  </si>
  <si>
    <t>7. Varilne deformacije upošteva izvajalec jeklenih konstrukcij, zvare mora izvajati atestirani varilec. Zvari so C kvalitete po EN 25817, neoznačeni zvari s A= 0,70 x Tmin, pri čemer je Tmin tanjša pločevina v spoju. Antikorozijska zaščita mora biti v celoti zajeta v ceno ključavničarskih del (tudi, če to ni posebej opisano ali poudarjeno v posamezni postavki), nadaljnji zaščitni opleski so predmet slikopleskarskih del. Četrti premaz se upošteva samo, v kolikor se dodatno zahtevajo tovrstni premazi zaradi vpliva agresivne atmosfere! Opomba: 3,00 do 5,00 % kalo za zvare in rezanje je upoštevan v količini posameznih konstrukcij.</t>
  </si>
  <si>
    <t>XI./7.</t>
  </si>
  <si>
    <r>
      <t xml:space="preserve">8. ZAŠČITA PRED KOROZIJO ZA BARVANE KONSTRUKCIJE: Vse profile in elemente jeklene nosilne konstrukcije je potrebno zaščititi v skladu s Pravilnikom o tehničnih ukrepih in pogojih za zaščito jeklenih konstrukcij pred korozijo. Površine se s peskanjem očistijo do primerne stopnje (npr.: Sa 2 ½ v skladu s švedskim standardom SIS 055900). Pred nanosom osnovnega premaza se izvede odpraševanje in razmastitev elementov jeklene konstrukcije. 
Izbrani sistem protikorozijske zaščite je sledeči:
• 1 x temeljni premaz:  epoksi-cink: 40 μm
• 1x vmesni premaz: epoksid: 40 μm
</t>
    </r>
    <r>
      <rPr>
        <u/>
        <sz val="11"/>
        <rFont val="Arial"/>
        <family val="2"/>
        <charset val="238"/>
      </rPr>
      <t>• 1 x prekrivni premaz: poliuretan – odporen na UV žarke: 40 μm</t>
    </r>
    <r>
      <rPr>
        <sz val="11"/>
        <rFont val="Arial"/>
        <family val="2"/>
        <charset val="238"/>
      </rPr>
      <t xml:space="preserve">
 Skupaj : 120 μm
S strani izbranega izvajalca predvideni način izvedbe protikorozijske zaščite potrdi vodja projekta in vodja nadzora. Vse jeklene nosilne konstrukcije morajo biti po končani izdelavi pregledane s strani pooblaščene organizacije, ki preveri kvaliteto zvarov, spojev, barvnega nanosa in o tem izdela pisno poročilo. Stroške izdelave in pregleda je vkalkulirati v ceno E.M.</t>
    </r>
  </si>
  <si>
    <t>XI./8.</t>
  </si>
  <si>
    <t>ZAŠČITA PRED KOROZIJO ZA VROČECINKANE KONSTRUKCIJE: Pri izvajanju ključavničarskih konstrukcij, ki so vročecinkane, je upoštevati vsa pripravljalna, pomožna, spremljevalna in zaključna dela. Izvajalec je dolžan izdelati delavniško dokumentacijo delavniških načrtov in detajlov za izvedbo posameznih konstrukcijskih elementov in izdelavo predizmer na objektu. Delavniško dokumentacijo potrdi pooblaščeni inženir!
Vsi profili, ki so primarno vroče cinkani, so tudi dodatno finalno prašno barvani V RAL lestvici. Vse jeklene nosilne konstrukcije morajo biti po končani izdelavi pregledane s strani pooblaščene organizacije, ki preveri kvaliteto zvarov, spojev, barvnega nanosa in o tem izdela pisno poročilo. Stroške izdelave in pregleda je vkalkulirati v ceno E.M.
Vse kovinske dele je potrebno pred dokončno vgradnjo peskati do čiste površine - brez rjastih površin in primerno antikorozijsko zaščititi. Kategorije vplivov okolja po standardu SN 555 001, trajnost zaščite po standardu SN EN ISO 12944.
Kakovost izvedbe vročega pocinkanja se izvaja v skladu s standardom SIST EN ISO 1461.</t>
  </si>
  <si>
    <t>XI./9.</t>
  </si>
  <si>
    <t>9. MATERIAL: JEKLENA KONSTRUKCIJA: Ves vgrajeni material (pločevine, profili, dodajni material, spojna sredstva ...) mora biti opremljen s potrdili o kvaliteti v skladu z zakonom o standardizaciji. Potrdila o kvaliteti morajo biti stopnje najmanj 3.1. v skladu s standardom EN 10204.  V vseh fazah izdelave in montaže nosilne jeklene konstrukcije mora biti zagotovljena sledljivost materiala. Osnovni material (profili, pločevine) elementov jeklenih konstrukcij je predviden v kvaliteti S235JR po SIST EN 10025, vijačni material je predviden v kvaliteti 8.8 in 10.9.</t>
  </si>
  <si>
    <t>XI./10.</t>
  </si>
  <si>
    <t xml:space="preserve">10.  Izdelava predizmer na objektu, meritve, pridobitve in dostava izjav o ustreznosti ter ustreznih certifikatov mora biti zajeta v ceno izdelave prefabrikatov in posameznih izdelkov. </t>
  </si>
  <si>
    <t>XI./11.</t>
  </si>
  <si>
    <t xml:space="preserve">11. Skladiščenje materiala, tehnike in prefabrikatov na gradbišču do dokončne montaže, odstranjevanje odpadnega materiala in smeti ter stroške za komunalne takse je upoštevati v skladu s zahtevami popisa (v ceni/E.M.). </t>
  </si>
  <si>
    <t>XI./12.</t>
  </si>
  <si>
    <t xml:space="preserve">12. V ceno je zajeti tudi popravilo škode, ki bi se eventualno povzročila drugim izvajalcem, popravilo poškodb in opleskov, ki bi nastale pri montaži konstrukcije, uskladitev delavniških načrtov s PZI projektom ter vsi ukrepi za varno izvedbo del v skladu z Zakonom o varstvu pri delu. </t>
  </si>
  <si>
    <t>XI./13.</t>
  </si>
  <si>
    <t xml:space="preserve">13. Pred dokončnim pričetkom izdelave elementov v delavnici morajo biti s strani vodje projekta in vodje nadzora dokončno pismeno potrjeni vsi detajli, videz in barva, odprtine oken in vrat, obdelava vidnega betona in eventualni foto vzorci. </t>
  </si>
  <si>
    <t>Standardi, ki se nanašajo ključavničarska dela, oziroma materiale, ki se uporabljajo pri ključavničarskih delih.</t>
  </si>
  <si>
    <t>XI./14.</t>
  </si>
  <si>
    <t>Vroče valjani izdelki iz  konstrukcijskih jekel – 1. del: Splošni tehnični dobavni pogoji:</t>
  </si>
  <si>
    <t xml:space="preserve">SISI EN 1090 -1 in 1090-2: Standard, ki je od leta 2014 obvezen na področju celotne Evrope za  določanje  pogojev za označevanje jeklenih konstrukcij z oznako CE, ki se obenem nanaša na skladnost značilnosti delovanja za sestavne dele jeklenih in aluminijastih konstrukcij ter tehnične zahteve za izvedbo jeklenih konstrukcij. Certifikat z oznako EN 1090, kot dokaz o mehanski odpornosti in stabilnosti jeklenih konstrukcij, z opravljeno kontrolo kakovosti v proizvodnji in  označevanje ter izdaja izjave o lastnostih. </t>
  </si>
  <si>
    <t>XI./14.1.</t>
  </si>
  <si>
    <t>SIST EN 10025-1:2004</t>
  </si>
  <si>
    <t>Upoštevati je potrebno: 
 - SIST EN 10210 Vroče izdelani votli profili iz nelegiranih in drobnozrnatih konstrukcijskih jekel
 - SIST EN 10219 Hladno oblikovani varjeni votli konstrukcijski profili iz nelegiranih in drobnozrnatih jekel
 - SIST EN 10088 Profili in pločevine iz nerjavnih jekel
 - SIST EN ISO 1461 Prevleke na železnih in jeklenih predmetih, nanesene z vročim pocinkanjem
 - STS in ETA za sidrne vijake in odtoke v stavbah
 - SIST EN 12150-2  Toplotno kaljeno varnostno steklo 
 - SIST EN 14179-2  Toplotno kaljeno varnostno steklo s HS obdelavo 
 - SIST EN 14449  Varnostno lepljeno steklo 
 - SIST EN 1863-2  Toplotno utrjeno steklo 
 - SIST EN 12600 Steklo v stavbah – Preskusna metoda z udarcem in klasifikacija ravnega stekla
 - SIST EN 438 Dekorativni visokotlačni laminati (HPL)</t>
  </si>
  <si>
    <t>XI./14.2.</t>
  </si>
  <si>
    <t>Dodajni materiali za varjenje – Splošni produktni standard za dodajne materiale in praške za talilno varjenje kovinskih materialov</t>
  </si>
  <si>
    <t>SIST EN 13479:2005</t>
  </si>
  <si>
    <t>XI./14.3.</t>
  </si>
  <si>
    <t>Visokotrdnostne vijačne zveze za prednapetje-1.del:Splošne zahteve</t>
  </si>
  <si>
    <t>SIST EN 14399-1:2005</t>
  </si>
  <si>
    <t>Izvedba jeklenih konstrukcij in aluminijastih konstrukcij – 1.del: Zahteve za ugotavljanje skladnosti sestavnih delov konstrukcij</t>
  </si>
  <si>
    <t>SIST EN 1090-1:2009+A1:2012</t>
  </si>
  <si>
    <t>XI./14.4.</t>
  </si>
  <si>
    <t>Vijačni sestavi brez predhodne strukturne obremenitve – 1.del: Splošne zahteve</t>
  </si>
  <si>
    <t>SIST EN 15048-1:2007</t>
  </si>
  <si>
    <t xml:space="preserve">Nerjavna jekla-4.del:Tehnični dobavni pogoji za tanko in debelo pločevino in trakove iz nerjavnih konstrukcijskih jekel </t>
  </si>
  <si>
    <t>SIST EN 10088-4:2009</t>
  </si>
  <si>
    <t>XI./14.5.</t>
  </si>
  <si>
    <t xml:space="preserve">Nerjavna jekla-5.del:Tehnični dobavni pogoji za drogove, palice, žico, profile in svetle izdelke iz nerjavnih konstrukcijskih jekel </t>
  </si>
  <si>
    <t>SIST EN 10088-5:2009</t>
  </si>
  <si>
    <t>XI./14.6.</t>
  </si>
  <si>
    <t xml:space="preserve">Vroče valjani votli profili iz nelegiranih in drobnozrnatih konstrukcijskih jekel – 1. del: Tehnični dobavni pogoji </t>
  </si>
  <si>
    <t>SIST EN 10210-1:2006</t>
  </si>
  <si>
    <t>XI./14.7.</t>
  </si>
  <si>
    <t xml:space="preserve">Hladno oblikovani varjeni votli konstrukcijski profili iz nelegiranih in drobnozrnatih jekel-1.del:Tehnični dobavni pogoji </t>
  </si>
  <si>
    <t>SIST EN 10219-1:2006</t>
  </si>
  <si>
    <t>XI./14.8.</t>
  </si>
  <si>
    <t xml:space="preserve">Nelegirane jeklene cevi za varjenje in vrezovanje navojev – Tehnični dobavni pogoji </t>
  </si>
  <si>
    <t>SIST EN 10255:2004+A1:2007</t>
  </si>
  <si>
    <t>XI./14.9.</t>
  </si>
  <si>
    <t>Jekleni ulitki za uporabo v gradbeništvu</t>
  </si>
  <si>
    <t>SIST EN 10340:2007</t>
  </si>
  <si>
    <t>SIST EN 10340:2007/AC:2008</t>
  </si>
  <si>
    <t>XI./14.10.</t>
  </si>
  <si>
    <t>Konstrukcijska jekla za kaljenje in popuščanje – Tehnični dobavni pogoji</t>
  </si>
  <si>
    <t>SIST EN 10343:2009</t>
  </si>
  <si>
    <t>XI./14.11.</t>
  </si>
  <si>
    <t>Samonosilne izolacijske sendvič plošče z obojestranskim kovinskim oplaščenjem -Tovarniško izdelani proizvodi – Specifikacije</t>
  </si>
  <si>
    <t>SIST EN 14509:2014</t>
  </si>
  <si>
    <t>XI./14.12.</t>
  </si>
  <si>
    <t>XI./14.13.</t>
  </si>
  <si>
    <t>XI./14.14.</t>
  </si>
  <si>
    <t xml:space="preserve">Aluminij in aluminijeve zlitine – Gradbeni proizvodi za konstrukcijska dela- Tehnični pogoji za prevzem in dobavo </t>
  </si>
  <si>
    <t>SIST EN 15088:2006</t>
  </si>
  <si>
    <t>Standardi, ki se nanašajo na antikorozijsko zaščito.</t>
  </si>
  <si>
    <t>XI./14.15.</t>
  </si>
  <si>
    <t>V ceno je zajeti tudi popravilo škode, ki bi se eventualno povzročila drugim izvajalcem, popravilo poškodb in opleskov, ki bi nastale pri montaži konstrukcije, uskladitev delavniških načrtov s PZI projektom ter vsi ukrepi za varno izvedbo del v skladu z Zakonom o varstvu pri delu.
V enotni ceni morajo biti zajeta vsa potrebna dela, transporti, prenosi,... Izdelava in montaža konstrukcije morata biti preverjena s strani vodje nadzora.</t>
  </si>
  <si>
    <t>Standardi, ki se nanašajo na pasarska dela, oziroma materiale, ki se uporabljajo pri ključavničarskih delih.</t>
  </si>
  <si>
    <t>XI./14.16.</t>
  </si>
  <si>
    <t>Vroče valjani izdelki iz  konstrukcijskih jekel – 1. del: Splošni tehnični dobavni pogoji</t>
  </si>
  <si>
    <t>XI./14.17.</t>
  </si>
  <si>
    <t>XI./14.18.</t>
  </si>
  <si>
    <t>XI./14.19.</t>
  </si>
  <si>
    <t>XI./14.20.</t>
  </si>
  <si>
    <t>XI./14.21.</t>
  </si>
  <si>
    <t>XI./14.22.</t>
  </si>
  <si>
    <t>Konstrukcijska lepila -karakterizacija anaerobnih lepil za koaksialne metalne konstrukcije v zgradbah in objektih</t>
  </si>
  <si>
    <t>SIST EN 15275:2009</t>
  </si>
  <si>
    <t>SIST EN 15275:2009/AC:2010</t>
  </si>
  <si>
    <t>XI./14.23.</t>
  </si>
  <si>
    <t>Nerjavna jekla-4.del:Tehnični dobavni pogoji za tanko in debelo pločevino in trakove iz nerjavnih konstrukcijskih jekel</t>
  </si>
  <si>
    <t>XI./14.24.</t>
  </si>
  <si>
    <t>XI./14.25.</t>
  </si>
  <si>
    <t>XI./14.26.</t>
  </si>
  <si>
    <t>XI./14.27.</t>
  </si>
  <si>
    <t>XI./14.28.</t>
  </si>
  <si>
    <t>XI./14.29.</t>
  </si>
  <si>
    <t>XI./14.30.</t>
  </si>
  <si>
    <t>XI./14.31.</t>
  </si>
  <si>
    <t>XI./14.32.</t>
  </si>
  <si>
    <t>XI./14.33.</t>
  </si>
  <si>
    <t>Splošna določila za ključavničarska dela:</t>
  </si>
  <si>
    <t>Ključavničarska dela morajo biti izvršena po določilih veljavnih normativov in v soglasju z obveznimi standardi.</t>
  </si>
  <si>
    <t>Material za ta dela in vgradnjo okovja morajo po kvaliteti ustrezati določilom veljavnih standardov.</t>
  </si>
  <si>
    <t>Za izvršitev ključavničarskih del se uporabljajo obstoječi odri na objektu, v primeru, da so za montažo ključavničarskih izdelkov potrebni posebni odri, se ti določajo posebej.</t>
  </si>
  <si>
    <t>Standardi za ključavničarska dela vsebujejo :</t>
  </si>
  <si>
    <t xml:space="preserve">izvršitev kooperantske /obrtniške/ storitve </t>
  </si>
  <si>
    <t>zidarsko pomoč obrtniku - kooperantu</t>
  </si>
  <si>
    <t>ostale manipulativne stroške izvajalca del</t>
  </si>
  <si>
    <t>Opis storitev kooperanta /obrtnika/ :</t>
  </si>
  <si>
    <t>Storitve kooperanta obsegajo, če ni z medsebojno pogodbo drugače določeno :</t>
  </si>
  <si>
    <t>snemanje potrebnih izmer na objektu</t>
  </si>
  <si>
    <t>pregled izvršenih podlog in fino čiščenje pred pričetkom dela</t>
  </si>
  <si>
    <t>dobava osnovnega, pomožnega in pritrdilnega materiala ter standardnega okovja</t>
  </si>
  <si>
    <t>dobava suhomontažnih železnih okvirov za okna in vrata</t>
  </si>
  <si>
    <t>delo v delavnici in na montaži z dajatvami</t>
  </si>
  <si>
    <t>čiščenje železnih izdelkov in 2x minimiziranje teh  s prenosom do  mesta vgraditve</t>
  </si>
  <si>
    <t>čiščenje izdelkov po izvršeni montaži</t>
  </si>
  <si>
    <t>Opis zidarske /težaške/ pomoči :</t>
  </si>
  <si>
    <t>razkladanje, uskladiščenje ter notranji prenosi izdelkov do mesta vgraditve, razen za jeklene konstrukcije  in izdelke iz aluminija, pri katerih vrši notranji prenos dobavitelj konstrukcije oz. izdelka</t>
  </si>
  <si>
    <t>manipulacija in montiranje kovinske opreme</t>
  </si>
  <si>
    <t>vzidava podlog za pritrditev izdelkov</t>
  </si>
  <si>
    <t xml:space="preserve"> vzidava izdelkov in njihovih delov ter podobno</t>
  </si>
  <si>
    <t>Določitev:</t>
  </si>
  <si>
    <t>jeklene konstrukcije in železne ograje vseh vrst se določajo od kg vgrajenega železa, merjeno po teoretičnih težah in dolžinah iz PZI načrta</t>
  </si>
  <si>
    <t>kovinski izdelki ( okna, vrata, stene, pokrovi,… ) se določajo po komadih.</t>
  </si>
  <si>
    <t>cena mora zajeti vse stroške materiala in izdelave ter montaže po opisu in načrtu za montažo, katerega pripravi izvajalec</t>
  </si>
  <si>
    <t>merjeno po teoretičnih težah in dolžinah iz načrta</t>
  </si>
  <si>
    <t>XII.</t>
  </si>
  <si>
    <t>STAVBNO POHIŠTVO:</t>
  </si>
  <si>
    <r>
      <rPr>
        <b/>
        <u/>
        <sz val="11"/>
        <rFont val="Arial"/>
        <family val="2"/>
        <charset val="238"/>
      </rPr>
      <t>OPOMBA:</t>
    </r>
    <r>
      <rPr>
        <sz val="11"/>
        <rFont val="Arial"/>
        <family val="2"/>
        <charset val="238"/>
      </rPr>
      <t xml:space="preserve"> Pri izvajanju in montaži stavbnega pohištva je upoštevati vsa pripravljalna dela, pomožna dela zaključna dela. Pri posameznih postavkah stavbnega pohištva iz tega poglavja mora ponudnik v cenah za enoto mere obvezno zajeti, upoštevati in vkalkulirati še: </t>
    </r>
  </si>
  <si>
    <t>XII./1.</t>
  </si>
  <si>
    <t xml:space="preserve">V ceno za enoto mere morajo biti vračunani stroški za snemanje predizmer na objektu, za izdelavo delavniških načrtov ter eventualno potrebnih detajlov za izvedbo posameznih konstrukcijskih elementov in izdelava predizmer na objektu.  </t>
  </si>
  <si>
    <t>XII./2.</t>
  </si>
  <si>
    <t xml:space="preserve">Pred izvedbo - montažo stavbnega pohištva je z izvajalcem gradbenih in montažnih del potrebno uskladiti mere posameznih odprtin za okna in vrata. </t>
  </si>
  <si>
    <t>XII./3.</t>
  </si>
  <si>
    <t>XII./4.</t>
  </si>
  <si>
    <t xml:space="preserve">Monterji, ki delajo na višini morajo biti zavarovani v skladu z predpisi in zakonom o Varstvo pri delu (vsa varovala, ki služijo za uporabo osebne zaščitne opreme v skladu z SIST EN 354, SIST EN 355, SIST EN 360, SIST EN 362 in Zakonom o varstvu in zdravju pri delu.). </t>
  </si>
  <si>
    <t>XII./5.</t>
  </si>
  <si>
    <t>Pred izdelavo v času jemanja predizmer na delovišču se je potrebno dogovoriti glede eventualne izvedbe in namestitve rolojev - senčil - "roll screen" in komarnikov. Opisi sistemov morajo biti usklajeni z opisi v detajlih PZI projekta in shemami vrat in oken in posamezne kosovnice.</t>
  </si>
  <si>
    <t>XII./6.</t>
  </si>
  <si>
    <t>Pred naročilom in jemanjem izmer morajo dobavitelji ali proizvajalci stavbnega pohištva na gradbišču uskladiti vse detajle, ki so povezani z montažo stavbnega pohištva; velikosti odprtin, pozicijo montaže v špaletah, detajle spajanja z zunanjimi in notranjimi policami, eventualnimi dodatnimi oblaganji posameznih špalet ter tesnenjem in zaključkom ob zidovih in ometih. Pred izdelavo v času jemanja predizmer na delovišču se je potrebno dogovoriti glede eventualne izvedbe in namestitve  senčil in komarnikov. Pred izdelavo vodja projekta ali vodja nadzora pismeno obvezno potrdi način izvedbe in detajle!  Celotno stavbno pohištvo mora biti izdelano iz tipiziranih  sistemov  v smislu kvalitete, ki mora ustrezati evropskim predpisom, standardom in v nadaljevanju opisanim sistemom izdelave.</t>
  </si>
  <si>
    <t>XII./7.</t>
  </si>
  <si>
    <t xml:space="preserve">Izvedba posameznih sistemov oken in vrat ter drugega stavbnega pohištva  mora biti usklajena z opisi v detajlih PZI projekta in shemami vrat in oken,  posameznih kosovnic in potrjenih delavniških načrtih. Pri izdelavi stavbnega pohištva in pri montaži oken je upoštevati detajle in sheme PZI projekta, posamezne tehnične kosovnice projekta ter proizvajalca/ponudnika, katere potrdi vodja projekta. Detajli in posamezni izračuni so za izvajalca obvezni; kakršna koli odstopanja od projekta so dovoljena le v soglasju in po predhodni pisni odobritvi vodje projekta ali vodje nadzora. Izvajalec je dolžan pred montažo stavbnega pohištva/vrat le te predati v pregledvodji  nadzora in od njega pridobiti pisno soglasje.   </t>
  </si>
  <si>
    <t>XII./7.1.</t>
  </si>
  <si>
    <t xml:space="preserve">Notranje predelne steklene stene: izdelane iz izolativnega stekla v kombinaciji lesa poljubnega proizvajalca, ki pred izvedbo izdela tudi vse izvedbene detajle, delavniške načrte, preveriti smer odpiranja vrat in skladno s tehnologijo izdelane stene po predhodni pisni potrditvi projektanta montira direktno na delovišču. </t>
  </si>
  <si>
    <t>XII./7.2.</t>
  </si>
  <si>
    <t xml:space="preserve"> Zunanje stavbno pohištvo - vrata in okna so obdelana po detajlih shem vrat iz PZI projekta. Okna in vrata po fasadi so sestavni del fasade in so obdelana v poglavju Fasaderska dela, v kolikor niso obdelan v tem poglavju. Izbrani proizvajalec pred izvedbo izdela tudi vse izvedbene detajle, delavniške načrte in skladno s tehnologijo. Izdelane sisteme po pisni potrditvi projektanta montira direktno na delovišču. </t>
  </si>
  <si>
    <t>XII./7.3.</t>
  </si>
  <si>
    <t>Notranje stavbno pohištvo je izdelano v kombinaciji lesa, stekla in kovinskih podbojev po meri ali v tipih/artiklih poljubnega proizvajalca. Pred izdelavo projektant pismeno obvezno potrdi način izvedbe, tipe izbranih vrat,  vse vzorce, kljuke in detajle!  Vsi alu in jekleni izdelki so izdelani iz tipiziranih  sistemov  v smislu kvalitete po izbiri projektanta, ki mora ustrezati evropskim predpisom, standardom in v nadaljevanju opisanim sistemom izdelave.</t>
  </si>
  <si>
    <t>XII./8.</t>
  </si>
  <si>
    <t xml:space="preserve">Pred izdelavo ali naročilom stavbnega pohištva je obvezno preveriti višino spuščenega stropu zaradi uskladitve detajla vrat in sten, ki segajo do stropu in eventualnih skritih mehanizmov v spuščenih stropovih. </t>
  </si>
  <si>
    <t>XII./9.</t>
  </si>
  <si>
    <t xml:space="preserve">Vrata in določene ključavnice pri stavbnem pohištvu in oknih (glej posamezne načrte) so v celoti vezana na varnostni sistem - enotni sistemski varnostni način zaklepanja z enim ključem ter kontrolo vstopa ter prehoda, zato se je pred izdelavo le tega potrebno posvetovati z izvajalcem in dobaviteljem varnostnega sistema in opreme (sistemske ključavnice, način zapiranja in zaklepanja, varnostni ključi, centralni sistem in podobno).  </t>
  </si>
  <si>
    <t>XII./10.</t>
  </si>
  <si>
    <t>Tehnične osnove stavbnega pohištva:</t>
  </si>
  <si>
    <t>XII./10.1.</t>
  </si>
  <si>
    <t>Tesnilo proti gradbeni konstrukciji: Tesnila med slepim podbojem in gradbeno konstrukcijo ter posameznim okvirjem  in slepim podbojem morajo ustrezati gradbeno fizikalnim zahtevam, zahtevam zrakotesnosti in pogojem za uspešno izvedbo končnega Blow-Up testa. Zahteve toplotne, protivlažne, zvočne, požarne zaščite in premikanje fug je potrebno upoštevati pri izbiri tesnila. Pri tesnjenju priključnih fug z elastičnimi tesnilnimi sredstvi je potrebno upoštevati navodila proizvajalcev. Tesnila se lahko vgrajujejo le pri ustreznih vremenskih pogojih. Pri določitvi širine fug je odločilna celotna deformacija tesnilnega sredstva.</t>
  </si>
  <si>
    <t>XII./10.2.</t>
  </si>
  <si>
    <t xml:space="preserve">Tesnilne folije (parne zapore): Priključke gradbene konstrukcije je potrebno zatesniti z ustrezno dimenzioniranimi, UV obstojnimi tesnilnimi zrakotesnimi folijami iz butilkaučuka oz. EPDM=ethylen-propylen-terpolymeri. Stike tesnilnih folij in razporeditve na različne nivoje je potrebno izvesti z zadostnim preklopom. Pri lepljenju preklopov je nujno, da so mesta lepljenja brez nečistoč. Potrebno se je izogniti zračnim mehurjem na mestih lepljenja. Folije je potrebno zlepiti po od proizvajalca navedeni minimalni širini, ter dodatno neprekinjeno mehansko zavarovati. Končni produkt mora uspešno prestati test zrakotesnosti. </t>
  </si>
  <si>
    <t>XII./10.3.</t>
  </si>
  <si>
    <t>Zaščita proti dežju in rosi: Za preprečitev nastajanja rose na steklenih površinah, profilih in panelih je potrebno vse priključke na gradbeno konstrukcijo potrebno izvesti: znotraj tesno proti vodni pari, zunaj netesno proti vodni pari. Paziti je potrebno na pravilno vgradnjo. Utori, v katere lahko vdre deževnica ali v katerih obstaja možnost nastanka kondenza, morajo imeti kontroliran odtok preko konstrukcije navzven. Navzven odprte utore za odvajanje vode je potrebno zaščititi s pokrivnimi kapicami.</t>
  </si>
  <si>
    <t>XII./10.4.</t>
  </si>
  <si>
    <t>Prašno barvanje: Pri barvanju alu površin stavbnega pohištva je potrebno upoštevati debelino sloja 65+/-15 mµ za osnovne sloje. Dodatne sloje je potrebno nanesti prekrivno. Za kalkulacijo veljajo v popisu del navedeni barvni toni in stopnje leska. Barvne vzorce je na zahtevo potrebno predložiti vodji nadzora, investitorju; predhodno jih pisno potrdi vodja projekta! Predviden barvni ton - poslovni del: barva silver metalic (RAL 9006); skladiščni del: RAL 9006</t>
  </si>
  <si>
    <t>XII./10.5.</t>
  </si>
  <si>
    <t>Pločevine: Tudi, če v popisu del ni posebej navedeno, morajo za funkcionalno izvedbo potrebni priključki in zaključki, pritrditvena sidra, podkonstrukcije, pomožni, izolativni in tesnilni materiali biti vsebovani. Priključki in zaključki morajo biti izdelani iz vsaj 2 mm debele alu pločevine.</t>
  </si>
  <si>
    <t>XII./10.6.</t>
  </si>
  <si>
    <t>Zaščita pred strelo: Izpolnjevati je potrebno zahteve za zaščito pred strelo, kar dobavitelj in izvajalec dokažeta z ustreznimi zakonsko predpisanimi izjavami, certifikati in meritvami. (samo v primeru kovinskega stavbnega pohištva)</t>
  </si>
  <si>
    <t>XII./10.7.</t>
  </si>
  <si>
    <t>Dokazila in atesti: Za vse vgrajene materiale je potrebno še pred samo izvedbo na zahtevo vodje nadzora dostaviti ateste o kvaliteti, izjave o lastnostih vgrajenih materialov in potrebne meritve po končanih delih s posebnim povbdarkom na uspešnem testu zrakotesnosti.</t>
  </si>
  <si>
    <t>XII./10.8.</t>
  </si>
  <si>
    <t xml:space="preserve">Okovje za odpiranje po vertikalni in horizontalni osi: Skriti položaj (pri alu), s škarjastim krmilom, dolžina prilagojena potrebi širine krila, kompletno s kotnim kipnim in škarjastim ležajem, kotno napravo za preusmerjanje z zaščito pri napačni uporabi in proti vlomu, zapah zgoraj in spodaj skupaj z naletno zaščito, enoročna uporaba s komornim gonilom z zaskočišči v odprtih položajih, zakrito postavljen energijsko izčrpalen omejevalnik odpiranja do max. 90° odpiralnega kota, z blažilnikom zasuka preko celotne odprtine v ovalni obliki prečnega prereza. Okenska kljuka: okenska kljuka po izboru projektanta.
</t>
  </si>
  <si>
    <t>XII./10.9.</t>
  </si>
  <si>
    <t xml:space="preserve">Za vse stekla izdela izvajalec-  ponudnik pred izvedbo detajlni izračun potrebne debeline stekel, upoštevajoč svoje tipske konstrukcijske rešitve in predvsem EN norme za stekla. </t>
  </si>
  <si>
    <t>XII./11.</t>
  </si>
  <si>
    <t>ZAHTEVANA ZVOČNA ZAŠČITA: za stavbno pohištvo se zahteva zasteklitev z zvočno izolativnostjo R'w = min. 34 dB;</t>
  </si>
  <si>
    <t>XII./12.</t>
  </si>
  <si>
    <t>Dela je treba izvajati po določilih začasnih tehničnih predpisov in skladno z obveznimi standardi. Material za ta dela mora po kvaliteti ustrezati določilom veljavnih normativov in standardi. Za izvedbo so merodajni detajli iz PZI načrta in načrti konstrukcije ter tolmačenja glavnega projektanta in statika.</t>
  </si>
  <si>
    <t>XII./13.</t>
  </si>
  <si>
    <t xml:space="preserve">Pri izdelavi ponudbe in kasneje izdelavi delavniških načrtov vrat, se mora ponudnik/izvajalec seznaniti s celotno problematiko posameznih vrat in mora poleg PZI načrta arhitekture uporabljati in upoštevati še PZI načrt tehničnega varovanja (ključavnice, kontrola pristopa), PZI načrt elektro instalacij (napajanje), PZI načrt prezračevanja (v vrata vgrajene rešetke) in požarni elaborat (požarne lastnosti) </t>
  </si>
  <si>
    <t>XII./14.</t>
  </si>
  <si>
    <t>V primeru nejasnosti se je izvajalec del oz. ponudnik, dolžan posvetovati s projektantom in statikom že v času izdelave ponudbe.</t>
  </si>
  <si>
    <t>Standardi, ki se nanašajo na okovja, stavbno pohištvo, stekla:</t>
  </si>
  <si>
    <t>XII./15.</t>
  </si>
  <si>
    <t xml:space="preserve">okna in vrata         </t>
  </si>
  <si>
    <t>XII./15.1.</t>
  </si>
  <si>
    <t>Okna in vrata – Standard za proizvod, zahtevane lastnosti – 1. del: Okna in vrata brez določenih lastnosti požarne odpornosti in dimotesnosti, vendar z vključeno odpornostjo strešnih oken proti požaru z zunanje strani</t>
  </si>
  <si>
    <t>SIST EN 14351-1:2006</t>
  </si>
  <si>
    <t>panic kljuke</t>
  </si>
  <si>
    <t>XII./15.2.</t>
  </si>
  <si>
    <t>Stavbno okovje – Naprave za zasilne izhode z vzvodno ročico ali pritisnim pedalom za evakuacijske poti  – Zahteve in preskusne metode</t>
  </si>
  <si>
    <t>SIST EN 179:2008</t>
  </si>
  <si>
    <t>požarna vrata okovje</t>
  </si>
  <si>
    <t>XII./15.3.</t>
  </si>
  <si>
    <t>Ključavnice in stavbno okovje – Zapore z vodoravnim potisnim drogom za izhod ob paniki – Zahteve in preskusne metode</t>
  </si>
  <si>
    <t>SIST EN 1125:2008</t>
  </si>
  <si>
    <t>XII./15.4</t>
  </si>
  <si>
    <t>Stavbno okovje – Naprave za samodejno zapiranje vrat – Zahteve in preskusne metode</t>
  </si>
  <si>
    <t>SIST EN 1154:2000</t>
  </si>
  <si>
    <t>SIST EN 1154:2000/ A1:2003</t>
  </si>
  <si>
    <t>SIST EN 1154:2000/ A1:2003/AC:2006</t>
  </si>
  <si>
    <t>XII./15.5.</t>
  </si>
  <si>
    <t>Stavbno okovje – Električne naprave za nadzor zapiranja vrat –Zahteve in preskusne metode</t>
  </si>
  <si>
    <t>SIST EN 1155:2000</t>
  </si>
  <si>
    <t>SIST EN 1155:2000/ A1:2003</t>
  </si>
  <si>
    <t>SIST EN 1155:2000/ A1:2003/AC:2006</t>
  </si>
  <si>
    <t>XII./15.6.</t>
  </si>
  <si>
    <t>Stavbno okovje – Naprave za usklajeno zapiranje vrat –Zahteve in preskusne metode</t>
  </si>
  <si>
    <t>SIST EN 1158:2000</t>
  </si>
  <si>
    <t>SIST EN 1158:2000/ A1:2003</t>
  </si>
  <si>
    <t>SIST EN 1158:2000/ A1:2003/AC:2006</t>
  </si>
  <si>
    <t>okovje</t>
  </si>
  <si>
    <t>XII./15.7.</t>
  </si>
  <si>
    <t>Stavbno okovje – Ključavnice in zapahi – Mehanske ključavnice, zapahi in prijemniki – Zahteve in preskusne metode</t>
  </si>
  <si>
    <t>SIST EN 12209:2004</t>
  </si>
  <si>
    <t>SIST EN 12209:2004/ AC:2006</t>
  </si>
  <si>
    <t>XII./15.8.</t>
  </si>
  <si>
    <t>Stavbno okovje – Enoosni tečaji – Zahteve in klasifikacija</t>
  </si>
  <si>
    <t>SIST EN 1935:2002</t>
  </si>
  <si>
    <t>SIST EN 1935:2002/ AC:2004</t>
  </si>
  <si>
    <t>XII./15.9.</t>
  </si>
  <si>
    <t>Stavbno okovje - ključavnice in zapahi- elektromehanske ključavnice in zaporne plošče- zahteve in preizkusne metode</t>
  </si>
  <si>
    <t xml:space="preserve">SIST EN 14846:2009 </t>
  </si>
  <si>
    <t>industrijska vrata</t>
  </si>
  <si>
    <t>XII./15.10.</t>
  </si>
  <si>
    <t>Vrata v industrijske in javne prostore ter garažna vrata – Standard za proizvod – 1. del: Proizvodi brez določenih lastnosti požarne odpornosti in dimotesnosti</t>
  </si>
  <si>
    <t>SIST EN 13241-1:2003+A1:2011</t>
  </si>
  <si>
    <t>stekla</t>
  </si>
  <si>
    <t>XII./15.11.</t>
  </si>
  <si>
    <t>Steklo v stavbah – Posebni osnovni izdelki – Boro silikatno steklo – 1-2. del: Ovrednotenje skladnosti/standard za izdelke</t>
  </si>
  <si>
    <t>SIST EN 1748-1-2:2005</t>
  </si>
  <si>
    <t>XII./15.12.</t>
  </si>
  <si>
    <t>Steklo v stavbah – Posebni osnovni izdelki – 2-2.del: Steklena keramika – Ovrednotenje skladnosti/standard za izdelek</t>
  </si>
  <si>
    <t>SIST EN 1748-2-:2005</t>
  </si>
  <si>
    <t>XII./15.13.</t>
  </si>
  <si>
    <t>Steklo v stavbah – Toplotno utrjeno natrij-kalcijevo silikatno steklo – 2.del: ovrednotenje skladnosti/standard za izdelek</t>
  </si>
  <si>
    <t>SIST EN 1863-2:2005</t>
  </si>
  <si>
    <t>XII./15.14.</t>
  </si>
  <si>
    <t>Steklo v stavbah – Toplotno kaljeno boro silikatno varnostno steklo – 2.del: Ovrednotenje skladnosti/standard za izdelek</t>
  </si>
  <si>
    <t>SIST EN 13024-2:2005</t>
  </si>
  <si>
    <t>XII./15.15.</t>
  </si>
  <si>
    <t>Steklo v stavbah – Steklo z nanosi – 4. del: Ovrednotenje skladnosti/standard za izdelek</t>
  </si>
  <si>
    <t xml:space="preserve">SIST EN 1096-4:2005 </t>
  </si>
  <si>
    <t>XII./15.16.</t>
  </si>
  <si>
    <t>Steklo v stavbah – Toplotno kaljeno natrij-kalcijevo silikatno varnostno steklo – 2. del: Ovrednotenje skladnosti/standard za izdelek</t>
  </si>
  <si>
    <t>SIST EN 12150-2:2005</t>
  </si>
  <si>
    <t>XII./15.17.</t>
  </si>
  <si>
    <t>Steklo v stavbah Kemično utrjeno natrij-kalcijevo silikatno steklo – 2. del: Ovrednotenje skladnosti/standard za izdelek</t>
  </si>
  <si>
    <t>SIST EN 12337-2:2005</t>
  </si>
  <si>
    <t>XII./15.18.</t>
  </si>
  <si>
    <t>Steklo v stavbah – Osnovni izdelki iz zemljo alkalijskega silikatnega stekla – 2. del: Ovrednotenje skladnosti/standard za izdelek</t>
  </si>
  <si>
    <t>SIST EN 14178-2:2005</t>
  </si>
  <si>
    <t>XII./15.19.</t>
  </si>
  <si>
    <t xml:space="preserve">Steklo v stavbah – Osnovni izdelki iz natrij-kalcijevega silikatnega stekla – 9. del: Ovrednotenje skladnosti/standard za izdelek </t>
  </si>
  <si>
    <t>SIST EN 572-9:2005</t>
  </si>
  <si>
    <t>XII./15.20.</t>
  </si>
  <si>
    <t>Steklo v gradbeništvu – HS-preskus kaljenega natrijevega kalcijevega- silikatnega varnostnega stekla – 2. del: Ovrednotenje skladnosti/standard za izdelek</t>
  </si>
  <si>
    <t>SIST EN 14179-2:2005</t>
  </si>
  <si>
    <t>XII./15.21.</t>
  </si>
  <si>
    <t>Steklo v gradbeništvu – Kaljeno zemljo alkalijsko silikatno varnostno steklo – 2. del: Ocena skladnosti/standard za izdelek</t>
  </si>
  <si>
    <t>SIST EN 14321-2:2006</t>
  </si>
  <si>
    <t>XII./15.22.</t>
  </si>
  <si>
    <t>Steklo v gradbeništvu – Lepljeno steklo in lepljeno varnostno steklo – Ovrednotenje skladnosti/standard za izdelek</t>
  </si>
  <si>
    <t>SIST EN 14449:2005</t>
  </si>
  <si>
    <t>SIST EN 14449:2005 /AC:2006</t>
  </si>
  <si>
    <t>XII./15.23.</t>
  </si>
  <si>
    <t>Steklo v gradbeništvu – Izolacijsko steklo – 5. del: Ovrednotenje skladnosti</t>
  </si>
  <si>
    <t>SIST EN 1279-5:2005+A2:2010</t>
  </si>
  <si>
    <t>XII./15.24.</t>
  </si>
  <si>
    <t>Vsa stekla morajo biti v skladu z določili tehničnih smernic TRAV, Tehničnega pravilnika za uporabo zasteklitev, ki varujejo pred padcem v globino.</t>
  </si>
  <si>
    <t xml:space="preserve">izdelki iz stekla </t>
  </si>
  <si>
    <t>XII./15.25.</t>
  </si>
  <si>
    <t>Steklo v gradbeništvu- Ogledala iz stekla s srebrno prevleko za uporabo v notranjosti stavb -2.del: Ovrednotenje skladnosti/standard za izdelek</t>
  </si>
  <si>
    <t>SIST EN 13026-2:2008</t>
  </si>
  <si>
    <t>XII./15.26.</t>
  </si>
  <si>
    <t>Steklo v gradbeništvu-Stekleni zidaki in stekleni tlakovci-2.del: Ovrednostenje skladnosti, standard za izdelek</t>
  </si>
  <si>
    <t>svetlobniki in kupole</t>
  </si>
  <si>
    <t>XII./15.27.</t>
  </si>
  <si>
    <t>Strešne kritine – zvezni plastični svetlobniki z razmikom ali brez njega – Klasifikacija, zahteve in preskusne metode</t>
  </si>
  <si>
    <t>SIST EN 14963:2007</t>
  </si>
  <si>
    <t>XII./15.28.</t>
  </si>
  <si>
    <t>Montažna oprema za prekrivanje streh – Plastične svetlobne kupole – Specifikacija za izdelek in preskusne metode</t>
  </si>
  <si>
    <t>SIST EN 1873:2006</t>
  </si>
  <si>
    <t>XII./15.29.</t>
  </si>
  <si>
    <t>XII./15.30.</t>
  </si>
  <si>
    <t>Stavbno pohištvo, ki je izpostavljeno atmosferskim padavinam, mora biti ob upoštevanju lokalnih podnebnih razmer grajeno tako, da stavbo v skladu s 3. členom Pravilnika o zaščiti stavb pred vlago, ščiti pred atmosferskimi padavinami.</t>
  </si>
  <si>
    <t>XII./15.31.</t>
  </si>
  <si>
    <t>Stavbno pohištvo iz prejšnjega odstavka mora po standardu SIST EN 12208 izpolnjevati naslednje zahteve glede vodotesnosti:</t>
  </si>
  <si>
    <t>●</t>
  </si>
  <si>
    <t>okna ter vhodna in balkonska vrata, vgrajena v pritličje ali prvo nadstropje stavbe, morajo ustrezati razredu 4A,</t>
  </si>
  <si>
    <t>okna ter vhodna in balkonska vrata, vgrajena v drugo ali tretje nadstropje stavbe, morajo ustrezati razredu 7A,</t>
  </si>
  <si>
    <t>okna ter vhodna in balkonska vrata, vgrajena v četrto ali višje nadstropje stavbe, morajo ustrezati razredu 9A.</t>
  </si>
  <si>
    <t>Vodotesnost stavbnega pohištva iz prejšnjega odstavka mora biti izmerjena po standardu SIST EN 1027</t>
  </si>
  <si>
    <t xml:space="preserve">Splošna določila za steklena vrata in stene: </t>
  </si>
  <si>
    <t>Ob izdelavi delavniške dokumentacije stavbnega pohištva vezano na VARNOSTNE ZASTEKLITVE je upoštevati določila Pravilnika o zahtevah za zagotavljanje varnosti in zdravja delavcev na delovnih mestih (Ur.l. RS št. 89/99):</t>
  </si>
  <si>
    <t>stekla za pasivno varnost so zasteklitve tistih delov zgradb, kjer bi lahko kosi stekla ob lomu poškodovali ljudi in kjer bi ob lomu stekla obstajala nevarnost padca v globino,</t>
  </si>
  <si>
    <t>po DIN 58 125 so varnostna stekla samo tista stekla, ki pri lomu zaradi prekoračitve udarne ali upogibne trdnosti ne razpadejo na koničaste delce z ostrimi robovi,</t>
  </si>
  <si>
    <t>kriterije za varnostno steklo izpolnjuje samo kaljeno in lepljeno steklo ter stekleni zidaki, varnostno steklo pa je lahko tudi navadno steklo, če je prevlečeno z ustrezno folijo,</t>
  </si>
  <si>
    <t>delno kaljeno (TVG) steklo po SIST EN 1863 lahko uvrščamo med varnostna stekla le v primerih, ko dve takšni stekli sestavljata lepljeno (VSG) steklo po SIST EN 12543,</t>
  </si>
  <si>
    <t>VSG stekla za nadglavne zasteklitve morajo imeti simetrično sestavo, uporabljena mora biti dvojna folija deb. 0,76 mm,</t>
  </si>
  <si>
    <t>Zasteklitve, ki segajo do tal, morajo biti vsaj do višine 2 m izdelane iz varnostnega stekla,</t>
  </si>
  <si>
    <t>steklena vrata in druge zastekljene površine, ki so nameščene v bližini delovnih mest in prometnih poti, morajo biti vidno označene tako, da so zlahka prepoznavne (40. člen Pravilnika o zahtevah za zagotavljanje varnosti in zdravja delavcev na delovnih mestih, Ur.l.RS št. 89/99). To je doseči z:</t>
  </si>
  <si>
    <t>namestitvijo prečnika, namestitvijo parapeta, vidnimi označbami,</t>
  </si>
  <si>
    <t>vsako kaljeno steklo (ESG) po SIST EN 12150 mora imeti viden in trajen odtis, iz katerega je razvidno, da je to varnostno steklo,</t>
  </si>
  <si>
    <t xml:space="preserve">vsako delno kaljeno (TVG) steklo mora imeti trajno oznako »SIST EN 1863 – TVG«. Skladno s standardom SIST EN 1863 mora biti ta trajna oznaka čitljiva v vgrajenem stanju. </t>
  </si>
  <si>
    <t>XIII.</t>
  </si>
  <si>
    <t>KERAMIČARSKA DELA:</t>
  </si>
  <si>
    <r>
      <rPr>
        <b/>
        <u/>
        <sz val="11"/>
        <rFont val="Arial"/>
        <family val="2"/>
        <charset val="238"/>
      </rPr>
      <t>OPOMBA:</t>
    </r>
    <r>
      <rPr>
        <sz val="11"/>
        <rFont val="Arial"/>
        <family val="2"/>
        <charset val="238"/>
      </rPr>
      <t xml:space="preserve"> Pri izvajanju keramičarskih del je upoštevati vsa pripravljalna dela, pomožna dela zaključna dela. Pri posameznih postavkah keramičarskih del iz tega poglavja mora ponudnik v cenah za enoto mere obvezno zajeti, upoštevati in vkalkulirati še: </t>
    </r>
  </si>
  <si>
    <t>XIII./1.</t>
  </si>
  <si>
    <t>1. Pred polaganjem  keramike na stene  je predhodno pregledati stene in izvesti potrebna preddela; betonske stene  očistiti  emulzij  od premazov opažev, pregledati vertikalnost sten. Pred polaganjem talne keramike v cementno  malto ali lepilo je preveriti stanje talne hidroizolacije, pri polaganju pa dela izvajati tako, da se le-ta ne poškoduje.</t>
  </si>
  <si>
    <t>XIII./2.</t>
  </si>
  <si>
    <t>2. Polaganje keramike ob vodovodnih  in elektro priključkih izvesti , tako da so stiki pokriti s rozetami .</t>
  </si>
  <si>
    <t>XIII./3.</t>
  </si>
  <si>
    <t>3. Pred polaganjem izvajalec skupaj z vodjo nadzora pregleda površine za oblaganje in določi lokacije oblaganja sten in tlaka. Površine odprtin do 0,50 m2 , ki se ne oblagajo, ampak se oblaganje vrši ob  odprtinah, se ne odbijajo. Okenske odprtine do 1m2 se ne odbijajo, špalete se ne določajo posebej, vratne odprtine se odbijejo nad 1m2.</t>
  </si>
  <si>
    <t>XIII./4.</t>
  </si>
  <si>
    <t xml:space="preserve">4. Pred polaganjem obloge izvajalec obvezno z vodjo nadzora in vodjo projekta določi način, smer in vzorec polaganja. Fuge med posameznimi ploščicami se obdelajo: s hitrovezočo cementno fugirno maso proizvedeno po SIST  EN 1388 - minimalno širino fug (pri večjih dim ploščic)  vsaj 6 mm , oziroma:  širina fuge v notranjih prostorih vsaj 1% od daljše dimenzije ploščice, pri zunanjih oblogah pa najmanj 2 % od daljše stranice ploščice. Vse izbrane formate pred polaganjem pisno potrdi vodja projekta. 
</t>
  </si>
  <si>
    <t>XIII./5.</t>
  </si>
  <si>
    <t xml:space="preserve">5. Na mestu mokrih prostorov se keramika lepi na tesnilno maso vodne emulzije na osnovi kavčuk/bitumna ali kavčuk butila  (3 x nanos), za podlogo se uporabijo vlagoodporne plošče. Kakovostna stopnja fugiranja v mokrih prostorih je Q2.  </t>
  </si>
  <si>
    <t>XIII./6.</t>
  </si>
  <si>
    <t>6. Pri polaganju keramičnih ali gres oblog je obvezno potrebno upoštevati sledeče splošne pogoje:
¨ Minimalni izvedbeni pogoji za vgradnjo keramičarskih oblog:
¨ Izvedeni tlak iz keramike se lahko mehansko obremeni po ca. 3 do 4 dneh.
¨ Temperatura podlage min. 10°C oz. 3°C nad temperaturo rosišča, temperatura zraka v prostoru min.10°C.
¨ V primeru izvedbe emulzijskih epoksidnih sistemov: Temperatura podlage min. 15°C oz. 3°C nad temperaturo rosišča, temperatura zraka v prostoru min.15°C.
¨ Relativna vlaga zraka v prostoru max. 75%.
¨ Vsebnost vlage v cementni podlagi do 4,5% CM.
¨ Oprijemna trdnost podlage ³ 1,5 N/mm2.
¨ Tlačna trdnost AB podlage ³ 25 N/mm2.
¨ Tlačna trdnost cementnega estriha ³ 30 N/mm2.
¨ Ravnost osnovne podlage v skladu z DIN EN 18202 (tabela 3).
¨ Upoštevati je potrebno navodila iz tehničnih listov o produktih in priložena priporočila v zadnji izdaji izbranega proizvajalca.  Izgled in stopnjo protidrsnosti je potrebno na  osnovi vzorca predhodno pisno potrditi s strani vodje nadzora in vodje projekta.
¨ Obvezna ustreznost materialov za uporabo v objektih javnega značaja.
¨ Obvezna ustreznost materialov za uporabo v bivalnih prostorih.
¨ Obvezna je izvedba opisanega sistema, vendar poljubnega proizvajalca.</t>
  </si>
  <si>
    <t>Splošna določila za keramičarska dela:</t>
  </si>
  <si>
    <t>• Keramičarska dela morajo biti izvršena po določilih veljavnih normativov in v soglasju z obveznimi standardi za ta dela.</t>
  </si>
  <si>
    <t>• Potrebni materiali za ta dela morajo po kvaliteti prav tako ustrezati določilom veljavnih standardov.</t>
  </si>
  <si>
    <t>Standardizirani opisi del za keramičarska dela vsebujejo :</t>
  </si>
  <si>
    <t xml:space="preserve">                          - izvršitev kooperantske /obrtniške/ storitve</t>
  </si>
  <si>
    <t xml:space="preserve">                          - zidarsko /težaško/ pomoč kooperantu</t>
  </si>
  <si>
    <t xml:space="preserve">                          - ostale manipulativne stroške</t>
  </si>
  <si>
    <t>Opis storitve kooperanta /obrtnika/ : Storitve kooperanta obsega, če ni s pogodbo drugače določeno :</t>
  </si>
  <si>
    <t>dobavo vsega osnovnega in pomožnega materiala za napravo malt ali lepila</t>
  </si>
  <si>
    <t>delo v delavnici in na objektu z dajatvami</t>
  </si>
  <si>
    <t>prevoz materiala in izdelkov na objekt z nakladanjem, ekspeditom, razkladanjem, skladiščenjem   in notranjim prenosom materiala do mesta vgraditve</t>
  </si>
  <si>
    <t>čiščenje izdelkov po izvršenem delu</t>
  </si>
  <si>
    <t>zaključno čiščenje keramičarskih del in izdelkov pred oddajo objekta</t>
  </si>
  <si>
    <t>Izvajalec je dolžan pred pričetkom del na objektu preveriti pravilnost podloge, mere in količine. Za morebitne pomisleke glede pravilnosti izvedbe je opozoriti vodjo del izvajalca. Barvo in kvaliteto ploščic določi vodja projekta.</t>
  </si>
  <si>
    <t>XIV.</t>
  </si>
  <si>
    <t>TLAKARSKA DELA</t>
  </si>
  <si>
    <r>
      <rPr>
        <b/>
        <u/>
        <sz val="11"/>
        <rFont val="Arial"/>
        <family val="2"/>
        <charset val="238"/>
      </rPr>
      <t>OPOMBA:</t>
    </r>
    <r>
      <rPr>
        <b/>
        <sz val="11"/>
        <rFont val="Arial"/>
        <family val="2"/>
        <charset val="238"/>
      </rPr>
      <t xml:space="preserve"> </t>
    </r>
    <r>
      <rPr>
        <sz val="11"/>
        <rFont val="Arial"/>
        <family val="2"/>
        <charset val="238"/>
      </rPr>
      <t xml:space="preserve">Pri izvajanju tlakarskih del je upoštevati vsa pripravljalna dela, pomožna dela zaključna dela. Dela je potrebno izvajati v skladu z  tehničnimi predpisi in normativi v soglasju z obveznimi standardi za polaganje tlakov. Pri posameznih postavkah iz tega poglavja mora ponudnik v cenah za enoto mere obvezno zajeti, upoštevati in vkalkulirati še: </t>
    </r>
  </si>
  <si>
    <t>XIV./1.</t>
  </si>
  <si>
    <t>Pred polaganjem talne obloge je predhodno pregledati delovno površino in izvesti potrebna preddela; površine očistiti od emulzij, premazov opažev in mastnih deležev, pregledati niveleto tlaka in pomeriti stopnjo vlage. Pred polaganjem je preveriti stanje talne hidroizolacije, pri polaganju pa dela izvajati tako, da se le-ta ne poškoduje. Vse našteto mora biti zajeto v E.M. posamezne postavke.</t>
  </si>
  <si>
    <t>XIV./2.</t>
  </si>
  <si>
    <t>Polaganje talnih oblog ob vodovodnih  in elektro priključkih izvesti , tako da so stiki pokriti s rozetami.</t>
  </si>
  <si>
    <t>XIV./3.</t>
  </si>
  <si>
    <t>Pred polaganjem izvajalec skupaj z vodjo nadzora pregleda površine oblaganja določi lokacije, način in smer oblaganja tlaka in polaganja talnih oblog. Površine odprtin do 0,50 m2 , ki se ne oblagajo , ampak se oblaganje vrši ob  odprtinah,  se ne odbijajo.</t>
  </si>
  <si>
    <t>XIV./4.</t>
  </si>
  <si>
    <t>Pri polaganju talnih oblog je obvezno potrebno upoštevati sledeče splošne pogoje:
¨ Minimalni izvedbeni pogoji za vgradnjo epoksidnih tlakov:
¨ Izvedeni epoksidni tlak se lahko mehansko obremeni po ca. 3 do 4 dneh kemijsko odpornost pa doseže po ca. 7 do 10 dneh pri temperaturi 20°C. Pranje in čiščenje epoksidnega tlaka z vodo je možno šele po kemijski utrditvi tlaka.
¨ Temperatura podlage min. 10°C oz. 3°C nad temperaturo rosišča, temperatura zraka v prostoru min.10°C.
¨ V primeru izvedbe emulzijskih epoksidnih sistemov: Temperatura podlage min. 15°C oz. 3°C nad temperaturo rosišča, temperatura zraka v prostoru min.15°C.
¨ Relativna vlaga zraka v prostoru max. 75 %.
¨ Vsebnost vlage v cementni podlagi do 4,5 % CM.
¨ Oprijemna trdnost podlage  1,5 N/mm2.
¨ Tlačna trdnost AB podlage  25 N/mm2.
¨ Tlačna trdnost cementnega estriha  30 N/mm2.
¨ Ravnost osnovne podlage v skladu z DIN EN 18202 (tabela 3, vrstica 3).
¨ Upoštevati je potrebno navodila iz tehničnih listov o produktih in priporočila izbranega proizvajalca v zadnji izdaji izbranega proizvajalca.  Izgled in stopnjo protidrsnosti je potrebno na  osnovi vzorca predhodno pisno potrditi s strani vodje nadzora in vodje projekta.
¨ Obvezna ustreznost materialov za uporabo v prehrambeni industriji.
¨ Obvezna ustreznost materialov za uporabo v bivalnih prostorih.
¨ Obvezna ustreznost materialov za uporabo v garažnih hišah sistem OS8.
¨ Obvezna je izvedba opisanega sistema, vendar poljubnega proizvajalca.</t>
  </si>
  <si>
    <t>Delo obrtnika obsega:</t>
  </si>
  <si>
    <t>*</t>
  </si>
  <si>
    <t>dobavo osnovnega materiala za talne obloge</t>
  </si>
  <si>
    <t>dobavo ostalega materiala</t>
  </si>
  <si>
    <t>masa za izravnavo podloge</t>
  </si>
  <si>
    <t>lepilo za lepljenje talnih oblog</t>
  </si>
  <si>
    <t>obrobne letve</t>
  </si>
  <si>
    <t>pritrdilni material za obrobne letve</t>
  </si>
  <si>
    <t>snemanje izmer v objektu</t>
  </si>
  <si>
    <t>pregled in čiščenje podlog</t>
  </si>
  <si>
    <t>nanašanje izravnalne mase</t>
  </si>
  <si>
    <t>vsa dela v delavnici in na objektu z dajatvami</t>
  </si>
  <si>
    <t xml:space="preserve">prevoz materiala in orodja na objekt, z nakladanjem, razkladanjem </t>
  </si>
  <si>
    <t>polaganje, prikrojitev in lepljenje talne obloge</t>
  </si>
  <si>
    <t>pritrjevanje obrob</t>
  </si>
  <si>
    <t>popravilo zidov ali stenskih oblog, če se poškodujejo</t>
  </si>
  <si>
    <t>vsa dela in ukrepe po določilih veljavnih predpisov varstva pri delu</t>
  </si>
  <si>
    <t>Opombe:</t>
  </si>
  <si>
    <t>izvajalec mora predložiti vzorce v potrditev</t>
  </si>
  <si>
    <t>ves vgrajeni material mora imeti ustrezne izjave o skladnosti</t>
  </si>
  <si>
    <t>V kolikor ni nizkostenska obroba popisana ločeno, jo je zajeti v ceni  osnovne postavke tlaka.</t>
  </si>
  <si>
    <t>Pri vseh delih je  upoštevati sorazmerje  stroškov organizacije in čiščenja po  končanju vseh del.</t>
  </si>
  <si>
    <t>Standardi, ki se nanašajo tlakarska dela, oziroma materiale, ki se uporabljajo pri tlakarskih delih.</t>
  </si>
  <si>
    <t>XIV./5.1.</t>
  </si>
  <si>
    <t>Lesene talne obloge – Lastnosti, ovrednotenje skladnosti in označevanje</t>
  </si>
  <si>
    <t>SIST EN 14342:2005+A1:2008</t>
  </si>
  <si>
    <t>XIV./5.2.</t>
  </si>
  <si>
    <t>Netekstilne, tekstilne in laminirane (plastene) talne obloge – Bistvene značilnosti</t>
  </si>
  <si>
    <t>SIST EN 14041:2005</t>
  </si>
  <si>
    <t>SIST EN 14041:2005/AC:2007</t>
  </si>
  <si>
    <t>XIV./5.3.</t>
  </si>
  <si>
    <t>Podloge za športne dejavnosti – Notranje podloge za večnamensko uporabo – Specifikacija</t>
  </si>
  <si>
    <t>SIST EN 14904:2006</t>
  </si>
  <si>
    <t>XIV./5.4.</t>
  </si>
  <si>
    <t>Površinske prevleke – zahteve</t>
  </si>
  <si>
    <t>SIST EN 12271:2007</t>
  </si>
  <si>
    <t>XIV./5.5.</t>
  </si>
  <si>
    <t>Tankoplastne prevleke po hladnem postopku-Specifikacija</t>
  </si>
  <si>
    <t>SIST EN 12273:2009</t>
  </si>
  <si>
    <t>XIV./5.6.</t>
  </si>
  <si>
    <t>XIV./5.7.</t>
  </si>
  <si>
    <t>Združene polnilne in tesnilne mase-1.del:Specifikacija za toplo nanosljive tesnilne mase</t>
  </si>
  <si>
    <t>SIST EN 14188:1:2005</t>
  </si>
  <si>
    <t>XIV./5.8.</t>
  </si>
  <si>
    <t>Tesnilne in zalivne mase-2.del:Specifikacija za hladne tesnilne mase</t>
  </si>
  <si>
    <t>SIST EN 14188-2:2005</t>
  </si>
  <si>
    <t>XIV./5.9.</t>
  </si>
  <si>
    <t>Polnilne in tesnilne mase za stike – 3.del: Specifikacija za elastomerne tesnilne profile</t>
  </si>
  <si>
    <t>SIST EN 14188:3:2006</t>
  </si>
  <si>
    <t>Splošna določila za tlakarska dela :</t>
  </si>
  <si>
    <t>Tlakarska dela morajo biti izvršena po določilih veljavnih normativov in v soglasju s tehničnimi pogoji za polaganje določenih tlakov in sicer:</t>
  </si>
  <si>
    <t>tlak iz lesenih kock, parketa ali drugih lesenih oblog</t>
  </si>
  <si>
    <t>Materiali in izdelki za ta dela morajo ustrezati določilom obveznih standardov.</t>
  </si>
  <si>
    <t>Standardni opisi za tlakarska dela vsebujejo :</t>
  </si>
  <si>
    <t>izvršitev kooperantske /obrtniške/ storitve</t>
  </si>
  <si>
    <t>zidarsko pomoč kooperantu</t>
  </si>
  <si>
    <t>ostale manipulativne stroške</t>
  </si>
  <si>
    <t>Storitve kooperanta obsegajo, če ni z medsebojno pogodbo drugače določeno:</t>
  </si>
  <si>
    <t>snemanje izmer objekta</t>
  </si>
  <si>
    <t>pregled in čiščenje podloge</t>
  </si>
  <si>
    <t>nanos izravnalne mase</t>
  </si>
  <si>
    <t>vsa dela na objektu z dajatvami</t>
  </si>
  <si>
    <t>dobava vsakega osnovnega in pomožnega materiala</t>
  </si>
  <si>
    <t>prevoz materiala in orodja na objekt z vsemi potrebnim nakladanjem, ekspeditom, razkladanjem in notranjim prenosom do mesta vgraditve ter polaganje</t>
  </si>
  <si>
    <t>polaganje obrobnih letev</t>
  </si>
  <si>
    <t>posebne storitve kot:</t>
  </si>
  <si>
    <t>struganje in loščenje parketa</t>
  </si>
  <si>
    <t>odstranitev odvečnega lepila in loščenje tlakov iz umetnih mas</t>
  </si>
  <si>
    <t>odstranitev lepila in čiščenje tlakov iz tekstilnih vlaken</t>
  </si>
  <si>
    <t>popravilo zidov oz. oblog sten poškodovanih ob priliki polaganja tlakov</t>
  </si>
  <si>
    <t>odstranjevanje preostalega materiala, odnos s stavbišča. končno čiščenje in</t>
  </si>
  <si>
    <t>zavarovanje tlakov od predaje objekta</t>
  </si>
  <si>
    <t>Opis zidarske /težaške/ pomoči:</t>
  </si>
  <si>
    <t>Naprava vseh podlog potrebnih za nemoteno delo polagalca. Podloge morajo ustrezati ustreznim veljavnim</t>
  </si>
  <si>
    <t>normativom in določilom JUS standardom določenih za posamezne vrste podov.</t>
  </si>
  <si>
    <t>Postavitev oz. vzidava podmetkov za pritrditev stenske obloge.</t>
  </si>
  <si>
    <t>Določitev del :</t>
  </si>
  <si>
    <t>tlaki se določajo od m2 dejansko položene površine merjeno od ometa do ometa</t>
  </si>
  <si>
    <t>pragovi se določajo v m2</t>
  </si>
  <si>
    <t>pokrovne letvice se določajo po m1</t>
  </si>
  <si>
    <t>obrobne letve ( lesene in plastične ) ter obrobe stopnic se določajo od m1</t>
  </si>
  <si>
    <t>odprtine se pri posameznih tlakih odbijajo takole :</t>
  </si>
  <si>
    <t>parket : odprtine preko 0,75 m2</t>
  </si>
  <si>
    <t>ksilolit : odprtine preko 0,50 m2</t>
  </si>
  <si>
    <t>guma, linolej, plastika : odbijajo se vse odprtine</t>
  </si>
  <si>
    <t>posamezni izdelki se določajo posamezno</t>
  </si>
  <si>
    <t>XV.</t>
  </si>
  <si>
    <t>SUHOMONTAŽNA DELA - MONTAŽNE STENE IN STROPOVI:</t>
  </si>
  <si>
    <r>
      <rPr>
        <b/>
        <u/>
        <sz val="11"/>
        <rFont val="Arial"/>
        <family val="2"/>
        <charset val="238"/>
      </rPr>
      <t>OPOMBA:</t>
    </r>
    <r>
      <rPr>
        <sz val="11"/>
        <rFont val="Arial"/>
        <family val="2"/>
        <charset val="238"/>
      </rPr>
      <t xml:space="preserve"> Pri izvajanju montažnih del je upoštevati vsa pripravljalna, pomožna in zaključna dela ter vsa navodila in parametre za pravilno vgradnjo izbranega sistema. </t>
    </r>
  </si>
  <si>
    <r>
      <rPr>
        <b/>
        <u/>
        <sz val="11"/>
        <rFont val="Arial"/>
        <family val="2"/>
        <charset val="238"/>
      </rPr>
      <t xml:space="preserve">SPLOŠNA DOLOČILA: </t>
    </r>
    <r>
      <rPr>
        <sz val="11"/>
        <rFont val="Arial"/>
        <family val="2"/>
        <charset val="238"/>
      </rPr>
      <t>V vseh mavčnih stenah so vogali zaščiteni s tipskimi pocinkanimi pločevinastimi vogalniki sistema proizvajalca predelnih mavčnih sten!
V sanitarnih stenah je upoštevati vgradnjo elementov za pritrjevanje sanitarnih elementov - glej PZI načrt arhitekture in strojnih instalacij - sanitarna oprema! Prav tako je potrebno všteti vsa bandažiranja in kitanja stikov!
Pri izvajanju montažnih del je upoštevati vsa pripravljalna, pomožna in zaključna dela ter vsa navodila in parametre za pravilno vgradnjo izbranega sistema. Pri posameznih postavkah montažnih sten in stropov iz tega poglavja mora ponudnik v cenah za enoto mere obvezno zajeti, upoštevati in vkalkulirati še:</t>
    </r>
  </si>
  <si>
    <t>XV./1.</t>
  </si>
  <si>
    <t xml:space="preserve">Stroške  za morebitne statične presoje stabilnosti, sidranja in razpone posameznih plošč je vkalkulirati v cene po enoti posameznih postavk.    </t>
  </si>
  <si>
    <t>XV./2.</t>
  </si>
  <si>
    <t>Stikovanje  med posameznimi ploščami mora biti ravno  in  gladko, medsebojni stiki rezani pod kotom in bandažirani v skladu s pravili stroke: pred polaganjem mrežice in po polaganju mrežice. Prehodi med  vrstami materiala morajo biti ostri in pod pravim kotom, razen če ni s projektom drugače določeno.  Pri izdelavi oblog, sten in stropov se uporablja enovit in originalen material samo enega proizvajalca v skladu s predpisano garancijo in navodili poljubnega proizvajalca. V osnovni ceni je potrebno vkalkulirati delovni oder.</t>
  </si>
  <si>
    <t>XV./3.</t>
  </si>
  <si>
    <t>Pri izdelavi oblog, sten in stropov se uporablja enovit in originalen material samo enega proizvajalca v skladu s predpisano garancijo in navodili poljubnega proizvajalca, kot na primer Knauf.</t>
  </si>
  <si>
    <t>XV./4.</t>
  </si>
  <si>
    <t>Enakovrednost: V kolikor pri posameznih pozicijah ni drugače določeno, veljajo kot kriteriji enakovrednosti značilnih navedenih izvedb vse tehnične specifikacije, ki so opisane, zlasti tudi konstruktivna sestava in tehnične lastnosti posameznih delov konstrukcije in skupne konstrukcije kakor tudi posebne lastnosti, ki so podane v tehnični dokumentaciji proizvajalca značilnih navedenih proizvodov. Če se ponuja enakovredna izvedba, je potrebno na primerjalni listi prikazati tehnične specifikacije vseh ponujenih sistemov.</t>
  </si>
  <si>
    <t>XV./5.</t>
  </si>
  <si>
    <t>Dogovorjeni standard: Kot pogodbeni standard je dogovorjen avstrijski standard ÖNORM B 2206 (stene) in SIST EN 13964 (stropovi), v kolikor pri izrezih in izdelavi odprtin ni drugače določeno.</t>
  </si>
  <si>
    <t>XV./6.</t>
  </si>
  <si>
    <t xml:space="preserve">Višine sten: Če višine niso navedene, se pri kalkulaciji upoštevajo višine sten do 3,20 m, ob upoštevanju morebitnih konstruktivnih dodatnih ukrepov. </t>
  </si>
  <si>
    <t>XV./7.</t>
  </si>
  <si>
    <t>Stenska konstrukcija iz kovinskih stojk: Če ni drugače navedeno, so stenske konstrukcije s kovinskimi stojkami nenosilne in neprestavljive. Dokazilo stabilnosti za stenske konstrukcije mora dokazati prevzemnik naročila, v kolikor stabilnost ni razvidna iz avstrijskega standarda ÖNORM B 3358-6. Podkonstrukcija stropnih oblog: Podkonstrukcija oblog vodoravnih stropnih površin, poševnih stenskih ali stropnih površin ali navpičnih površin se s profili iz jeklene pločevine in z do 10 cm prestavljivimi pritrdili montira neposredno na nosilno podlago. V osnovni ceni podkonstrukcije je vkalkulirana montaža vodoravnih, poševnih ali navpičnih oblog, pri katerih znaša razmak podlage do notranje površine obloge do 10 cm.</t>
  </si>
  <si>
    <t>XV./8.</t>
  </si>
  <si>
    <t>Okrajšava CW: Okrajšava CW se uporablja pri stenah s kovinskimi stojkami za stenske C-profile. Navedena vrednost je višina mostička profila v mm.</t>
  </si>
  <si>
    <t>XV./9.</t>
  </si>
  <si>
    <t>Stiki stene s sosednjimi gradbenimi elementi: V enotni ceni je treba vkalkulirati togi stik profilov s tesnilnim trakom s steno, stropom in tlemi v skladu z avstrijskim standardom B 3356-6.</t>
  </si>
  <si>
    <t>XV./10.</t>
  </si>
  <si>
    <t>Izolacijski sloj: Če ni drugače navedeno, je v enotni ceni stenskih in stropnih sistemov vkalkuliran 5 cm debel izolacijski sloj iz vezane mineralne kamene volne poljubnega proizvajalca, npr.: Termo Tervol DP-5.</t>
  </si>
  <si>
    <t>XV./11.</t>
  </si>
  <si>
    <t>Razred požarne upornosti: Dokazilo o zahtevanem razredu požarne upornosti za stensko konstrukcijo mora dokazati izvajalec naročila s potrdilom o preizkusu ali mnenjem izvedenca avtorizirane institucije za preizkušanje, če razred požarne upornosti ni razviden iz avstrijskih standardov ÖNORM B 3800 in ÖNORM B 3358-6 oz. iz priloge 1 nemškega standarda DIN 4109.</t>
  </si>
  <si>
    <t>XV./12.</t>
  </si>
  <si>
    <t>Zvočna zaščita: Zahtevane vrednosti zvočne zaščite stenskih konstrukcij izvajalec dokaže s poročilom o preizkusu pooblaščene institucije za preizkušanje in nadzor, če že vrednosti zvočne zaščite niso razvidne iz avstrijskega standarda ÖNORM B 3358-6 oz. nemškega standarda DIN 4109, priloga 1. Zahtevana zračna zvočna zaščita v zgradbi se dokaže z merjenjem na gradbišču, če že vrednosti zvočne zaščite niso razvidne iz avstrijskega standarda ÖNORM B 8115-4. Merjenje se zaračuna posebej.</t>
  </si>
  <si>
    <t>XV./13.</t>
  </si>
  <si>
    <t>Izvedba: Za izvedbo veljajo ustrezni avstrijski standardi ÖNORM in zatem smernice za izvedbo proizvajalca.</t>
  </si>
  <si>
    <t>XV./14.</t>
  </si>
  <si>
    <t>Površina: Fugiranje stikov med ploščami in pritrdilnih sredstev se izvede v skladu z avstrijskim standardom oziroma smernicami za izvedbo proizvajalca. V enotni ceni je vkalkulirana površina brez posebnih zahtev, v skladu z avstrijskim standardom ÖNORM B 3415. Izdelava površin s posebnimi zahtevami se zaračuna posebej. Vodoravno, navpično, poševno: Odstopanja po projektu od vodoravne ali navpične ravnine do 5 odstotkov veljajo kot vodoravne ali navpične, nad 5 odstotki pa kot poševne. Odstotek se izračuna iz razmerja med sosednjima pravokotnima stranema (tangens). Poševnine se od dejanske površine odštejejo. Navpične stropne površine se priračunajo k stropni površini.</t>
  </si>
  <si>
    <t>XV./15.</t>
  </si>
  <si>
    <t>Izrezi v ploščah vključno z zapiranjem instalacijskih in vgradnih delov, ki so zmontirani pred montažo obloge, se ne zaračunajo posebej, v kolikor zanje ni potrebna ojačitev konstrukcije. Delovna prekinitev: Delovne prekinitve za instalacijska dela po oblaganju ene strani so vključena v osnovno ceno. Določitev odprtin: Izdelava robov pri odprtinah za podboje, okvirje in okenske špalete do velikosti odprtine 2,5 m2 se ne določa posebej, zato se odprtina ne odbije. Pri velikosti odprtine nad 2,5 m2 se odprtina odbije, izdelava roba odprtine pa posebej določa. Prestavitev podbojev ali okvirjev ali izdelava okenskih špalet z mavčnimi ploščami se določa posebej.</t>
  </si>
  <si>
    <t>XV./16.</t>
  </si>
  <si>
    <t>Impregnirane plošče: Dodatne pozicije za impregnirane mavčne plošče morajo biti upoštevane v cenah.</t>
  </si>
  <si>
    <t>XV./17.</t>
  </si>
  <si>
    <t>Premazi: Pri premazih je treba v osnovi upoštevati določila avstrijskih standardov ÖNORM B 2230-2, ÖNORM B 2223 in ÖNORM B 2207. Premazna sredstva se morajo glede vrste in sestave ujemati z vsakokratnim namenom uporabe in morajo biti med seboj usklajena. Za podlage iz mavčnokartonskih plošč premazna sredstva na osnovi apna, vodnega stekla in silikata niso primerna. Pri disperzijskih silikatnih barvah je treba upoštevati nasvete proizvajalca sredstva. Pri mavčnokartonskih površinah, ki so dalj časa nezaščiteno izpostavljene učinkovanju svetlobe se lahko pojavi porumenelost, zato je pred nanosom premaza priporočljiv poizkusni premaz preko več plošč vključno z zafugiranimi mesti. Nanos zapornega sredstva, ki naj bi preprečil učinkovanje s podlage na nanešeni premaz, je upoštevan pri pleskarskih delih.</t>
  </si>
  <si>
    <t>XV./18.</t>
  </si>
  <si>
    <t>Odri: V osnovni ceni je vkalkuliran delovni oder do delovne višine 3,2 m. Delovna višina se meri od zgornjega roba tal do spodnjega roba tistega dela stropa, na katerega je pritrjena podkonstrukcija (obešala) stropa. Če ni drugače navedeno, je pri poševnih površinah vkalkuliran v osnovni ceni nagib (razmerje med višino in vodoravno projekcijo) do 5 %.</t>
  </si>
  <si>
    <t>XV./19.</t>
  </si>
  <si>
    <t>Podkonstrukcija oblog: Podkonstrukcija oblog vodoravnih stropnih površin, poševnih stenskih ali stropnih površin ali navpičnih površin se s profili iz jeklene pločevine in z do 10 cm prestavljivimi pritrdili montira neposredno na nosilno podlago. V osnovni ceni podkonstrukcije je vkalkulirana montaža vodoravnih, poševnih ali navpičnih oblog, pri katerih znaša razmak podlage do notranje površine obloge do 10 cm. Višina obešanja: Obešalna višina do 50 cm je vkalkulirana v osnovni ceni. Obešalna višina se meri od spodnjega roba nosilnega stropa do spodnjega roba gotovega obešenega stropa.</t>
  </si>
  <si>
    <t>XV./20.</t>
  </si>
  <si>
    <t xml:space="preserve">Izbrane stenske in stropne obloge v mokrih prostorih ali v prostorih kjer se pojavlja vlaga morajo biti 100 %-no odporne proti vodi (brez nabrekanja ali razpadanja), odporne na plesen in negorljive! </t>
  </si>
  <si>
    <t>XV./21.</t>
  </si>
  <si>
    <t>Pri postavkah montažnih pregradnih sten in stropov iz mavčnih plošč se upoštevajo vsi stiki, lomi, kaskade, preboji, izrezi in zaključki.
Upoštevati je potrebno vse zaključke na stene in ostale konzole, po načrtih stropov!
Obloge sten in stropov v prostoru telovadnice morajo biti iz materialov z odzivom na ogenj razred A2-s1,d0.</t>
  </si>
  <si>
    <t>Razred požarne upornosti: Dokazilo o zahtevanem razredu požarne upornosti za stensko konstrukcijo mora dokazati izvajalec naročila s potrdilom o preizkusu ali mnenjem izvedenca avtorizirane institucije za preizkušanje, če razred požarne upornosti ni razviden iz predpisanih standardov in zahtev po Študiji požarne varnosti.</t>
  </si>
  <si>
    <t>XV./22.</t>
  </si>
  <si>
    <t>Izvedba: Za izvedbo veljajo ustrezni slovenski standardi, poleg teh pa sekundarno tudi avstrijski standardi ÖNORM in zatem smernice za izvedbo proizvajalca.
Površina: Fugiranje stikov med ploščami in pritrdilnih sredstev se izvede v skladu z avstrijskim standardom oziroma smernicami za izvedbo proizvajalca. V enotni ceni je vkalkulirana površina brez posebnih zahtev, v skladu z avstrijskim standardom ÖNORM B 3415. Izdelava površin s posebnimi zahtevami se zaračuna posebej. Vodoravno, navpično, poševno: Odstopanja po projektu od vodoravne ali navpične ravnine do 5 odstotkov veljajo kot vodoravne ali navpične, nad 5 odstotki pa kot poševne. Odstotek se izračuna iz razmerja med sosednjima pravokotnima stranema (tangens). Poševnine se od dejanske površine odštejejo. Navpične stropne površine se priračunajo k stropni površini.</t>
  </si>
  <si>
    <t>XV./23.</t>
  </si>
  <si>
    <t>Izbrane stenske in stropne obloge v mokrih prostorih ali v prostorih kjer se pojavlja vlaga morajo biti 100 %-no odporne proti vodi (brez nabrekanja ali razpadanja), odporne na plesen in negorljive! 
V enotni ceni morajo biti zajeta vsa potrebna dela, transporti, prenosi,...</t>
  </si>
  <si>
    <t>Standardi, ki se nanašajo mavčno kartonska  dela, oziroma materiale, ki se uporabljajo pri mavčno kartonskih delih.</t>
  </si>
  <si>
    <t>XV./24.</t>
  </si>
  <si>
    <t>Mavčne plošče – Definicije, zahteve in preskusne metode</t>
  </si>
  <si>
    <t>SIST EN 520:2005+A1:2009</t>
  </si>
  <si>
    <t>XV./24.1.</t>
  </si>
  <si>
    <t>Mavčni proizvodi, ojačeni z vlakni – Definicije, zahteve in preskusne metode</t>
  </si>
  <si>
    <t>SIST EN 13815:2006</t>
  </si>
  <si>
    <t>XV./24.2.</t>
  </si>
  <si>
    <t>Predizdelani paneli mavčnih plošč s kartonskim jedrom – Definicije, zahteve in preskusne metode</t>
  </si>
  <si>
    <t>SIST EN 13915:2007</t>
  </si>
  <si>
    <t>XV./24.3.</t>
  </si>
  <si>
    <t>Mavčne plošče za toplotno/zvočno izolacijo kompozitnih panelov – Definicije, zahteve in preskusne metode</t>
  </si>
  <si>
    <t>SIST EN 13950:2006</t>
  </si>
  <si>
    <t>XV./24.4.</t>
  </si>
  <si>
    <t>Mavčne plošče, ojačane z vlakni – Definicije, zahteve in preskusne metode-1.del:Mavčne plošče, ojačane  z mrežo iz vlaken</t>
  </si>
  <si>
    <t>SIST EN 15283-1:2008+A1:2009</t>
  </si>
  <si>
    <t>XV./24.5.</t>
  </si>
  <si>
    <t>Mavčne plošče, ojačane z vlakni – Definicije, zahteve in preskusne metode-2.del:Mavčne plošče z vlakni</t>
  </si>
  <si>
    <t>SIST EN 15283-2:2008+A1:2009</t>
  </si>
  <si>
    <t>XV./24.6.</t>
  </si>
  <si>
    <t>Tesnilni materiali za mavčne plošče – Definicije, zahteve in preskusne metode</t>
  </si>
  <si>
    <t>SIST EN 13963:2005</t>
  </si>
  <si>
    <t>SIST EN 13963:2005/ AC:2006</t>
  </si>
  <si>
    <t>XV./24.7.</t>
  </si>
  <si>
    <t>Mavčne plošče iz reciklaže – Definicije, zahteve in preskusne metode</t>
  </si>
  <si>
    <t>SIST EN 14190:2005</t>
  </si>
  <si>
    <t>XV./24.8.</t>
  </si>
  <si>
    <t>Elementi s kovinskimi okvirji za mavčne plošče – Definicije, zahteve in preskusne metode</t>
  </si>
  <si>
    <t>SIST EN 14195:2005</t>
  </si>
  <si>
    <t>SIST EN 14195:2005/ AC:2006</t>
  </si>
  <si>
    <t>XV./24.9.</t>
  </si>
  <si>
    <t>Predoblikovane mavčne plošče – Definicije, zahteve in preskusne metode</t>
  </si>
  <si>
    <t>SIST EN 14209:2006</t>
  </si>
  <si>
    <t>XV./24.10.</t>
  </si>
  <si>
    <t>Mavčni elementi za viseče strope – Definicije, zahteve in preskusne metode</t>
  </si>
  <si>
    <t>SIST EN 14246:2006</t>
  </si>
  <si>
    <t>SIST EN 14246:2006/AC:2007</t>
  </si>
  <si>
    <t>XV./24.11.</t>
  </si>
  <si>
    <t>Pomožni in dodatni kovinski profili za mavčne plošče – Definicije, zahteve in preskusne metode</t>
  </si>
  <si>
    <t>SIST EN 14353:2008+A1:2010</t>
  </si>
  <si>
    <t>XV./24.12.</t>
  </si>
  <si>
    <t>Lepila na osnovi mavca za toplotno, zvočno izolacijo kompozitnih panelov in mavčne plošče – Definicije, zahteve in preskusne metode</t>
  </si>
  <si>
    <t xml:space="preserve">SIST EN 14496:2006 </t>
  </si>
  <si>
    <t>XV./24.13.</t>
  </si>
  <si>
    <t>XV./24.14.</t>
  </si>
  <si>
    <t>SIST EN 14188-1:2005</t>
  </si>
  <si>
    <t>XV./24.15.</t>
  </si>
  <si>
    <t>XV./24.16.</t>
  </si>
  <si>
    <t>Splošna določila za suhomontaža dela:</t>
  </si>
  <si>
    <t>Dela je treba izvajati po določilih veljavnih normativov in skladno z obveznimi standardi</t>
  </si>
  <si>
    <t>Pri izvedbi je treba upoštevati tudi navodila proizvajalca materiala, ki se uporablja pri izvedbi.</t>
  </si>
  <si>
    <t>dobavo vsega osnovnega in pomožnega materiala;</t>
  </si>
  <si>
    <t>prevoz materiala na objekt, z nakladanjem, razkladanjem, skladiščenjem in prenosi na objektu;</t>
  </si>
  <si>
    <t>čiščenje izdelkov oz. podlog pred pričetkom del;</t>
  </si>
  <si>
    <t>nanašanje osnovnih in končnih premazov z vsemi med fazami;</t>
  </si>
  <si>
    <t>čiščenje prostorov in izdelkov po opravljenem delu in zaščita do predaje investitorju;</t>
  </si>
  <si>
    <t>vsa dela v delavnici in na objektu z vsemi dajatvami;</t>
  </si>
  <si>
    <t>vsa dela in ukrepi po predpisih varstva pri delu.</t>
  </si>
  <si>
    <t>Vse manjše izreze za instalacije, bandažiranje in kitanje stikov ter vijakov, kitanje vseh stikov med nosilnimi konstrukcijami in mavčno-kartonskimi elementi z akrilnim kitom je zajeto v cenah na enoto.</t>
  </si>
  <si>
    <t>Mavčnokartonska dela se morajo izvajati po detajlih in navodilih  proizvajalcev plošč.</t>
  </si>
  <si>
    <t>V primeru da posamezne postavke v popisu ne zajemajo celotnega opisa potrebnega za funkcionalno dokončanje postavke, mora ponudnik izvedbo le tega vključiti v ceno na enoto!</t>
  </si>
  <si>
    <t>Na mestih odprtin z vgradnjo vrat je izvesti ustrezno podkonstrukcijo, kar je zajeti v ceni po enoti posameznih sten!</t>
  </si>
  <si>
    <t>V ceni po enoti je zajeti tudi vse ojačitve z vogalniki!</t>
  </si>
  <si>
    <t>V cenah po enoti je zajeti tudi vse potrebne ojačitve v stenah za montažo sanitarnih elementov in ostalih elementov, ki se pritrjujejo na stene v skladu z PZI načrtom arhitekture, opreme in inštalacij.</t>
  </si>
  <si>
    <t xml:space="preserve">Za vse stropove je izdelati delavniške načrte, katere pregleda, odobri in potrdi vodja projekta. Prav tako je izdelati vzorčne elemente. </t>
  </si>
  <si>
    <t>Dela lahko izvaja le izvajalec za tovrstna dela.</t>
  </si>
  <si>
    <t>XVI.</t>
  </si>
  <si>
    <t>SLIKOPLESKARSKA DELA:</t>
  </si>
  <si>
    <r>
      <rPr>
        <b/>
        <u/>
        <sz val="11"/>
        <rFont val="Arial"/>
        <family val="2"/>
        <charset val="238"/>
      </rPr>
      <t>OPOMBA:</t>
    </r>
    <r>
      <rPr>
        <sz val="11"/>
        <rFont val="Arial"/>
        <family val="2"/>
        <charset val="238"/>
      </rPr>
      <t xml:space="preserve"> Pri izvajanju slikopleskarskih del je upoštevati vsa pripravljalna dela, pomožna in zaključna dela. Pri posameznih postavkah montažnih sten in stropov iz tega poglavja mora ponudnik v cenah za enoto mere obvezno zajeti, upoštevati in vkalkulirati še: </t>
    </r>
  </si>
  <si>
    <t>XVI./1.</t>
  </si>
  <si>
    <t xml:space="preserve">Delovni odri, ki služijo varovanju življenja, izvajalcev ter ostalih na gradbišču in niso posebej navedena v tem popisu (glej tesarska dela - opaži in odri) se za čas izvajanja ne določajo posebej, ampak jih je potrebno upoštevati v cenah za enoto posameznih postavk, v kolikor to ni v popisu posebej opisano in označeno. </t>
  </si>
  <si>
    <t>XVI./2.</t>
  </si>
  <si>
    <t>Delavci, ki delajo na višini, morajo biti zavarovani v skladu z predpisi in zakonom o Varstvo pri delu (vsa varovala, ki služijo za uporabo osebne zaščitne opreme v skladu z SIST EN 354, SIST EN 355, SIST EN 360, SIST EN 362 in Zakonom o varstvu in zdravju pri delu). Upoštevati je splošna navodila in predpise iz varstva pri gradbenih in slikopleskarskih delih, varovanje dihal z zaščitno masko in zaščita oči z zaščitnimi očali ali ščitnikom za obraz je potrebno le pri ročnem ali strojnem brušenju vgrajene mase.</t>
  </si>
  <si>
    <t>XVI./3.</t>
  </si>
  <si>
    <t xml:space="preserve">Na  opleskanih površinah se ne smejo poznati sledovi od slikopleskarskega orodja  in ton mora biti enoten. </t>
  </si>
  <si>
    <t>XVI./4.</t>
  </si>
  <si>
    <t>Pred pričetkom je predhodno pregledati delovno površino in izvesti potrebna preddela; površine očistiti od emulzij, premazov opažev in mastnih deležev, pregledati niveleto površin in pomeriti stopnjo vlage. Vse našteto mora biti zajeto v E.M. posamezne postavke.</t>
  </si>
  <si>
    <t>XVI./5.</t>
  </si>
  <si>
    <t>V ceno je upoštevati vse zaščite pri slikanju ali pleskanju med posameznimi različnimi nanosi barv: bandažni trak, začasno odstranjevanje in ponovno nameščanje, zaščito lesenih ograj, zidnih površin, ipd.…</t>
  </si>
  <si>
    <t>XVI./6.</t>
  </si>
  <si>
    <t xml:space="preserve">Pleskarski izdelki (kit, barve in ostali premazi) morajo ustrezati sledečim parametrom in zahtevam: paroprepustnost izravnalnih mas po EN ISO 7783-2; koeficient μ&lt;40;  vrednost Sd (d = 3 mm) &lt;0,12; (m) razred I (visoka paroprepustnost). Paroprepustnost končnih zidnih premazov po EN ISO 7783-2; koeficient μ&lt;100;  vrednost Sd (d = 3 mm) &lt;0,01; (m) razred I (visoka paroprepustnost). </t>
  </si>
  <si>
    <t>XVI./7.</t>
  </si>
  <si>
    <t>PRIPRAVA PODLAGE; Podlaga pred nanosom izravnalne mase mora biti trdna, suha in čista, brez slabo vezanih delcev, prahu, v vodi lahko topnih soli, mastnih oblog in druge  umazanije. Prah in drugo neoprijeto umazanijo posesamo ali odstranimo z  ometanjem, nerazgrajene ostanke opažnih olj z betonskih površin pa operemo s curkom vroče vode ali pare. Z zidnimi plesnimi okužene površine pred nanosom izravnalne mase obvezno dezinficiramo. Novozgrajene omete pred vgradnjo izravnalne mase sušimo  oziroma zorimo za vsak cm debeline vsaj 7 do 10 dni, na nove betonske podlage pa izravnalne mase ne nanašamo prej kot mesec dni po betoniranju (navedeni časi sušenja podlage veljajo za normalne pogoje: T = +20 ºC, rel. zr. vl. = 65 %). Podlaga naj bo trdna suha in čista – brez slabo vezanih delcev, prahu, ostankov opažnih olj, masti in druge umazanije.</t>
  </si>
  <si>
    <t>XVI./8.</t>
  </si>
  <si>
    <t>Novo vgrajene omete in izravnalne mase v normalnih pogojih (T = +20 ºC, rel. vl. zraka = 65 %) sušimo oziroma zorimo najmanj 1 dan za vsak mm debeline, za betonske podlage pa je čas sušenja minimalno en mesec. Z že prebarvanih površin odstranimo vse v vodi lahko in hitro razmočljive barvne nanose ter opleske z oljnimi barvami, laki ali emajli. Z zidnimi plesnimi okužene površine pred barvanjem obvezno dezinficiramo. Pred prvim barvanjem na vse površine je obvezen osnovni premaz z ustrezno emulzijo. Osnovni premaz nanesemo s čistim orodjem; ročno s čopiči in valjčki ali strojno z brizganjem. Z barvanjem lahko v normalnih pogojih (T = +20 ºC, rel. vl. zraka = 65 %) pričnemo 6 -12 ur po nanosu osnovnega premaza.</t>
  </si>
  <si>
    <t>XVI./9.</t>
  </si>
  <si>
    <t xml:space="preserve">VGRADNJA IZRAVNALNIH MAS; Maso običajno vgrajujemo v dveh slojih, pri čemer naj debelina posameznega sloja ne presega 1 do 2 mm, skupna debelina dvoslojnega nanosa pa 3 mm. Maso nanašamo ročno – z nerjavečo jekleno gladilko – in jo po obdelovani ploskvi razvlečemo. Pri tem skušamo površino čim bolj zgladiti. Če je potrebno, odvečni material z gladilko odvzamemo in odstranimo. Prvi sloj pred nanosom drugega, enako pa tudi drugi oziroma zaključni sloj, obrusimo s finim brusnim papirjem. brušenje je lahko ročno ali strojno. Če površine pripravljamo za zahtevnejše dekorativne obdelave, uporabimo brusni papir štev. 150, v drugih primerih pa izbiramo med brusnimi papirji štev. 80 in 120. Vgradnja izravnalne mase je možna le v primernih mikroklimatskih pogojih: temperatura zraka in zidne podlage naj ne bo nižja od +5 ºC in ne višja od +35 ºC, relativna vlažnost zraka pa ne višja od 80 %. </t>
  </si>
  <si>
    <t>XVI./10.</t>
  </si>
  <si>
    <t>NANAŠANJE BARVE; Barvo nanašamo v dveh slojih v razmaku 4 – 6 ur (T = +20 ºC, rel. vl. zraka = 65 %), s čistim, ustreznim in s tehničnim listom predpisanim orodjem za poldisperzijsko ali disperzijsko barvo. Posamezno zidno ploskev barvamo brez prekinitev od enega do drugega skrajnega robu. Nedostopne površine (koti, vogali, žlebovi, ozke špalete, ipd.) vedno obdelamo najprej. Barvanje je možno le v primernih razmerah oziroma v primernih mikroklimatskih pogojih: temperatura zraka in zidne podlage naj bo od +5 ºC do +35 ºC, relativna vlažnost zraka pa ne višja od 80 %.</t>
  </si>
  <si>
    <t>Standardi, ki se nanašajo na slikopleskarska dela, oziroma materiale, ki se uporabljajo pri tlakarskih delih.</t>
  </si>
  <si>
    <t>XVI./11.</t>
  </si>
  <si>
    <t>Dekorativne stenske obloge-zvitki in plošče</t>
  </si>
  <si>
    <t>SIST EN 15102:2008+A1:2011</t>
  </si>
  <si>
    <t>XVI./11.1.</t>
  </si>
  <si>
    <t>XVI./11.2.</t>
  </si>
  <si>
    <t>XVI./11.3.</t>
  </si>
  <si>
    <t>XVI./11.4.</t>
  </si>
  <si>
    <t>Splošna določila za slikopleskarska dela:</t>
  </si>
  <si>
    <t xml:space="preserve">Slikopleskarska dela morajo biti izvršena po določilih veljavnih normativov in v soglasju z obveznimi standardi za ta </t>
  </si>
  <si>
    <t>dela. Potrebni materiali za ta dela morajo po kvaliteti ustrezati določilom standardov.</t>
  </si>
  <si>
    <t>Slikopleskarska dela obsegajo :</t>
  </si>
  <si>
    <t>pleskarska dela</t>
  </si>
  <si>
    <t>slikarska dela</t>
  </si>
  <si>
    <t>tapetarska dela /lepljenje zidnih tapet/</t>
  </si>
  <si>
    <t>Standardi za slikopleskarska dela vsebujejo:</t>
  </si>
  <si>
    <t>izvršitev kooperantske /obrtniške/ usluge po opisu v posamezni postavki /standardi/</t>
  </si>
  <si>
    <t>zidarsko /težaško/ pomoč kooperantu, če je potrebna</t>
  </si>
  <si>
    <t>druge manipulativne stroške</t>
  </si>
  <si>
    <t xml:space="preserve">Za izvršitev slikopleskarskih del se mora kooperant /obrtnik/ posluževati lastnih odrov ali lestev. </t>
  </si>
  <si>
    <t>Opis storitve kooperanta /obrtnika/:</t>
  </si>
  <si>
    <t xml:space="preserve">Storitev kooperanta obsega, če ni s pogodbo drugače določeno: </t>
  </si>
  <si>
    <t>donos vsega potrebnega materiala v neposredno bližino</t>
  </si>
  <si>
    <t>priprava in mešanje barv, lepila itd.</t>
  </si>
  <si>
    <t>snemanje okenskih in vratnih kril pred obdelavo in ponovno obešanje po končano obdelavi</t>
  </si>
  <si>
    <t>čiščenje izdelka pred obdelavo</t>
  </si>
  <si>
    <t>nanašanje osnovnih zaščitnih ali dekorativnih premazov</t>
  </si>
  <si>
    <t>nanašanje končnih zaščitnih ali dekorativnih premazov</t>
  </si>
  <si>
    <t>očiščenje onesnaženih delov objekta ali zgradbe</t>
  </si>
  <si>
    <t>Zidarska /težaška/ pomoč obrtnikom /kooperantom/:</t>
  </si>
  <si>
    <t>delo na višini do 4 m1 je smatrati kot normalno</t>
  </si>
  <si>
    <t>delo na višini nad 4 m1 se opravlja na odrih, katere je kalkulirati posebej</t>
  </si>
  <si>
    <t>slikarska dela se določajo po m2 dejansko izvršene površine</t>
  </si>
  <si>
    <t>venci, izpadi in poglobitve se določajo po razviti površini</t>
  </si>
  <si>
    <t>odprtine velikosti do 3,00 m2 se ne odbijajo in špalete se ne določajo posebej</t>
  </si>
  <si>
    <t>odprtine velikosti nad 3,00 m2 se odbijajo, površine nad 3, 00 m2 in špalete se določajo posebej</t>
  </si>
  <si>
    <t>v prostorih kjer je podstavek iz drugega materiala ( umetni kamen, keramična obloga, oplesk) se višini slikarije doda 20 % višine podstavka</t>
  </si>
  <si>
    <t xml:space="preserve">za določitev pleskanja oken merimo le ta na notranji strani ometa ali škatle za senčila. </t>
  </si>
  <si>
    <t>Zajeta so krila, okvir in police širine do 35 cm.</t>
  </si>
  <si>
    <t>Dobljeno osnovno kvadraturo pomnožimo s sledečimi koeficienti :</t>
  </si>
  <si>
    <t xml:space="preserve">               - enojna okna     1,45</t>
  </si>
  <si>
    <t xml:space="preserve">               - vezana okna     2,40</t>
  </si>
  <si>
    <t xml:space="preserve">               - dvojna okna      2,90</t>
  </si>
  <si>
    <t>Vrata se merijo od ometa do ometa ( vključno z oblogo ) vsako stran posebej, temu pa se doda  še razvita širina okvirja</t>
  </si>
  <si>
    <t>zastekljene izložbene stene se merijo od ometa do ometa, vsaka stran posebej, dobljeno  površino množimo s sledečimi koeficienti :</t>
  </si>
  <si>
    <t xml:space="preserve">               - za površine stekla do 3,00 m2     0,45</t>
  </si>
  <si>
    <t xml:space="preserve">               - za površine stekla do 5,00 m2     0,30</t>
  </si>
  <si>
    <t xml:space="preserve">               - za površine stekla nad 5,00 m2   0,25</t>
  </si>
  <si>
    <t>XVII.</t>
  </si>
  <si>
    <t>FASADERSKA DELA:</t>
  </si>
  <si>
    <r>
      <rPr>
        <b/>
        <u/>
        <sz val="11"/>
        <rFont val="Arial"/>
        <family val="2"/>
        <charset val="238"/>
      </rPr>
      <t>OPOMBA:</t>
    </r>
    <r>
      <rPr>
        <sz val="11"/>
        <rFont val="Arial"/>
        <family val="2"/>
        <charset val="238"/>
      </rPr>
      <t xml:space="preserve">  Za dopustna odstopanja za pravokotnost in površinsko ravnost fasade veljajo določila po DIN 18202. V ceni upoštevati vse zaključke  na obodnih zidovih in stikih različnih materialov ter vse potrebne kotnike, odkapne robove, bandaže in dodatne ojačitve pri odprtinah. Pri posameznih postavkah fasaderskih del iz tega poglavja mora ponudnik v cenah za enoto mere obvezno zajeti, upoštevati in vkalkulirati še: </t>
    </r>
  </si>
  <si>
    <t>XVII.1.</t>
  </si>
  <si>
    <t xml:space="preserve">Pri izvajanju fasaderskih del je striktno upoštevati navodila izbranih proizvajalcev fasadnih elementov, njihove detajle in obrobe ter zaključke, ki so potrebni za garancijo in predpisano kvaliteto, katero pogojujejo proizvajalčevi parametri in zakonsko predpisani standardi.   </t>
  </si>
  <si>
    <t>XVII.2.</t>
  </si>
  <si>
    <t xml:space="preserve">Izvajalec fasaderskih del pred pričetkom del preveri ravnost površine in njeno tolerančno območje, stanje površine (vlažnost, čistost, homogenost podlage, mastni madeži…) ter napake pred pričetkom del odpraviti. Natezna trdnost podlage mora znašati najmanj 0,08 N/mm2. </t>
  </si>
  <si>
    <t>XVII.3.</t>
  </si>
  <si>
    <t>Izolacija tankoslojne fasade mora ustrezati sledečim parametrom in standardom: SIST EN 12667 (toplotna prevodnost), SIST EN 13501 (odziv na ogenj), SIST EN 1609 in 12087 (vodovpojnost), SIT EN 12086 (difuzijska upornost vodni pari) in DIN 4102/T17 (tališče). Pred pričetkom mora izvajalec uskladiti detajle pritrjevanja odkapnih obrob, pritrjevanje ograj na obrobnih pločevinah in ostale preboje na fasadi. Zrnavost, strukturo tankoslojnih fasadnih ometov in barvo celotnih fasadnih oblog določi in pred izvedbo pismeno potrdi projektant.</t>
  </si>
  <si>
    <t>XVII.4.</t>
  </si>
  <si>
    <t xml:space="preserve">Obložene površine morajo biti vertikalno in horizontalno ravne z ostrimi robovi na stikih sten in na vogalih. Pri prezračevani fasadni oblogi se odprtine nad 1m2 odbijejo v celoti. Pri tankoslojni fasadi veljajo za določanje normativi GNG za fasaderska dela. </t>
  </si>
  <si>
    <t>XIIV.5.</t>
  </si>
  <si>
    <t xml:space="preserve">V fasaderskih delih so zajeta samo dela, katera opravljajo posamezni fasaderji in dela, ki obenem pogojujejo predpisano kvaliteto zaradi izvedbe same: končni sloji fasadnih oblog s pripadajočimi nosilnimi sekundarnimi pod konstrukcijami in površinske obloge; Nosilne podloge (zidovi, montažni zidovi, jeklene primarne konstrukcije, lesene primarne konstrukcije, itd.) so predmet drugih postavk tega popisa. </t>
  </si>
  <si>
    <t>XVII.6.</t>
  </si>
  <si>
    <t>Fasaderji, ki delajo na višini morajo biti zavarovani v skladu z predpisi in zakonom o Varstvo pri delu (vsa varovala, ki služijo za uporabo osebne zaščitne opreme v skladu z SIST EN 354, SIST EN 355, SIST EN 360, SIST EN 362 in Zakonom o varstvu in zdravju pri delu.)</t>
  </si>
  <si>
    <t>XVII.7.</t>
  </si>
  <si>
    <t>FASADE: Določitev po m2 razvite površine; pri čemer se pri kontaktni fasadi z apnenim ometom vse odprtine nad 1 m2 odbijejo v celoti, vse špalete se določajo posebej.</t>
  </si>
  <si>
    <t>XVII.8.</t>
  </si>
  <si>
    <r>
      <rPr>
        <b/>
        <sz val="11"/>
        <rFont val="Arial"/>
        <family val="2"/>
        <charset val="238"/>
      </rPr>
      <t xml:space="preserve">SPLOŠNA DOLOČILA: </t>
    </r>
    <r>
      <rPr>
        <sz val="11"/>
        <rFont val="Arial"/>
        <family val="2"/>
        <charset val="238"/>
      </rPr>
      <t>V ceni vseh postavk, morajo biti zajeta vsa dela, dobava in montaža, osnovni material, pritrdilni in tesnilni material, okovje, zapiralno okovje, ter material za vse zaključke. Izvajalec mora vse mere preveriti na licu mesta in izdelati ustrezno tehnično dokumentacijo in delavniške risbe, ki jih mora potrditi pooblaščeni inženir.
Pri izvedbi, opremi in finalizaciji vseh izdelkov je potrebno upoštevati vse načrte, sheme in tehnične specifikacije. Pred izvedbo in montažo izdelkov je preveriti mere na objektu in v projektu. Vsa eventualna neskladja oz odstopanja je potrebno predhodno razjasniti s projektantom!</t>
    </r>
  </si>
  <si>
    <t>XVII.9.</t>
  </si>
  <si>
    <t>Podkonstrukcija prezračevane fasade mora biti dimenzionirana na mehanske obremenitve za konkretno mesto vgradnje.
Upoštevati je potrebno: 
 - SIST EN 12467  Vlakno-cementne ravne plošče
 - STS ali ETA  Fasadna sidra 
 - STS ali ETA  Betonska sidra 
 - STS  Prezračevani mehansko pritrjeni in lepljeni fasadni sistemi 
V enotni ceni morajo biti zajeta vsa potrebna dela, transporti, prenosi,...</t>
  </si>
  <si>
    <t>Standardi, ki se nanašajo fasaderska dela, oziroma materiale, ki se uporabljajo pri fasaderskih delih.</t>
  </si>
  <si>
    <t>Opomba: Vse standarde za toplotne izolacije gledati standarde vpisane pri zidarskih delih pod izolacije! Vse standarde za stekla gledati pri oknih, vratih!</t>
  </si>
  <si>
    <t>XVII.12.</t>
  </si>
  <si>
    <t>XVII.13.</t>
  </si>
  <si>
    <t>XVII.14.</t>
  </si>
  <si>
    <t>XVII.15.</t>
  </si>
  <si>
    <t>XVII.16.</t>
  </si>
  <si>
    <t>XVII.17.</t>
  </si>
  <si>
    <t>Obešene fasade- Standard za proizvod</t>
  </si>
  <si>
    <t>SIST EN 13830:2003</t>
  </si>
  <si>
    <t>XVII.18.</t>
  </si>
  <si>
    <t>XVII.19.</t>
  </si>
  <si>
    <t>Notranje in zunanje obloge iz masivnega lesa – Značilnosti, ovrednotenje skladnosti in označevanje</t>
  </si>
  <si>
    <t>SIST EN 14915:2013</t>
  </si>
  <si>
    <t>XVII.20.</t>
  </si>
  <si>
    <t>Lesene konstrukcije – Furnirni slojnat les (LVL) za konstrukcije – Zahteve</t>
  </si>
  <si>
    <t>SIST EN 14374:2005</t>
  </si>
  <si>
    <t>OPOMBA: standarde za okovje glej poglavje okna, zasteklitve, senčila, vrata</t>
  </si>
  <si>
    <t>XVII.21.</t>
  </si>
  <si>
    <t>Dekorativni visokotlačni laminati (HPL) – Plošče na osnovi duromernih smol – 7. del: Kompaktni laminati in kompozitni paneli HPL za notranjo in zunanjo oblogo zidov in stropov</t>
  </si>
  <si>
    <t>SIST EN 438-7:2005</t>
  </si>
  <si>
    <t>XVII.22.</t>
  </si>
  <si>
    <t>Kovinski profili-Definicije, zahteve in preskusne metode-2.del:Zunanji omet</t>
  </si>
  <si>
    <t>SIST EN 13568-2:2005</t>
  </si>
  <si>
    <t>XVII.23.</t>
  </si>
  <si>
    <t>Tesnilne mase za nekonstrukcijske stike v stavbah in na sprehajalnih površinah – 1.del: Tesnilne mase za fasade</t>
  </si>
  <si>
    <t>SIST EN 15651-1:2013</t>
  </si>
  <si>
    <t>XVII.24.</t>
  </si>
  <si>
    <t>Specifikacija za zunanje in notranje omete na osnovi organskih veziv</t>
  </si>
  <si>
    <t>XVII.25.</t>
  </si>
  <si>
    <t>Prosojne ploščate večslojne polikarbonatne (PC) plošče za notranje in zunanje strehe, stene in strope – Zahteve in preskusne metode</t>
  </si>
  <si>
    <t>SIST EN 16153:2013</t>
  </si>
  <si>
    <t>Splošna določila za fasaderska dela: (delno povzeto po pogojih ZVKDS RC -  Restavratorski center)</t>
  </si>
  <si>
    <t xml:space="preserve">Fasaderska dela se morajo izvajati po določilih veljavnih tehničnih predpisov in normativov v soglasju z obveznimi standardi. </t>
  </si>
  <si>
    <t>Vgrajeni materiali, ki so potrebni za izvedbo fasade (izolacije, lepila, armatura, malte za temeljni, osnovni in finalni žlahtni nanosi, sidra, ….) morajo po kvaliteti ustrezati določilom veljavnih tehničnih predpisov in standardov.</t>
  </si>
  <si>
    <t xml:space="preserve">Vse površine morajo biti izdelane popolnoma ravno, vertikalno, kjer je potrebno pa horizontalno, poševno ali zaobljeno. Osnovni nanos fasadnega ometa mora dobro nalegati na podlago, zaključni žlahtni omet mora dobro vezati na temeljni nanos. </t>
  </si>
  <si>
    <t>• standardi razlikujejo tri vrste fasade:</t>
  </si>
  <si>
    <t>Posebna opozorila pri izdelavi fasade</t>
  </si>
  <si>
    <t xml:space="preserve">• Temperatura pri izvedbi: vsaj +5° C podlage in zraka ter do + 35° C.
• Izogibamo se delu ob neposrednem osončenju, pri močnem vetru in dežju.
• Dodajanje primesi ali aditivov ni dovoljeno.
• Lepila ne smemo nanašati na fasadne plošče, ki so bile dalj časa (2 tedna) izpostavljene UV sevanju (porumenele ali obledele plošče). Take plošče ponovno obrusimo in odprašimo.
• Pred nanosom naslednjih slojev upoštevamo min. 2 – 3 dnevni čas sušenja (ob temperaturi 20° C) pri čemer je pomembno, da je površina enakomerno suha (brez bolj vlažnih, temnejših lis). </t>
  </si>
  <si>
    <t>Opis dela oziroma splošna navodila pri izdelavi fasadnega predpisanega sistema in vgradnji fasadnih materialov</t>
  </si>
  <si>
    <t xml:space="preserve">PRIPRAVA POVRŠINE IN TERMOIZOLACIJA: </t>
  </si>
  <si>
    <t xml:space="preserve">• priprava vsega izolacijskega materiala s prenosom do mesta vgraditve in priprava podlage: Za lepljenje je primerna vsaka podlaga, ki jo opisuje standard. Take podlage imajo največ 1 cm velike neravnine na 4 m. Upoštevamo protipožarne predpise veljavnih gradbenih norm. Pri gladkih podlagah (npr.: beton) nanesemo lepilo po celotni površini z zobato gladilko z najmanj 12 mm širokimi utori in zobmi. </t>
  </si>
  <si>
    <r>
      <rPr>
        <b/>
        <sz val="11"/>
        <rFont val="Arial"/>
        <family val="2"/>
        <charset val="238"/>
      </rPr>
      <t xml:space="preserve">Priprava zidu: </t>
    </r>
    <r>
      <rPr>
        <sz val="11"/>
        <rFont val="Arial"/>
        <family val="2"/>
        <charset val="238"/>
      </rPr>
      <t>Zid očistimo nečistoč, z dleti ali sekirico odstranimo betonske plombe, slabo malto, opečne vključke. Omedemo ali spihamo prah in zid navlažimo tako, da vlago vpije.</t>
    </r>
  </si>
  <si>
    <t>• Vsi priključki, zaključki, preboji in detajli so planirani tako, da so izvedljivi in vodotesni na zatekanje meteornih vod. Zaključni sloj mora biti prekinjen na gradbenih stikih, kjer bi lahko prihajalo do dilatacijskega delovanja. Zaključne sloje ni priporočljivo nanašati na horizontalne podlage, kjer se zadržujejo meteorne vode.</t>
  </si>
  <si>
    <t xml:space="preserve">• naprava izolacije po opisu v posameznih standardu: Po smernicah je pri novogradnjah na opečne in penobetonske zidake za kontaktne fasade z apnenim ometom obvezno lepljenje in  dodatno sidranje do višine 3 etaž, pri čemer mora biti zagotovljena kvaliteta v skladu s tehničnimi navodili proizvajalca termo izolacijskih plošč za tovrstno fasado. </t>
  </si>
  <si>
    <t xml:space="preserve">APNENI GROBI FASADNI OMET: </t>
  </si>
  <si>
    <r>
      <rPr>
        <b/>
        <sz val="11"/>
        <rFont val="Arial"/>
        <family val="2"/>
        <charset val="238"/>
      </rPr>
      <t>Materiali</t>
    </r>
    <r>
      <rPr>
        <sz val="11"/>
        <rFont val="Arial"/>
        <family val="2"/>
        <charset val="238"/>
      </rPr>
      <t xml:space="preserve">
</t>
    </r>
    <r>
      <rPr>
        <b/>
        <sz val="11"/>
        <rFont val="Arial"/>
        <family val="2"/>
        <charset val="238"/>
      </rPr>
      <t>Pesek:</t>
    </r>
    <r>
      <rPr>
        <sz val="11"/>
        <rFont val="Arial"/>
        <family val="2"/>
        <charset val="238"/>
      </rPr>
      <t xml:space="preserve"> Za pripravo malt, ki so vidne (nebeljene) in dopolnjujejo originalno stanje, je potrebno pozorno izbrati ustrezno barvo in granulat peska, ki naj bo čim bolj podoben originalu. Če je v originalu pran rečni pesek, je priporočljivo dodati tudi del tega peska iz bližnjih vodotokov. Za pripravo ustreznih malt glej Navodilo – priprava peska. Izdelani so 3 različni vzorci obrizga, z malto iz peska različnih odtenkov in granulata 0-4 (6 volumnov) in 4-10 (1 volumen). Vsaki fasadi se prilagajamo z ustreznim tonom peska.</t>
    </r>
  </si>
  <si>
    <r>
      <rPr>
        <b/>
        <sz val="11"/>
        <rFont val="Arial"/>
        <family val="2"/>
        <charset val="238"/>
      </rPr>
      <t xml:space="preserve">Vezivo: </t>
    </r>
    <r>
      <rPr>
        <sz val="11"/>
        <rFont val="Arial"/>
        <family val="2"/>
        <charset val="238"/>
      </rPr>
      <t>živo apno (ali žgano apno, tj. apno, ki še ni ugašeno).</t>
    </r>
  </si>
  <si>
    <r>
      <rPr>
        <b/>
        <sz val="11"/>
        <rFont val="Arial"/>
        <family val="2"/>
        <charset val="238"/>
      </rPr>
      <t xml:space="preserve">Malta iz živega apna: </t>
    </r>
    <r>
      <rPr>
        <sz val="11"/>
        <rFont val="Arial"/>
        <family val="2"/>
        <charset val="238"/>
      </rPr>
      <t>Ta tip malte je primeren za zidanje, popravilo zidov, grobo ometavanje in pripravo podložnih slojev. Volumensko razmerje apno : pesek = 1 : 7. Polovica peska se razgrne po tleh, nanj se naloži vse živo apno, ki naj bo drobljeno v enakomerno velike kose. Za malte so najprimernejši kosi ca 1cm, za zidanje lahko tudi večji. Prekrije se z ostalim peskom ter z vrha nalije vodo (ca 3 vedra, odvisno od količine pripravljenega materiala). Kup naj bo oblikovan tako, da ima na vrhu ravno ploskev, ki se med nalivanjem vode korigira, da voda steka v notranjost. Apno se začne »kuhati« v pesku, nastajajo razpoke, sprošča se vročina. Pred uporabo naj leži 3-4 dni. Ob pripravi malte se s kupa zajema enakomerno količino peska in apna ter meša s primerno količino vode.</t>
    </r>
  </si>
  <si>
    <r>
      <t xml:space="preserve">Ometavanje: 
</t>
    </r>
    <r>
      <rPr>
        <sz val="11"/>
        <rFont val="Arial"/>
        <family val="2"/>
        <charset val="238"/>
      </rPr>
      <t>Ometavamo vedno na navlaženo podlago, vendar navlaženo tako, da se vlaga vpije v malto in zid. Voda ne sme biti na površini, s tem je sprijemljivost onemogočena. Voda je lahko tudi apnena.
Z živoapneno malto enakomerno omečemo zid, počakamo vsaj 1 dan da se posuši, nato najglobje dele zidu omečemo ponovno. Izravnavanje ponavljamo vse dokler ni podlaga izravnana z ostalo fasado. Obrizg nanašamo enakomerno na dele, kjer je omet izpran, originalne zaplate ometa pustimo vidne. Kadar ometavamo nov  zid, prekrijemo s tankim slojem celotno površino.
Ometavamo vedno pri temperaturi med +7 in +20 ˚C, taka temperatura naj bo še vsaj 3 tedne po ometavanju. V primeru močnega vetra ali povišane temperature se sušenje apnenega ometa, ki je za trdnost bistvena, prehitro zaključi. Zato med sušenjem omet tudi pršimo z vodo, najbolje z apneno vodo. Gradbene odre zastremo z juto, ki jo prav tako v primeru višje temperature in vetra vlažimo.</t>
    </r>
  </si>
  <si>
    <t>ZARIBAN IN ROČNO ZALIKAN FINI APNENI OMET:</t>
  </si>
  <si>
    <r>
      <rPr>
        <b/>
        <sz val="11"/>
        <rFont val="Arial"/>
        <family val="2"/>
        <charset val="238"/>
      </rPr>
      <t>Pesek:</t>
    </r>
    <r>
      <rPr>
        <sz val="11"/>
        <rFont val="Arial"/>
        <family val="2"/>
        <charset val="238"/>
      </rPr>
      <t xml:space="preserve"> Za izvedbo fasade v finem zaribanem ometu, je potrebno pozorno izbrati ustrezno barvo in granulat peska, ki naj bo čim bolj podoben originalu. Za vzorec je pripravljena malta iz peska granulata 0–4 za podlago in presejan pesek 0–2 za zaključni sloj. Pesek ne sme biti umazan, s primesmi gline ali zemlje, in ne sme vsebovati prevelike količine prahu (»0«). Pred pripravo se preseje na želeno granulacijo, ki mora biti raznovrstna, to je brez prevlade ene same frakcije. LAHKO SE PRIPRAVI ŽE USTREZNA POLPRIPRAVLJENA MEŠANICA.</t>
    </r>
  </si>
  <si>
    <r>
      <rPr>
        <b/>
        <sz val="11"/>
        <rFont val="Arial"/>
        <family val="2"/>
        <charset val="238"/>
      </rPr>
      <t xml:space="preserve">Vezivo: </t>
    </r>
    <r>
      <rPr>
        <sz val="11"/>
        <rFont val="Arial"/>
        <family val="2"/>
        <charset val="238"/>
      </rPr>
      <t>Gašeno apno pridobimo z gašenjem živega apna. Gašeno apno naj bo čim starejše in uležano, najmanj 3 mesece, priporočeno vsaj 1 leto. Med uležavanjem ne sme zamrzniti. Pred pripravo se preveri, ali je apno dovolj čisto in brez večjih grudic. Sicer se mora presejati skozi 2 mm sito, odvisno od finosti malte.</t>
    </r>
  </si>
  <si>
    <r>
      <rPr>
        <b/>
        <sz val="11"/>
        <rFont val="Arial"/>
        <family val="2"/>
        <charset val="238"/>
      </rPr>
      <t>Malta iz gašenega apna:</t>
    </r>
    <r>
      <rPr>
        <sz val="11"/>
        <rFont val="Arial"/>
        <family val="2"/>
        <charset val="238"/>
      </rPr>
      <t xml:space="preserve"> Malta iz gašenega apna se uporablja za izvedbo zaključnih ometov, dekorativnih ometov, štukatur itd. Običajno razmerje gašeno apno : pesek = 1 : 2,5 ali 1 : 3, ki pa jo izkušeni izvajalec lahko prilagaja. Debelina plasti ometa je največ 1,5 cm oziroma trikratna debelina največjih zrn peska v malti. Vode se v malto dodaja čim manj! Boljše od navadne vode je dodajanje apnene vode. Bolj so malte fine (npr. štukmarmor), več je v njih veziva.</t>
    </r>
  </si>
  <si>
    <r>
      <rPr>
        <b/>
        <sz val="11"/>
        <rFont val="Arial"/>
        <family val="2"/>
        <charset val="238"/>
      </rPr>
      <t xml:space="preserve">Ometavanje: </t>
    </r>
    <r>
      <rPr>
        <sz val="11"/>
        <rFont val="Arial"/>
        <family val="2"/>
        <charset val="238"/>
      </rPr>
      <t xml:space="preserve">
Ometavamo vedno na navlaženo podlago, vendar tako navlaženo, da se vlaga vpije v malto in kamen. Voda ne sme biti na površini, s tem je sprijemljivost onemogočena. Voda, s katero vlažimo zid, je lahko tudi apnena. Ometavamo v dveh slojih. Podložni sloj je iz peska 0–4, ki mu dodamo gašeno apno v razmerju apno : pesek = 1 : 3 ali malta iz živega apna (po navodilih priprave te malte). Zid enakomerno omečemo, počakamo vsaj 1 dan, da se posuši, če je možno pa čim dlje. Nato vdolbine zidu omečemo ponovno. Izravnavanje ponavljamo, vse dokler ni podlaga izravnana z ostalo fasado. Debelina posameznega sloja ometa je 3x debelina največjih zrn peska. Pri granulaciji peska 0–4 torej 12 mm.
Zaključni sloj je nanešen v enakomerni debelini ca 2–3 mm. Zariban omet nanašamo z žlico in ga na koncu enakomerno zaribamo z leseno gladilko.
Zalikan omet nanašamo z zidarsko žlico, s katero tudi zalikamo površino do željene oblike – z vidnimi potezami žlice ali v povsem gladko površino.
Uspeh izvedbe je v kakovosti negovanja, čim počasnejšem strjevanju in klimatskih pogojih - temperatura ne sme pasti pod 7 ali narasti preko 20 ºC vsaj 3 tedne. Vse obdobje negovanja ometa naj bo omet zaščiten pred dežjem, vetrom in soncem s tkanino, ki jo je možno ob nepredvideni spremembi temperature vlažiti in s tem prilagajati mikroklimo. Ko se omet suši, se ga dodatno vlaži z enakomernim pršenjem, najbolje z apneno vodo.</t>
    </r>
  </si>
  <si>
    <t>Pritrdilni elementi morajo biti izdelani brez toplotnega mostu. Za sidranje izdelati ustrezno predpisano odprtino z predpisanim sidrom Iz odprtin je potrebno odstraniti prah iz vrtine z močnim vpihom. Vstavljeno sidro pokriti z izolacijskim vložkom.</t>
  </si>
  <si>
    <t>Standardi za fasaderska dela vsebujejo poleg izdelave same po opisu v posameznem standardu še vsa potrebna pomožna dela zlasti :</t>
  </si>
  <si>
    <t>• prenos vode za močenje zidov, premeščanje maltark in občasno mešanje fasadne malte, dodajanje materiala in orodja</t>
  </si>
  <si>
    <t>KAMNOSEŠKA DELA:</t>
  </si>
  <si>
    <r>
      <rPr>
        <b/>
        <u/>
        <sz val="11"/>
        <rFont val="Arial"/>
        <family val="2"/>
        <charset val="238"/>
      </rPr>
      <t>OPOMBA:</t>
    </r>
    <r>
      <rPr>
        <b/>
        <sz val="11"/>
        <rFont val="Arial"/>
        <family val="2"/>
        <charset val="238"/>
      </rPr>
      <t xml:space="preserve"> </t>
    </r>
    <r>
      <rPr>
        <sz val="11"/>
        <rFont val="Arial"/>
        <family val="2"/>
        <charset val="238"/>
      </rPr>
      <t xml:space="preserve">Pri izvajanju del iz poglavja "Naravni in umetni kamen" je upoštevati vsa pripravljalna dela, pomožna dela zaključna dela. Pri posameznih postavkah iz tega poglavja mora ponudnik v cenah za enoto mere obvezno zajeti, upoštevati in vkalkulirati še: </t>
    </r>
  </si>
  <si>
    <t>Pred polaganjem  kamna na stene  je predhodno pregledati stene in izvesti potrebna preddela; betonske stene  očistiti  emulzij  od premazov opažev, pregledati vertikalnost sten. Pred polaganjem kamna po tlakih v cementno  malto ali lepilo  je preveriti stanje talne hidroizolacije, pri polaganju pa dela izvajati tako, da se le-ta ne poškoduje.</t>
  </si>
  <si>
    <t>Polaganje kamnite obloge ob vodovodnih  in elektro priključkih izvesti , tako da so stiki pokriti s rozetami .</t>
  </si>
  <si>
    <t>Pred polaganjem izvajalec skupaj z vodjo nadzora pregleda površine za oblaganje in določi lokacije oblaganja sten in tlaka. Površine odprtin do 0,50 m2 , ki se ne oblagajo, ampak se oblaganje vrši ob  odprtinah, se ne odbijajo. Okenske odprtine do 1m2 se ne odbijajo, špalete se ne določajo posebej, vratne odprtine se odbijejo nad 1m2.</t>
  </si>
  <si>
    <t>Pred polaganjem obloge izvajalec obvezno z vodjo nadzora in vodjo projekta določi način, smer in vzorec polaganja. Fuge med posameznimi formati se obdelajo: s hitrovezočo cementno fugirno maso proizvedeno po SIST  EN 1388 - minimalno širino fug (pri večjih dim ploščic)  vsaj 6 mm , oziroma:  širina fuge v notranjih prostorih vsaj 1% od daljše dimenzije ploščice, pri zunanjih oblogah pa najmanj 2 % od daljše stranice ploščice. Vse izbrane formate pred polaganjem pisno potrdi vodja projekta.</t>
  </si>
  <si>
    <t xml:space="preserve">Na mestu mokrih prostorov se keramika lepi na tesnilno maso vodne emulzije na osnovi kavčuk/bitumna ali kavčuk butila  (3 x nanos), za podlogo se uporabijo vlagoodporne plošče. Kakovostna stopnja fugiranja v mokrih prostorih je Q2.  </t>
  </si>
  <si>
    <t>Pri polaganju kamnitih oblog je obvezno potrebno upoštevati sledeče splošne pogoje:
¨ Minimalni izvedbeni pogoji za vgradnjo oblog:
¨ Izvedeni tlak se lahko mehansko obremeni po ca. 3 do 4 dneh.
¨ Temperatura podlage min. 10°C oz. 3°C nad temperaturo rosišča, temperatura zraka v prostoru min.10°C.
¨ V primeru izvedbe emulzijskih epoksidnih sistemov: Temperatura podlage min. 15°C oz. 3°C nad temperaturo rosišča, temperatura zraka v prostoru min.15°C.
¨ Relativna vlaga zraka v prostoru max. 75%.
¨ Vsebnost vlage v cementni podlagi do 4,5% CM.
¨ Oprijemna trdnost podlage ³ 1,5 N/mm2.
¨ Tlačna trdnost AB podlage ³ 25 N/mm2.
¨ Tlačna trdnost cementnega estriha ³ 30 N/mm2.
¨ Ravnost osnovne podlage v skladu z DIN EN 18202 (tabela 3).
¨ Upoštevati je potrebno navodila iz tehničnih listov o produktih in priložena priporočila v zadnji izdaji izbranega proizvajalca.  Izgled in stopnjo protidrsnosti je potrebno na  osnovi vzorca predhodno pisno potrditi s strani vodje nadzora in vodje projekta.
¨ Obvezna ustreznost materialov za uporabo v prehrambeni industriji.
¨ Obvezna ustreznost materialov za uporabo v bivalnih prostorih.
¨ Obvezna je izvedba opisanega sistema, vendar poljubnega proizvajalca.</t>
  </si>
  <si>
    <t>Splošna določila za kamnoseška dela :</t>
  </si>
  <si>
    <t>Splošna določila :</t>
  </si>
  <si>
    <t xml:space="preserve">Kamnoseška dela morajo biti izvršena po določilih veljavnih normativov in v soglasju s tehničnimi pogoji za </t>
  </si>
  <si>
    <t>oblaganje z naravnim kamnom. Potrebni materiali za ta dela morajo po kvaliteti prav tako ustrezati</t>
  </si>
  <si>
    <t xml:space="preserve">določilom veljavnih standardov. </t>
  </si>
  <si>
    <t>Za izvršitev kamnoseških del se uporabljajo obstoječi odri na objektu. V primeru, da so za izvršitev kamnoseških del</t>
  </si>
  <si>
    <t>potrebni posebni odri, se ti določajo posebej.</t>
  </si>
  <si>
    <t>Standardizirani opisi za kamnoseška dela vsebujejo:</t>
  </si>
  <si>
    <t xml:space="preserve">                                         - izvršitev kooperantske / obrtniške/ storitve</t>
  </si>
  <si>
    <t xml:space="preserve">                                         - zidarsko pomoč kooperantu</t>
  </si>
  <si>
    <t xml:space="preserve">                                         - ostale manipulativne stroške</t>
  </si>
  <si>
    <t>Opis storitve kooperanta /obrtnika/ :</t>
  </si>
  <si>
    <t>Storitev kooperanta obsega, če ni s pogodbo drugače določeno:</t>
  </si>
  <si>
    <t xml:space="preserve">                                          - snemanje potrebnih izmer na objektu</t>
  </si>
  <si>
    <t xml:space="preserve">                                          - pregled, čiščenje in pranje podlog</t>
  </si>
  <si>
    <t xml:space="preserve">                                          - oznaka višin in postavljanje potrebnih letev</t>
  </si>
  <si>
    <t xml:space="preserve">                                          - dobava osnovnega in pomožnega materiala za napravo malt</t>
  </si>
  <si>
    <t xml:space="preserve">                                          - delo v delavnici in na objektu z dajatvami</t>
  </si>
  <si>
    <t xml:space="preserve">                                          - prevoz materiala in izdelkov na objekt z nakladanjem, ekspeditom, razkladanjem,</t>
  </si>
  <si>
    <t xml:space="preserve">                                            skladiščenjem in notranjim prenosom materiala do mesta vgraditve</t>
  </si>
  <si>
    <t xml:space="preserve">                                          - čiščenje in zavarovanje izdelkov po izvršenem delu</t>
  </si>
  <si>
    <t xml:space="preserve">                                           - naprava vseh podlag do višine 2-3 cm izpod spodnje ravnine kamnitih plošč</t>
  </si>
  <si>
    <t xml:space="preserve">                                           - odbijanje ometov za zidne obloge ter podstavke /cokli/ iz naravnega kamna z dovršitvijo</t>
  </si>
  <si>
    <t xml:space="preserve">                                             ometa po zaključnih kamnoseških delih</t>
  </si>
  <si>
    <t xml:space="preserve">                                           - zaključno čiščenje kamnoseških izdelkov pred predajo objekta</t>
  </si>
  <si>
    <t xml:space="preserve">               - tlaki in obloge se določajo po m2 vidne površine, odprtine do 0,30 m2 se ne odbijajo</t>
  </si>
  <si>
    <t xml:space="preserve">               - stopnice, podstavki do 0,15 m1, pragovi, venci, police in bankine,… se določajo od m1</t>
  </si>
  <si>
    <t xml:space="preserve">                 merjeno po najdaljšem vidnem robu obloge</t>
  </si>
  <si>
    <t xml:space="preserve">               - posamezni izdelki se določajo posamezno.</t>
  </si>
  <si>
    <t>MIZARSKA DELA:</t>
  </si>
  <si>
    <r>
      <rPr>
        <b/>
        <u/>
        <sz val="11"/>
        <rFont val="Arial"/>
        <family val="2"/>
        <charset val="238"/>
      </rPr>
      <t>OPOMBA:</t>
    </r>
    <r>
      <rPr>
        <sz val="11"/>
        <rFont val="Arial"/>
        <family val="2"/>
        <charset val="238"/>
      </rPr>
      <t xml:space="preserve"> Pri izvajanju mizarskih del je upoštevati vsa pripravljalna dela, pomožna dela zaključna dela. Pri posameznih postavkah mizarskih del iz tega poglavja mora ponudnik v cenah za enoto mere obvezno zajeti, upoštevati in vkalkulirati še: </t>
    </r>
  </si>
  <si>
    <t xml:space="preserve">Pri izdelavi mizarskih del mora ponudnik ali izvajalec upoštevati vse detajle in smernice iz načrta notranje opreme in ostala navodila projektanta. Eventualne delavniške načrte izdela izvajalec v skladu z načrtom notranje opreme. V ceno za enoto mere morajo biti vračunani stroški za izdelavo delavniških načrtov ter detajlov za izvedbo posameznih mizarskih elementov in izdelava predizmer na objektu. Oprema in pohištvo, kupljeno pri poljubnih dobaviteljih (ali izdelano enakovredno po meri), zmontirano na licu mesta; vse v barvah po barvni lestvici, ki mora ustrezati sledečim parametrom in načinu obdelave. </t>
  </si>
  <si>
    <t xml:space="preserve">Pred izvedbo - montažo notranjega stavbnega pohištva je z izvajalcem gradbenih del ali vodjo nadzora potrebno uskladiti mere posameznih odprtin za okna in vrata. </t>
  </si>
  <si>
    <t xml:space="preserve">Ključavnice po notranji opremi (glej posamezne načrte) so vezana na varnostni sistem, zato se je pred izdelavo le teh potrebno posvetovati z izvajalcem in dobaviteljem varnostnega sistema in opreme (ključavnice, način zapiranja in zaklepanja, varnostni ključi, centralni sistem in podobno).   </t>
  </si>
  <si>
    <t xml:space="preserve">Pri polaganju lesenih talnih oblog in parketa je obvezno potrebno upoštevati sledeče pogoje:
• Vlaga v podlagi ne sme presegati 2,00 %
• Relativna vlaga v prostoru med 45 in 65 %
• Temperatura v prostoru od 18 do 24°C. </t>
  </si>
  <si>
    <t>Pri izdelavi mizarskih del je upoštevati detajle in sheme PZI projekta in posamezne kosovnice. Izvajalec je dolžan pred montažo stavbnega pohištva/vrat le te predati v pregled vodji nadzora in od njega pridobiti pisno soglasje. Notranje stropne in stenske obloge ter notranja vrata so predmet notranje opreme, kar pomeni, da se v času izdelave PZI načrta za ta segment količine in opis lahko še spremenijo!</t>
  </si>
  <si>
    <t xml:space="preserve">V ceno za enoto mere morajo biti vračunani stroški za izdelavo delavniških načrtov ter detajlov za izvedbo posameznih konstrukcijskih elementov in izdelava predizmer na objektu.  </t>
  </si>
  <si>
    <t>Splošna določila za mizarska dela:</t>
  </si>
  <si>
    <t>Mizarska dela morajo biti izvršena po določilih veljavnih normativov in v soglasju z obveznimi standardi.</t>
  </si>
  <si>
    <t>Materiali  za ta dela in vgradnjo okovja morajo po kvaliteti ustrezati določilom veljavnih standardov.</t>
  </si>
  <si>
    <t>Standardi za mizarska dela  vsebujejo :</t>
  </si>
  <si>
    <t>zidarsko /težaško/ pomoč kooperantu</t>
  </si>
  <si>
    <t>Za montažo mizarskih izdelkov in del se uporabljajo obstoječi odri na objektu. V primeru, da so za montažo mizarskih izdelkov potrebni drugi odri, se ti določajo posebej.</t>
  </si>
  <si>
    <t>Storitev  kooperanta obsega, če ni s pogodbo določeno drugače določeno:</t>
  </si>
  <si>
    <t>dobava osnovnega in pomožnega materiala ter okovja</t>
  </si>
  <si>
    <t>naprava izdelkov in montaža materiala z dajatvami</t>
  </si>
  <si>
    <t>pobarvanje izdelkov s firnežem iz lanenega olja</t>
  </si>
  <si>
    <t>zasteklitev z ravnim 2 in 3 mm steklom, lakiranje in zaščita izdelkov s suhomontažne izvedbe</t>
  </si>
  <si>
    <t>prevoz izdelkov na objekt z nakladanjem in ekspeditom</t>
  </si>
  <si>
    <t>čiščenje izdelkov po izvršeni montaži in podobno</t>
  </si>
  <si>
    <t>Opis zidarske/težaške/ pomoči :</t>
  </si>
  <si>
    <t>razkladanje, skladiščenje in notranji prenosi izdelkov do mesta vgraditve</t>
  </si>
  <si>
    <t>vzidava izdelkov oziroma slepih okvirjev</t>
  </si>
  <si>
    <t>naprava podlog za notranje okenske police</t>
  </si>
  <si>
    <t>snemanje in obešanje okenskih kril med gradnjo</t>
  </si>
  <si>
    <t>čiščenje izdelkov pred oddajo objekta in podobno</t>
  </si>
  <si>
    <t>Določitev mizarskih del :</t>
  </si>
  <si>
    <t>okna in vrata standardnih mer se določajo posamezno, okna, vrata in ostali izdelki nestandardnih mer pa od m2 izdelka, merjeno po zunanjem obodu okvirja, pri vratih se kotno železo določajo posebej</t>
  </si>
  <si>
    <t>senčila nestandardnih mer se določajo od m2 modularnega okna povečanega za  standardno višino omarice, lesene polkne pa od m2 okna merjeno po zunanjem obodu</t>
  </si>
  <si>
    <t>ostali izdelki in doplačila po dejansko izvršenih količinah po opisu v posamezni postavki</t>
  </si>
  <si>
    <t>Standardi, ki se nanašajo mizarska dela, oziroma materiale, ki se uporabljajo pri mizarskih delih.</t>
  </si>
  <si>
    <t>OP.: standarde za okovje glej poglavje okna, zasteklitve, senčila, vrata</t>
  </si>
  <si>
    <t>STEKLARSKA DELA:</t>
  </si>
  <si>
    <r>
      <rPr>
        <b/>
        <u/>
        <sz val="11"/>
        <rFont val="Arial"/>
        <family val="2"/>
        <charset val="238"/>
      </rPr>
      <t>OPOMBA:</t>
    </r>
    <r>
      <rPr>
        <b/>
        <sz val="11"/>
        <rFont val="Arial"/>
        <family val="2"/>
        <charset val="238"/>
      </rPr>
      <t xml:space="preserve"> </t>
    </r>
    <r>
      <rPr>
        <sz val="11"/>
        <rFont val="Arial"/>
        <family val="2"/>
        <charset val="238"/>
      </rPr>
      <t xml:space="preserve">Pri izvajanju steklarskih del je upoštevati vsa pripravljalna dela, pomožna dela zaključna dela. Pri posameznih postavkah iz tega poglavja mora ponudnik v cenah za enoto mere obvezno zajeti, upoštevati in vkalkulirati še: </t>
    </r>
  </si>
  <si>
    <t xml:space="preserve">Pri izdelavi steklarskih del mora ponudnik ali izvajalec upoštevati vse detajle in smernice iz načrta notranje opreme in ostala navodila projektanta. Eventualne delavniške načrte izdela izvajalec v skladu z načrtom notranje opreme. V ceno za enoto mere morajo biti vračunani stroški za izdelavo delavniških načrtov ter detajlov za izvedbo posameznih elementov in izdelava predizmer na objektu. Steklo in oprema steklenih izdelkov (aluminij, inox, ....), kupljeno pri poljubnih dobaviteljih (ali izdelano enakovredno po meri), zmontirano na licu mesta; vse v barvah po barvni lestvici ali izboru projektanta, ki mora ustrezati izbranim parametrom in prepisanemu načinu obdelave. </t>
  </si>
  <si>
    <t xml:space="preserve">Pred izvedbo - montažo notranjega steklenega stavbnega pohištva je z izvajalcem gradbenih del ali vodjo nadzora potrebno uskladiti mere posameznih odprtin za okna in vrata. </t>
  </si>
  <si>
    <t xml:space="preserve">Pri izdelavi mizarskih del je upoštevati detajle in sheme PZI projekta in posamezne kosovnice. Izvajalec je dolžan pred montažo steklenega stavbnega pohištva/vrat le te predati v pregled vodji nadzora in od njega pridobiti pisno soglasje. </t>
  </si>
  <si>
    <t xml:space="preserve">Izdelava predizmer na objektu, meritve, pridobitve in dostava izjav o ustreznosti ter ustreznih certifikatov mora biti zajeta v ceno izdelave prefabrikatov in posameznih izdelkov. </t>
  </si>
  <si>
    <t xml:space="preserve">Skladiščenje materiala, tehnike in prefabrikatov na gradbišču do dokončne montaže, odstranjevanje odpadnega materiala in smeti ter stroške za komunalne takse je upoštevati v skladu s zahtevami popisa (v ceni/E.M.). </t>
  </si>
  <si>
    <t xml:space="preserve">V ceno je zajeti tudi popravilo škode, ki bi se eventualno povzročila drugim izvajalcem, popravilo poškodb in opleskov, ki bi nastale pri montaži konstrukcije, uskladitev delavniških načrtov s PZI projektom ter vsi ukrepi za varno izvedbo del v skladu z Zakonom o varstvu pri delu. </t>
  </si>
  <si>
    <t xml:space="preserve">Pred dokončnim pričetkom izdelave elementov v delavnici morajo biti s strani vodje projekta in vodje nadzora dokončno pismeno potrjeni vsi detajli, videz in barva, odprtine oken in vrat, obdelava vidnega betona in eventualni foto vzorci. </t>
  </si>
  <si>
    <t>Splošna določila za steklarska dela:</t>
  </si>
  <si>
    <t>Steklarska dela morajo biti izvršena po določilih veljavnih normativov in v soglasju z obveznimi standardi za ta dela.</t>
  </si>
  <si>
    <t>Potrebni materiali za ta dela morajo po kvaliteti prav tako ustrezati določilom veljavnih standardov.</t>
  </si>
  <si>
    <t>Za izvršitev steklarskih del se uporabljajo obstoječi odri na objektu. V primeru, da so za izvršitev steklarskih del potrebni drugi odri, se ti določajo posebej.</t>
  </si>
  <si>
    <t>Standardizirani opisi del za steklarska dela vsebujejo:</t>
  </si>
  <si>
    <t xml:space="preserve">                     - izvršitev kooperacijske /obrtniške/ storitve</t>
  </si>
  <si>
    <t xml:space="preserve">                     - zidarsko /težaško/ pomoč kooperantu</t>
  </si>
  <si>
    <t xml:space="preserve">                     - ostale manipulativne stroške</t>
  </si>
  <si>
    <t>Opis storitve kooperanta /obrtnika :</t>
  </si>
  <si>
    <t>Storitev kooperanta obsega, če ni s pogodbo drugače določeno :</t>
  </si>
  <si>
    <t xml:space="preserve">                      - snemanje potrebnih izmer na objektu</t>
  </si>
  <si>
    <t xml:space="preserve">                      - snemanje in ponovno obešanje kril, pregled utorov in čiščenje istih /čiščenje malte in betona mora biti</t>
  </si>
  <si>
    <t xml:space="preserve">                         izvršeno predhodno/</t>
  </si>
  <si>
    <t xml:space="preserve">                       - dvakratno firnežiranje utorov pri zasteklitvi v betonu in železu</t>
  </si>
  <si>
    <t xml:space="preserve">                       - dobava osnovnega in pomožnega materiala</t>
  </si>
  <si>
    <t xml:space="preserve">                       - odbiranje stekla, rezanje, pričvrstitev in kitanje ali letvanje z dajatvami</t>
  </si>
  <si>
    <t xml:space="preserve">                       - prevoz materiala in izdelkov na objet z nakladanjem, ekspeditom, razkladanjem, skladiščenjem in </t>
  </si>
  <si>
    <t xml:space="preserve">                         notranjim prenosom materiala do mesta vgraditve</t>
  </si>
  <si>
    <t xml:space="preserve">                       - odstranitev steklenih in drugih odpadkov po izvršenem delu</t>
  </si>
  <si>
    <t xml:space="preserve">                       - čiščenje malte in betona iz žlebov vseh vrst izdelkov, ki se steklijo</t>
  </si>
  <si>
    <t>XVIII.</t>
  </si>
  <si>
    <t>DVIGALO:</t>
  </si>
  <si>
    <t>XVIII.1.</t>
  </si>
  <si>
    <t xml:space="preserve">SPLOŠNA DOLOČILA
Dvigalo je načrtovano in izdelano skladno s standardom SIST EN81-1 in skladno s Pravilnikom o varnosti dvigal (Ur. List RS št. 83/07). Po končani montaži dvigala priglašeni organ opravi končni pregled in izda certifikat. Pri izvedbi in montaži dvigal je upoštevati predpisano kvaliteto in že izdelane načrte, zato je tip dvigala določen na podlagi le tega. Pri montaži je upoštevati vsa pripravljalna dela, pomožna in zaključna dela. Pri posameznih postavkah ob izvedbi in montaži dvigalnih naprav iz tega poglavja mora ponudnik v cenah za enoto mere obvezno zajeti, upoštevati in vkalkulirati še: </t>
  </si>
  <si>
    <t>XVIII.2.</t>
  </si>
  <si>
    <t xml:space="preserve">Dvigalo mora biti narejeno v skladu s Pravilnikom o varnosti dvigal in standardi SIST EN 81-1, SIST EN 81-1 A2, SIST EN 81-1 AC, SIST EN 81-28, SIST EN 81-2, SIST EN 81-2 A2, SIST EN 81-2 AC in SIST EN 81-3.
Monterji, ki delajo na višini morajo biti zavarovani v skladu z predpisi in zakonom o Varstvo pri delu (vsa varovala, ki služijo za uporabo osebne zaščitne opreme v skladu z SIST EN 354, SIST EN 355, SIST EN 360, SIST EN 362 in Zakonom o varstvu in zdravju pri delu). </t>
  </si>
  <si>
    <t>XVIII.3.</t>
  </si>
  <si>
    <t>Vsa sidra in zunanji kovinski elementi so vroče cinkani in finalno prašno barvani V RAL lestvici v tonu. Vse jeklene nosilne konstrukcije morajo biti po kočani izdelavi pregledane s strani pooblaščene organizacije, ki preveri kvaliteto zvarov, spojev, barvnega nanosa in o tem izdela pisno poročilo. Stroške izdelave in pregleda je vkalkulirati v ceno E.M.
Za vsako napravo je potrebno izdelati poizkusne zagone, teste in o tem izdelati pisno poročilo, kar je zajeti v ceno.</t>
  </si>
  <si>
    <t>XIX.</t>
  </si>
  <si>
    <t>RAZNA OBRTNIŠKA DELA:</t>
  </si>
  <si>
    <t>XIX.1.</t>
  </si>
  <si>
    <r>
      <rPr>
        <b/>
        <sz val="11"/>
        <rFont val="Arial"/>
        <family val="2"/>
        <charset val="238"/>
      </rPr>
      <t>SPLOŠNA DOLOČILA</t>
    </r>
    <r>
      <rPr>
        <sz val="11"/>
        <rFont val="Arial"/>
        <family val="2"/>
        <charset val="238"/>
      </rPr>
      <t xml:space="preserve">
V ceni vseh postavk, morajo biti zajeta vsa dela, dobava in montaža, osnovni material, pritrdilni material.
Gasilska oprema in tesnjenje prehodov instalacij skozi stene in plošče morajo biti izvedeni po navodilih študije požarne varnosti.</t>
    </r>
  </si>
  <si>
    <t>D.</t>
  </si>
  <si>
    <t>OPREMA:</t>
  </si>
  <si>
    <t xml:space="preserve">SPLOŠNA DOLOČILA - OPREMA
Za vsako postavko je potrebno upoštevati izdelavo, dobavo in montažo elementov opreme vključno z vsemi transporti, testiranji in dokazili o kakovosti. Ponudnik mora k ponudbi  priložiti spričevala neodvisnih organov, ki potrjujejo da ima ponudnik zagotovljeno kakovost vezano na: </t>
  </si>
  <si>
    <t>1.1.</t>
  </si>
  <si>
    <t>a. varjenje kovinskih konstrukcij, skladno z EN 1090-1
b. uveden sistem ravnanja z okoljem SIST ISO 14001, ali enakovredno
Sistemi zagotavljanje kakovosti morajo temeljiti na ustrezni seriji evropskih standardov, potrjenih s strani organov, ki so usklajeni s serijo evropskih standardov v zvezi z izdajanjem potrdil.
V enotni ceni morajo biti zajeta vsa potrebna dela, transporti, prenosi,...</t>
  </si>
  <si>
    <t>SPLOŠNA DOLOČILA - POHIŠTVO
Za vsako postavko je potrebno upoštevati izdelavo, dobavo in montažo elementov opreme vključno z vsemi transporti, testiranji in dokazili o kakovosti. Pri izvajanju alu del je upoštevati vsa pripravljalna dela, pomožna dela zaključna dela. Pri posameznih postavkah pohištva iz tega poglavja mora ponudnik v cenah za enoto mere obvezno zajeti, upoštevati in vkalkulirati še:</t>
  </si>
  <si>
    <t>2.1.</t>
  </si>
  <si>
    <t>*- V ceno za enoto mere morajo biti vračunani stroški za izdelavo delavniških načrtov ter detajlov za izvedbo posameznih elementov in izdelava predizmer na objektu. Pred izdelavo - naročilom vodja projekta obvezno pismeno potrdi način izvedbe, posamezne artikle, opremo tipe in vse detajle! Izvajalec je obvezan izdelati vzorce za potrditev.
Pri izdelavi pohištva in pri montaži je potrebno upoštevati posamezne tehnične kosovnice projekta ter proizvajalca/ponudnika. Detajli in posamezni izračuni so za izvajalca obvezni; kakršna koli odstopanja od projekta so dovoljena le v soglasju in po predhodni pisni odobritvi vodje projekta in investitorja.</t>
  </si>
  <si>
    <t>E.</t>
  </si>
  <si>
    <t>ZUNANJA UREDITEV:</t>
  </si>
  <si>
    <r>
      <rPr>
        <b/>
        <u/>
        <sz val="11"/>
        <rFont val="Arial"/>
        <family val="2"/>
        <charset val="238"/>
      </rPr>
      <t xml:space="preserve">SPLOŠNO DOLOČILO ZA POGLAVJE ZUNANJE UREDITVE: </t>
    </r>
    <r>
      <rPr>
        <u/>
        <sz val="11"/>
        <rFont val="Arial"/>
        <family val="2"/>
        <charset val="238"/>
      </rPr>
      <t xml:space="preserve">Pri izvajanju del v zunanji ureditvi </t>
    </r>
    <r>
      <rPr>
        <sz val="11"/>
        <rFont val="Arial"/>
        <family val="2"/>
        <charset val="238"/>
      </rPr>
      <t xml:space="preserve">veljajo vsa določila in standardi , ki so že opisani v posameznih poglavjih gradbenih in obrtniških del v tem zavihku. Izvajalec je dolžan v ceni za enoto mere upoštevati vse smiselne pripombe, opombe in zahteve iz teh uvodnih strani! </t>
    </r>
  </si>
  <si>
    <t>XXII.</t>
  </si>
  <si>
    <t>GRADBENA IN OBRTNIŠKA DELA ZUNANJE UREDITVE:</t>
  </si>
  <si>
    <t>XXII.1.</t>
  </si>
  <si>
    <r>
      <rPr>
        <u/>
        <sz val="11"/>
        <rFont val="Arial"/>
        <family val="2"/>
        <charset val="238"/>
      </rPr>
      <t>SPLOŠNA DOLOČILA:</t>
    </r>
    <r>
      <rPr>
        <sz val="11"/>
        <rFont val="Arial"/>
        <family val="2"/>
        <charset val="238"/>
      </rPr>
      <t xml:space="preserve">
Popis zunanje ureditve obsega zunanjo ureditev v območju gradbene parcele. Pred začetkom gradnje je potreben pregled projekta in ostale dokumentacije z vodjo projeka, investitorjem, vodjo nadzora in izvajalcem, kar omogoča vsem stranem, da se podrobneje seznanijo z gradnjo, zahtevami gradnje in potekom gradnje načrtovanega objekta.
Obveščanje in po potrebi angažiranje upravljalca posamezne infrastrukture.
Dela morajo zajemati tudi odvoz materialov na končno deponijo, vključno s plačilom potrebnih taks. Izbrati stalne deponije v neposredni bližini gradbišča, oz. najbližje deponije.
V kolikor v poziciji ni navedeno drugače, veljajo kot kriteriji enakovrednosti kot za primer navedenim izvedbam vse tehnične  specifikacije za posamezne elemente ali pa za sistem , ki je opisan  - naveden v tehničnih podlogah proizvajalca , katerega sistem je naveden kot primer načina izvedbe in doseganja kvalitete.</t>
    </r>
  </si>
  <si>
    <t>XXII.2.</t>
  </si>
  <si>
    <t>Prekinitve del, ki so potrebna za druga vezana dela , je vkalkulirati v ceno za enoto mere. 
Pred pričetkom del je izvajalec dolžan preveriti vse količine in dejanske mere na objektu.  Z izvajalcem gradbenih del  se je pravočasno dogovoriti in uskladiti  vgradnjo raznih podlog, ki služijo za kasnejšo montažo elementov.</t>
  </si>
  <si>
    <t>XXII.3.</t>
  </si>
  <si>
    <t>Pri izvajanju priključkov infrastrukture se vsa izkopna dela in transporti izkopanih in zasipnih materialov določajo po prostorninah v raščenem stanju. Vsa nasipna in zasipna dela pa se določajo po prostornini zemljine v vgrajenem stanju s potrebno zbitostjo. Pri zasipavanju kanala na zmontirani cevovod ali instalacijo je treba upoštevati tudi komprimiranje pripeljanega materiala izven gradbišča, s katerim se zasipava jarek (na primer tampon, pesek itd.). Ne glede na to kakšen material je uporabljan za zasip, je potrebno zadnji sloj utrditi do takšne zbitosti, da je njegova nosilnost najmanj 60 MPa. Nosilnost je treba potrditi z dinamično ploščo.
V enotni ceni morajo biti zajeta vsa potrebna dela, transporti, prenosi,...</t>
  </si>
  <si>
    <t>Opis opreme ali storitve</t>
  </si>
  <si>
    <t>Enota</t>
  </si>
  <si>
    <t>Količina EP</t>
  </si>
  <si>
    <t>Cena na enoto (€)</t>
  </si>
  <si>
    <t>Vrednost
EP (€)</t>
  </si>
  <si>
    <t>RUŠITVENA DELA</t>
  </si>
  <si>
    <t>OPOMBA:
Ponudnik mora v cenah za enoto mere tega poglavja upoštevati vse smiselne in pripadajoče pripombe, zahteve in pogoje, ki so navedeni v poglavju "UVODNE PRIPOMBE" tega popisa.</t>
  </si>
  <si>
    <t xml:space="preserve">Pred rušenjem je potrebno zaščititi vse obstoječe dele objekta tako, da bo obstoječe 20 kV stikališče s pomožnimi prostori lahko v celoti nemoteno delovalo. Pri rušenju ohraniti obstoječe izpuste za ozemljitve. </t>
  </si>
  <si>
    <t>Ureditev gradbišča mora biti skladna z Varnostnim načrtom.</t>
  </si>
  <si>
    <t>1.1</t>
  </si>
  <si>
    <t>ZEMELJSKA DELA</t>
  </si>
  <si>
    <t>Vsa izkopna dela in transporti izkopnih materialov se določajo po prostornini zemljine v raščenem stanju. Vsa nasipna dela se določajo po prostornini zemljine v vgrajenem stanju.
Upoštevati naklon brežin 1:1 oziroma varovanje izkopanih jarkov, delo med ovirami in navodila geomehanika.
V postavki so zajeta vsa izkopna dela za novo komandno zgradbo, kanalizacijo, zunanje kabliranje, ponikovalnico in ostale elemente zunanje ureditve platoja ob zgradbi.
Določitev zemeljskih del po dejansko izvedenih količinah, na podlagi profilov posnetih pred in po izkopavanju.</t>
  </si>
  <si>
    <t>Vsi odpadki, ki bodo nastali pri rušitvi, bodo strojno naloženi na prevozno sredstvo in odpeljani na stalno gradbeno deponijo.</t>
  </si>
  <si>
    <t>1.1.1</t>
  </si>
  <si>
    <t xml:space="preserve">Odriv humusne plasti v debelini 20-30 cm na stalno deponijo. Material (preperina) se uporabi za humusiranje okolice po opravljenih delih. </t>
  </si>
  <si>
    <t>m3</t>
  </si>
  <si>
    <t>1.1.2</t>
  </si>
  <si>
    <t>Široki izkop do globine 2,0 m z direktnim nakladanjem na prevozno sredstvo (odvoz na stalno deponijo):
~ izkop v terenu IV. ktg (Klasifikacijska številka odpadka: 170506)</t>
  </si>
  <si>
    <t>1.1.3</t>
  </si>
  <si>
    <t>Odvoz izkopanega materiala na:</t>
  </si>
  <si>
    <t>a.</t>
  </si>
  <si>
    <t>~ stalno deponijo</t>
  </si>
  <si>
    <t>1.1.4</t>
  </si>
  <si>
    <t>Geotehnični nadzor v času izvajanja zemeljskih del na platoju.</t>
  </si>
  <si>
    <t>ur</t>
  </si>
  <si>
    <t>SKUPAJ ZEMELJSKA DELA:</t>
  </si>
  <si>
    <t>1.2</t>
  </si>
  <si>
    <t>BETONSKA DELA</t>
  </si>
  <si>
    <t>Podbetoniranje dela temeljev obstoječe stavbe 20 kV stikališča na stiku obstoječa – nova zgradba. Podbetonira se del temeljev na območju poglobljenega dela nove zgradbe na območju stopnišča do kabelskega prostora. Izvede se postopno betoniranje po kampadah dolžine 1 m.</t>
  </si>
  <si>
    <t>1.2.1</t>
  </si>
  <si>
    <t>Dobava, izdelava in montaža armature iz betonskega jekla. Izvede se postopno betoniranje po kampadah dolžine 1 m. Podbetoniranje temeljev zgradbe 20 kV stikališča.</t>
  </si>
  <si>
    <t xml:space="preserve">~ rebrasta armatura S500 B do fi 12 </t>
  </si>
  <si>
    <t>kg</t>
  </si>
  <si>
    <t>b.</t>
  </si>
  <si>
    <t>~ rebrasta armatura S500 B od fi 12</t>
  </si>
  <si>
    <t>1.2.2</t>
  </si>
  <si>
    <t>Dobava in strojno vgrajevanje betona s tlačenjem s pervibratorjem na električni pogon v armirane konstrukcije preseka od 0.20-0.30 m3/m2-m; z vsemi pomožnimi deli in prenosi do mesta vgraditve.
~ beton C30/37 XS1: Podbetoniranje temeljev zgradbe 20 kV stikališča.</t>
  </si>
  <si>
    <t>1.2.3</t>
  </si>
  <si>
    <t xml:space="preserve">Enostranski opaž AB sten viš. do 3,0 m. Izdelava z gladkimi opažnimi ploščami s prenosom materiala do mesta vgraditve, opaženjem, čiščenjem lesa in vsemi pomožnimi deli. Vključno s podpiranjem opažev. Podbetoniranje temeljev zgradbe 20 kV stikališča. </t>
  </si>
  <si>
    <t>m2</t>
  </si>
  <si>
    <t>1.2.4</t>
  </si>
  <si>
    <t>Enostranski slepi opaž AB sten viš. do 3,0 m. Izdelava z gladkimi opažnimi ploščami s prenosom materiala do mesta vgraditve, opaženjem, čiščenjem lesa in vsemi pomožnimi deli. Vključno s podpiranjem opažev. Podbetoniranje temeljev zgradbe 20 kV stikališča. Opaž po končanih deli ostane vgrajen.</t>
  </si>
  <si>
    <t>1.2.5</t>
  </si>
  <si>
    <t xml:space="preserve">Dobava in ročno vgrajevanje betona v armirane konstrukcije preseka do 0.10 m3/m2/m;
~ podložni beton je C12/15 X0 Cl 0,1 Dmax 16 S1, deb. 10 cm, vmes armaturne mreže S500 B. </t>
  </si>
  <si>
    <t>SKUPAJ BETONSKA DELA:</t>
  </si>
  <si>
    <t>1.3</t>
  </si>
  <si>
    <t xml:space="preserve">ZGRADBA 10 kV in 35 kV STIKALIŠČA in ZGRADBA 20 kV STIKALIŠČA </t>
  </si>
  <si>
    <t>Rušitvena dela zgradbe 10 kV in 35 kV stikališča</t>
  </si>
  <si>
    <t>Pri rušitvenih delih je potrebno paziti, da ne bo prišlo do poškodb zgradbe 20 kV stikališča! Vse morebitne poškodbe sanirati.</t>
  </si>
  <si>
    <t>1.3.1</t>
  </si>
  <si>
    <t>Odkop v nasutem terenu (zemljina in gramoz) ter zasip gradbenih jam po rušenju 10 kV in 35 kV stikališča z odkopanim materialom. (Klasifikacijska številka odpadka: 170504)</t>
  </si>
  <si>
    <t>1.3.2</t>
  </si>
  <si>
    <t>Rušenje opečnih ometanih zidov. (Klasifikacijska številka odpadka: 170102)</t>
  </si>
  <si>
    <t>1.3.3</t>
  </si>
  <si>
    <t>Rušenje betonskih in AB konstrukcij (temelji in kinete). (Klasifikacijska številka odpadka: 170101)</t>
  </si>
  <si>
    <t>1.3.4</t>
  </si>
  <si>
    <t xml:space="preserve">Demontaža jeklenih konstrukcij (konzole, penjalke,…). (Klasifikacijska številka odpadka: 170407) </t>
  </si>
  <si>
    <t>1.3.5</t>
  </si>
  <si>
    <t>Rušenje kanalizacijskih betonskih cevi do fi 20 cm. (Klasifikacijska številka odpadka: 170101)</t>
  </si>
  <si>
    <t>m1</t>
  </si>
  <si>
    <t>1.3.6</t>
  </si>
  <si>
    <t>Rušenje obbetoniranih betonskih cevi do fi 30 cm. (Klasifikacijska številka odpadka: 170101)</t>
  </si>
  <si>
    <t>1.3.7</t>
  </si>
  <si>
    <t>Rušenje strešne toplotne izolacije deb. do 20 cm. (Klasifikacijska številka odpadka: 170604)</t>
  </si>
  <si>
    <t>1.3.8</t>
  </si>
  <si>
    <t xml:space="preserve">Rušenje lesenega ostrešja (letve, kontra letve, sohe, ostali deli ostrešja) s pritrdilnim materialom. (Klasifikacijska številka odpadka: 170201) </t>
  </si>
  <si>
    <t>1.3.9</t>
  </si>
  <si>
    <t xml:space="preserve">Rušenje sekundarne kritine - lepenke. (Klasifikacijska številka odpadka: 170301) </t>
  </si>
  <si>
    <t>1.3.10</t>
  </si>
  <si>
    <t xml:space="preserve">Rušenje kovinske kritine (trapezna pločevina) s pritrdilnim materialom. (Klasifikacijska številka odpadka: 170407) </t>
  </si>
  <si>
    <t>1.3.11</t>
  </si>
  <si>
    <t xml:space="preserve">Odstranitev kleparskih obrob, žlebov, odtočnih cevi. (Klasifikacijska številka odpadka: 170407) </t>
  </si>
  <si>
    <t>1.3.12</t>
  </si>
  <si>
    <t xml:space="preserve">Odstranitev ključavničarskih izdelkov (jekleni profili in kotne obrobe). (Klasifikacijska številka odpadka: 170407) </t>
  </si>
  <si>
    <t>1.3.13</t>
  </si>
  <si>
    <t>Rušenje kovinsko-keramičnih elektro elementov (konzole za kable, skozniki,...). (Klasifikacijska številka odpadka: 170904)</t>
  </si>
  <si>
    <t>1.3.14</t>
  </si>
  <si>
    <t>Rušenje dvojnega poda s talno podkonstrukcijo. Kom. prostor. (Klasifikacijska številka odpadka: 170904)</t>
  </si>
  <si>
    <t>1.3.15</t>
  </si>
  <si>
    <t>Rušenje spuščenega stropa iz mineralnih plošč in s kovinsko podkonstrukcijo. Kom. prostor. (Klasifikacijska številka odpadka: 170904)</t>
  </si>
  <si>
    <t>1.3.16</t>
  </si>
  <si>
    <t>Rušenje PVC tlakov. (Klasifikacijska številka odpadka: 170904)</t>
  </si>
  <si>
    <t>1.3.17</t>
  </si>
  <si>
    <t xml:space="preserve">Odstranitev kovinskih sidranih vrat: (Klasifikacijska številka odpadka: 170407) </t>
  </si>
  <si>
    <t>~ dim. do 2 m2</t>
  </si>
  <si>
    <t>kos</t>
  </si>
  <si>
    <t>~ dim. od 2 m2 do 6 m2</t>
  </si>
  <si>
    <t>1.3.18</t>
  </si>
  <si>
    <t>Odstranitev kovinskih oken, rešetk: (Klasifikacijska številka odpadka: 170904)</t>
  </si>
  <si>
    <t>~ dim. od 2 m2 do 4 m2</t>
  </si>
  <si>
    <t>1.3.19</t>
  </si>
  <si>
    <t>Odstranitev kamnitih notranjih in zunanjih polic. (Klasifikacijska številka odpadka: 170904)</t>
  </si>
  <si>
    <t>1.3.20</t>
  </si>
  <si>
    <t>Rušenje raznih manjših elementov (Klasifikacijska številka odpadka: 170904)</t>
  </si>
  <si>
    <t>Rušitvena dela v zgradbi 20 kV stikališča</t>
  </si>
  <si>
    <t>1.3.21</t>
  </si>
  <si>
    <t>Izvedba zaščite dela zgradbe 20 kV stikališča, ki se ne ruši in oz. obnavlja.
Postavitev in odstranitev PVC folije z vsemi predvidenimi prestavitvami zaradi faznosti in tehnologije gradnje, z vzdrževanjem in popravili (PVC folija višine do 3,0 m pritrjena na ustrezno trdnih stojalih v medsebojni oddaljenosti do 2 m in po potrebi zavarovanimi pred porušitvijo zaradi vetra za obdobje celotne gradnje. Stebrički na betonskih podstavkih.</t>
  </si>
  <si>
    <t>1.3.22</t>
  </si>
  <si>
    <t xml:space="preserve">Rušenje obstoječe kovinske kritine 20 kV stikališča skupaj s pritrdilnim materialom. (Klasifikacijska številka odpadka: 170407) </t>
  </si>
  <si>
    <t>1.3.23</t>
  </si>
  <si>
    <t>1.3.24</t>
  </si>
  <si>
    <t xml:space="preserve">Odstranitev kovinskih sidranih zunanjih in notranjih vrat: (Klasifikacijska številka odpadka: 170407) </t>
  </si>
  <si>
    <t>1.3.25</t>
  </si>
  <si>
    <t>Odstranitev kovinskih oken: (Klasifikacijska številka odpadka: 170904)</t>
  </si>
  <si>
    <t xml:space="preserve">~ dim. od 2 m2 do 4 m2 </t>
  </si>
  <si>
    <t>1.3.26</t>
  </si>
  <si>
    <t>Rušenje opečnih sten za prehode. (Klasifikacijska številka odpadka: 170102)</t>
  </si>
  <si>
    <t>1.3.27</t>
  </si>
  <si>
    <t>1.3.28</t>
  </si>
  <si>
    <t>Rušenje talnih in stenskih keramičnih ploščic. AKU prostor, hodnik v pritličju. (Klasifikacijska številka odpadka: 170103)</t>
  </si>
  <si>
    <t>1.3.29</t>
  </si>
  <si>
    <t>Rušenje kamnitega tlaka in pranih plošč deb. do 5 cm. (Klasifikacijska številka odpadka: 170904)</t>
  </si>
  <si>
    <t>1.3.30</t>
  </si>
  <si>
    <t>Rušenje dvojnega poda s talno podkonstrukcijo in kovinskim stopniščem s 4 stopnicami. Kom. prostor. (Klasifikacijska številka odpadka: 170904)</t>
  </si>
  <si>
    <t>1.3.31</t>
  </si>
  <si>
    <t>Rušenje spuščenega stropa iz mineralnih plošč in s kovinsko podkonstrukcijo. Kom. prostor in hodnik v pritl. (Klasifikacijska številka odpadka: 170904)</t>
  </si>
  <si>
    <t>1.3.32</t>
  </si>
  <si>
    <t>Demontaža lesenih delov kovinske ograje - privijačene lesene deske širine 30 cm. (Klasifikacijska številka odpadka: 170201)</t>
  </si>
  <si>
    <t>1.3.33</t>
  </si>
  <si>
    <t xml:space="preserve">Rušenje kovinske ograje dim. 300 x 100 cm z lesenimi paneli v kom. prostoru. (Klasifikacijska številka odpadka: 170407) </t>
  </si>
  <si>
    <t>1.3.34</t>
  </si>
  <si>
    <t>1.3.35</t>
  </si>
  <si>
    <t xml:space="preserve">Rušenje lesenega ostrešja (letve, kontra letve, ostali deli ostrešja) s pritrdilnim materialom. (Klasifikacijska številka odpadka: 170201) </t>
  </si>
  <si>
    <t>1.3.36</t>
  </si>
  <si>
    <t>1.3.37</t>
  </si>
  <si>
    <t>1.3.38</t>
  </si>
  <si>
    <t>1.3.39</t>
  </si>
  <si>
    <t xml:space="preserve">Odstranitev ključavničarskih izdelkov (razni jekleni profili, penjalke in kotne obrobe). (Klasifikacijska številka odpadka: 170407) </t>
  </si>
  <si>
    <t>1.3.40</t>
  </si>
  <si>
    <t>Izvedba prebojev: (Klasifikacijska številka odpadka: 170904)</t>
  </si>
  <si>
    <t>~ površina do 0,2 m2, deb. 30 cm, odprtina v zidu ali stropu iz AB.</t>
  </si>
  <si>
    <t>~ površina od 0,2 do 0,5 m2, deb. 30 cm, odprtina v zidu ali stropu iz AB.</t>
  </si>
  <si>
    <t>c.</t>
  </si>
  <si>
    <t xml:space="preserve">~ površina od 0,5 do 1,0 m2, deb. 30 cm, odprtina v zidu ali stropu iz AB. Zajeti so tudi preboji v obstoječih kabelskih jaških. </t>
  </si>
  <si>
    <t>d.</t>
  </si>
  <si>
    <t>~ površina do 5,0 m2, deb. 30 cm, odprtina v zidu. Za novo razdelilno omarico.</t>
  </si>
  <si>
    <t>1.3.41</t>
  </si>
  <si>
    <t>Odrez AB žleba in drugih betonskih zaključkov strehe. Dolžina obrobe je 60 m. Podana je količina odstranjenega AB materiala. (Klasifikacijska številka odpadka: 170904)</t>
  </si>
  <si>
    <t>1.3.42</t>
  </si>
  <si>
    <t>Odstranitev drobnega materiala (prva pomoč, gasilski aparat.…). (Klasifikacijska številka odpadka: 170904)</t>
  </si>
  <si>
    <t>1.3.43</t>
  </si>
  <si>
    <t xml:space="preserve">Odstranitev jeklenega portala dim. 200 x 300 cm na hodniku v nadstropju 20 kV stikališča. Teža do 50 kg. (Klasifikacijska številka odpadka: 170407) </t>
  </si>
  <si>
    <t>1.3.44</t>
  </si>
  <si>
    <t>1.3.45</t>
  </si>
  <si>
    <t>1.3.46</t>
  </si>
  <si>
    <t>Začasni pokrovi: Pokrovi odprtin v tleh: vse nastale manjše odprtine v tleh je potrebno zavarovati s pokrovi iz med seboj zbitih plohov ali opažnih plošč, zavarovanimi pred horizontalno odstranitvijo (obtežitev, pritrditev…),- jaški komunalnih vodov in odprtine v tleh plošč.</t>
  </si>
  <si>
    <t>SKUPAJ ZGRADBA 10 kV in 35 kV STIKALIŠČE in ZGRADBA 20 kV STIKALIŠČA:</t>
  </si>
  <si>
    <t>1.4</t>
  </si>
  <si>
    <t xml:space="preserve">OGRAJA </t>
  </si>
  <si>
    <t>1.4.1</t>
  </si>
  <si>
    <t xml:space="preserve">Odkop ob temeljih stebričkov v nasutem terenu ter zasip temeljev nove ograje gradbenih jam po rušenju z odkopanim materialom. Ograja RTP v skupni dolžini 200 m in višine do 250 cm. (Klasifikacijska številka odpadka: 170904) </t>
  </si>
  <si>
    <t>1.4.2</t>
  </si>
  <si>
    <t xml:space="preserve">Rušenje betonskih in arm. betonskih konstrukcij ograje (temelji). Dolžina ograje 200 m. (Klasifikacijska številka odpadka: 170904) </t>
  </si>
  <si>
    <t>1.4.3</t>
  </si>
  <si>
    <t xml:space="preserve">Demontaža betonskih plohov ograje dim. 200 x 25 x 5 cm. (Klasifikacijska številka odpadka: 170904) </t>
  </si>
  <si>
    <t>m</t>
  </si>
  <si>
    <t>1.4.4</t>
  </si>
  <si>
    <t xml:space="preserve">Odstranitev kovinske ograje stikališča: žična ograja s kovinskimi stebrički in pritrdilnim materialom. Ograja višine do 250 cm. (Klasifikacijska številka odpadka: 170407) </t>
  </si>
  <si>
    <t>1.4.5</t>
  </si>
  <si>
    <t xml:space="preserve">Odstranitev drsnih kovinskih ograjnih vrat stikališča: kovinsko ogrodje z žično ograjo, vključno s pogonskim sistemom. Vrata za vozila in osebe. Ograja dolžine do 800 cm višine do 250 cm. (Klasifikacijska številka odpadka: 170407) </t>
  </si>
  <si>
    <t>1.4.6</t>
  </si>
  <si>
    <t xml:space="preserve">Odstranitev krilnih kovinskih ograjnih vrat stikališča: kovinsko ogrodje z žično ograjo, vključno s pogonskim sistemom. Vrata za vozila in osebe. Ograja dolžine do 500 cm, višine do 250 cm. (Klasifikacijska številka odpadka: 170407) </t>
  </si>
  <si>
    <t>SKUPAJ OGRAJA:</t>
  </si>
  <si>
    <t>1.5</t>
  </si>
  <si>
    <t>OSTALO</t>
  </si>
  <si>
    <t>1.5.1</t>
  </si>
  <si>
    <t>Odkop v nasutem terenu (zemljina in gramoz) ter zasip gradbenih jam po rušenju z odkopanim materialom. Zajeti so vsi elementi v tem poglavju 1.3. (Klasifikacijska številka odpadka: 170506)</t>
  </si>
  <si>
    <t>1.5.2</t>
  </si>
  <si>
    <t>Rezanje asfaltnih površin s talno diamantno žago v deb. do 15 cm. (Klasifikacijska številka odpadka: 170301)</t>
  </si>
  <si>
    <t>1.5.3</t>
  </si>
  <si>
    <t>Rušenje asfaltnih površin s talno diamantno žago v deb. do 15 cm. (Klasifikacijska številka odpadka: 170301)</t>
  </si>
  <si>
    <t>1.5.4</t>
  </si>
  <si>
    <t>Rušenje cestnih robnikov 15/25 cm v betonskem temelju. (Klasifikacijska številka odpadka: 170904)</t>
  </si>
  <si>
    <t>1.5.5</t>
  </si>
  <si>
    <t>Odstranitev tipskih jekl. stebrov za ulično razsvetljavo, višine do 10 m, skupaj z AB temelji (prostornina cca. 8 m3). (Klasifikacijska številka odpadka: 170904)</t>
  </si>
  <si>
    <t>1.5.6</t>
  </si>
  <si>
    <t>Rušenje PE cevi do fi 160 (SF fi 30, SF fi 50, SF fi 63, SF fi 110, PVC fi 60, PVC fi 110, PVC fi 125, PVC fi 160,…), vključno z rezanjem na mestu obstoječih cevi. (Klasifikacijska številka odpadka: 170203)</t>
  </si>
  <si>
    <t>1.5.7</t>
  </si>
  <si>
    <t>Rušenje obbetoniranih delov obstoječih cevi. (Klasifikacijska številka odpadka: 170904)</t>
  </si>
  <si>
    <t>1.5.8</t>
  </si>
  <si>
    <t>Odstranitev AB kabelskih jaškov dim. jaška do 250 x 250 x 250 cm, vključno s podložnim betonom in vsemi zemeljskimi deli. Debelina AB sten znaša 20 cm. (Klasifikacijska številka odpadka: 170904)</t>
  </si>
  <si>
    <t>1.5.9</t>
  </si>
  <si>
    <t>Odstranitev betonskih površin skupaj s podložnim betonom v skupni deb. do 30 cm. (Klasifikacijska številka odpadka: 170904)</t>
  </si>
  <si>
    <t>1.5.10</t>
  </si>
  <si>
    <t>Odstranitev pranih plošč deb. do 5 cm skupaj s podložnim betonom v skupni deb. do 30 cm. (Klasifikacijska številka odpadka: 170904)</t>
  </si>
  <si>
    <t>1.5.11</t>
  </si>
  <si>
    <t>Rušenje AB konstrukcij opornega zidu TR skupaj s temelji. Oporni zid ob zgradbi. (Klasifikacijska številka odpadka: 170904)</t>
  </si>
  <si>
    <t>1.5.12</t>
  </si>
  <si>
    <t>Rušenje AB konstrukcij nekdanjega temelja TR 1 in TR 2, vključno s prodcem, kovinskimi rešetkami in ostalim pripadajočim materialom. (Klasifikacijska številka odpadka: 170904)</t>
  </si>
  <si>
    <t>1.5.13</t>
  </si>
  <si>
    <t>Rušenje AB požarnega zidu med TR 1 in TR 2, skupaj s temeljem in ostalim pripadajočim materialom.</t>
  </si>
  <si>
    <t>1.5.14</t>
  </si>
  <si>
    <t>Rušenje AB konstrukcij oljne jame in ostalih pripadajočih elementov. (Klasifikacijska številka odpadka: 170904)</t>
  </si>
  <si>
    <t>1.5.15</t>
  </si>
  <si>
    <t xml:space="preserve">Odstranitev strelovodnega valjanca vključno s pritrdilnim materialom. (Klasifikacijska številka odpadka: 170407) </t>
  </si>
  <si>
    <t>1.5.16</t>
  </si>
  <si>
    <t>Razna rušenja in prilagoditve:</t>
  </si>
  <si>
    <t>~ VKV delavec</t>
  </si>
  <si>
    <t>~ KV delavec</t>
  </si>
  <si>
    <t>~ PK delavec</t>
  </si>
  <si>
    <t>1.5.17</t>
  </si>
  <si>
    <t>Odstranitev dreves do višine do 10 m. Izkop korenin do globine cca. 2 m. (Klasifikacijska številka odpadka: 020103)</t>
  </si>
  <si>
    <t>1.5.18</t>
  </si>
  <si>
    <t>Odstranitev grmičevja in ostalega nizkega rastja do višine 5 m. Izkop korenin do globine cca. 1 m. (Klasifikacijska številka odpadka: 020103)</t>
  </si>
  <si>
    <t>SKUPAJ OSTALO:</t>
  </si>
  <si>
    <t>SKUPAJ RUŠITVENA DELA:</t>
  </si>
  <si>
    <t>2.1</t>
  </si>
  <si>
    <t>ZAKOLIČBA, GEODETSKI POSNETEK IN OSTALO</t>
  </si>
  <si>
    <t>2.1.1</t>
  </si>
  <si>
    <t>Zakoličba vseh novih elementov RTP (zgradba, plato, infrastruktura, ostali gradbeni elementi, ...) s postavljanjem in z zavarovanjem profilov, ter vzdrževanjem zakoličbenih označb v vsem obdobju gradnje. Zakoličba mora biti izdelana skladno z zazidalno situacijo in projektno dokumentacijo. Površina območja znaša 2200 m2. Vključno z obnovitvijo zakoličbenih osi.</t>
  </si>
  <si>
    <t>kpl</t>
  </si>
  <si>
    <t>2.1.2</t>
  </si>
  <si>
    <t>Zakoličba obstoječih elementov in inštalacij s postavljanjem in z zavarovanjem profilov ter vzdrževanjem zakoličbenih označb v vsem obdobju gradnje.</t>
  </si>
  <si>
    <t>2.1.3</t>
  </si>
  <si>
    <t>Vris vseh tras komunalnih vodov v zbirno karto, vris vseh izvedenih elementov v kataster GJI in izdelava ter predaja geodetskega posnetka naročniku v tiskani (4 izvodi) in elektronski obliki.</t>
  </si>
  <si>
    <t>2.1.4</t>
  </si>
  <si>
    <t>Geotehnični nadzor v času izvajanja zemeljskih del za izvedbo platoja in zgradbe.
Izvajalec je dolžan izvesti vsa zemeljska dela ob prisotnosti geomehanika, kar se upošteva v cenah!</t>
  </si>
  <si>
    <t>2.1.5</t>
  </si>
  <si>
    <t>Meritve zbitosti temeljnih tal s togo krožno obremenilno ploščo (švicarska metoda) in izdelava poročila. Meritve Evd modula.</t>
  </si>
  <si>
    <t>2.1.6</t>
  </si>
  <si>
    <t>2.1.7</t>
  </si>
  <si>
    <t>Izdelava Projekta izvajanja betonskih konstrukcij v papirni in elektronski oblik - skeniran vsak dokument posebej.</t>
  </si>
  <si>
    <t>2.1.8</t>
  </si>
  <si>
    <t xml:space="preserve">Postavitev, odstranitev, vzdrževanje in obratovanje sistema odvodnjavanja vseh gradbenih jam za zgradbo in plato za ves čas izvedbe del. Črpanje vode iz gradbene jame (pretok 100 l/s). </t>
  </si>
  <si>
    <t>dni</t>
  </si>
  <si>
    <t>2.1.9</t>
  </si>
  <si>
    <t>Dobava in postavitev ter odstranitev začasne lesene konstrukcije iz lesenih profilov 5/5 cm za zaščito pred mehanskimi poškodbami delujočih elektro opreme. Polnilo iz gradbene folije  0,15 mm, z možnostjo dostopa do omar. Vključno z izagotovitvijo tesnjenja pred vdorom prahu do tehniološke opreme. Konstrukcija mora začititi  Dim. Konstrukciie 3 m x 3 m x 1 m (DxŠxV). Obstoječi komadni prostor 20 kV stikališča.</t>
  </si>
  <si>
    <t>SKUPAJ ZAKOLIČBA, GEODETSKI POSNETEK IN OSTALO:</t>
  </si>
  <si>
    <t>2.2</t>
  </si>
  <si>
    <t>CESTE IN OSTALE POVRŠINE</t>
  </si>
  <si>
    <t xml:space="preserve">Vsi odpadki, ki bodo nastali pri izvedbi, bodo naloženi na prevozno sredstvo in odpeljani na stalno gradbeno deponijo nenevarnih odpadkov uradnega zbiralca odpadkov. Upoštevati vsa potrebna dela in stroške v zvezi z deponiranjem. Vsi odpadki, ki bodo ponovno uporabljeni pri izvedbi, bodo naloženi na prevozno sredstvo in pripeljani na gradbišče. </t>
  </si>
  <si>
    <t>2.2.1</t>
  </si>
  <si>
    <t>Kratek uvod:
Dela se bodo izvajala na območju in izven območja RTP 110/20 kV Izola.</t>
  </si>
  <si>
    <t xml:space="preserve">Povzetek iz geološkega poročila (ponudnik naj se podrobno seznani):
Področje gradnje je ravninsko, teren IV. ktg. </t>
  </si>
  <si>
    <t>Vsa izkopna dela in transporti izkopnih materialov se določajo po prostornini zemljine v raščenem stanju. Vsa nasipna dela se določajo po prostornini zemljine v vgrajenem stanju. Za izvedbo temeljenja je potrebno zagotoviti suho gradbeno jamo, po potrebi tudi črpanje vode iz gradbene jame in zaščito brežin izkopa pred erozijo zaradi atmosferskih vplivov.</t>
  </si>
  <si>
    <t>2.2.1.1</t>
  </si>
  <si>
    <t>Naprava in postavitev gradbenih profilov na vzpostavljeno os trase ceste s potrebnim niveliranjem in meritvami ter določitev nivoja.</t>
  </si>
  <si>
    <t>2.2.1.2</t>
  </si>
  <si>
    <t xml:space="preserve">Izkop humusne plasti v debelini 20-30 cm in dovoz na stalno deponijo. Material (preperina) se uporabi za humusiranje okolice po opravljenih delih. </t>
  </si>
  <si>
    <t>2.2.1.3</t>
  </si>
  <si>
    <t xml:space="preserve">Strojni izkop zemljine v terenu IV. ktg. (makadamski sloj deb. 30 cm) z direktnim nakladanjem materiala na prevozno sredstvo. Določanje po dejansko izvršenih delih in v raščenem stanju. Zagotovitev primernega deponiranja humusa, ki se uporabi za končno ureditev platoja. </t>
  </si>
  <si>
    <t>2.2.1.4</t>
  </si>
  <si>
    <t xml:space="preserve">Strojni izkop humusov v debelini 20-30 cm z direktnim nakladanjem materiala na prevozno sredstvo in dovoz na stalno deponijo. Določitev po dejansko izvršenih delih in v raščenem stanju. </t>
  </si>
  <si>
    <t>2.2.1.5</t>
  </si>
  <si>
    <t xml:space="preserve">Planiranje ceste v projektiranem naklonu, zgoščenost materiala 98 % po SPP, modul stisljivosti - utrditev zgornjega platoja do zbitosti Ev2 = 60 MPa. </t>
  </si>
  <si>
    <t>2.2.1.6</t>
  </si>
  <si>
    <t>Dobava in polaganje geotekstila s sledečimi lastnostmi: natezna trdnost (vzd.) [EN ISO 10319] : 15 kN/m, natezna trdnost (preč.) [EN ISO 10319] : 15 kN/m, odpornost na prebod (CBR-test) [EN ISO 12236] : 2350 N, vodoprepustnost skozi ravnino (Δh = 50 mm) [EN ISO 11058] : 90 l/m²s (npr. kot TenCate Polyfelt TS 50). Polaganje geotekstila: širina 4 m ali 8 m, prekrivanje 20 %.</t>
  </si>
  <si>
    <t>2.2.1.7</t>
  </si>
  <si>
    <t>Dobava in izdelava plasti v naslednji sestavi, vključno z razgrinjanjem, utrjevanjem in valjanjem.
Pod povoznimi – asfaltnimi površinami se površine utrdi z minimalnim 30 cm nasutjem.
Zgoščenost materiala 98 % po standardnem Proctorjevem postopku; v plasteh (20 - 30 cm). Utrditev tampona na končni višini platoja znaša Ev2 &gt;= 80 MPa.
Sestava asfaltiranih površin:</t>
  </si>
  <si>
    <t>~ greda (karbonatni drobljenec - prevladujoča apnenčasta struktura - standard TSC 06.100:2003 (zmrzlinsko odporni material) - granulacija spodnjih slojev 32 / 125 oz. 32 / 64 mm (greda), delež glin (0) do 10 %, v debelini 30 cm</t>
  </si>
  <si>
    <t>~ stabilizacijska / tamponska plast, granulacija plasti 16/32 mm, dopustni delež meljno - peščenih glin do 15 %, v debelini 10 cm</t>
  </si>
  <si>
    <t>2.2.1.8</t>
  </si>
  <si>
    <t>2.2.2</t>
  </si>
  <si>
    <t xml:space="preserve">ASFALTIRANE POVRŠINE </t>
  </si>
  <si>
    <t>2.2.2.1</t>
  </si>
  <si>
    <t>Dobava in polaganje betonskih robnikov v podložni beton C12/15 X0 Cl 0,1 Dmax 16 S1 in obdelava stikov s fino cementno malto. Robniki morajo biti zmrzlinsko odporni (certifikat), obdelava stikov prav tako zmrzlinsko odporna. Uporabijo se robniki dolžine 100 cm in prilagojene dolžine za izvedbo krivin. Polaganje dvignjenih in poglobljenih robnikov:</t>
  </si>
  <si>
    <t>~ visoki cestni robniki vel.15 x 25 cm</t>
  </si>
  <si>
    <t>~ poglobljeni cestni robniki vel.15 x 25 cm</t>
  </si>
  <si>
    <t>2.2.2.2</t>
  </si>
  <si>
    <t>Izdelava, dobava in strojno polaganje asfalta debeline 10,00 cm v sestavi: nosilna spodnja plast bitumeniziranega asfaltdrobirja AC 32 base B 50/70 A3 v debelini 6 cm in izdelava obrabne in zaporne plasti bituminizirane zmesi AC 11 surf B50/70 A3 v debelini 4 cm (se izvede v zaključni fazi izgradnje objekta). Polaganje v projektiranih padcih, z vsemi pobrizgi s pripadajočimi emulzijami. Polaganje se izvaja strojno v delno kombinirani izvedbi.</t>
  </si>
  <si>
    <t>2.2.2.3</t>
  </si>
  <si>
    <t>Obdelava stika novih asfaltnih površin z obstoječimi (rezanje in premaz z bitumensko emulzijo).</t>
  </si>
  <si>
    <t>2.2.2.4</t>
  </si>
  <si>
    <t>Izdelava tankoslojne vzdolžne označbe na vozišču z enokomponentno belo barvo, vključno 250 g/m2 posipa z drobci / kroglicami stekla, strojno, debelina plasti suhe snovi 250 µm, širina črte 10 cm.</t>
  </si>
  <si>
    <t>SKUPAJ ASFALTIRANE POVRŠINE:</t>
  </si>
  <si>
    <t>2.2.3</t>
  </si>
  <si>
    <t xml:space="preserve">TLAKOVANE POVRŠINE </t>
  </si>
  <si>
    <t>2.2.3.1</t>
  </si>
  <si>
    <t>Dobava in izdelava zunanje tlakovane površine ob SZ in SV fasadi v naslednji sestavi:</t>
  </si>
  <si>
    <t>~ prane plošče dim. 40/40/3,8 cm, v naklonu 1% od fasade, vključno z rezanjem in prilagajanjem</t>
  </si>
  <si>
    <t>~ armirani podložni beton C12/15 X0 Cl 0,1 Dmax 16 S1, deb. 10 cm z armaturno mrežo S500 B.</t>
  </si>
  <si>
    <t>~ tampon granulacije 32/64 mm (višina 30 cm), dopustni delež meljno - peščenih glin 10%</t>
  </si>
  <si>
    <t>SKUPAJ TLAKOVANE POVRŠINE:</t>
  </si>
  <si>
    <t>2.2.4</t>
  </si>
  <si>
    <t xml:space="preserve">ZELENE POVRŠINE </t>
  </si>
  <si>
    <t>2.2.4.1</t>
  </si>
  <si>
    <t>Kombinirano planiranje in strojno utrjevanje dna izkopa v terenu IV. kategorije s točnostjo +1,00 cm s minimalnim izmetom ali dosipom ter premetom odvečnega materiala.</t>
  </si>
  <si>
    <t>2.2.4.2</t>
  </si>
  <si>
    <t>Humusiranje z odstranjenim humusom, z dovozom s stalne deponije in razstiranjem v debelini 20-30 cm.</t>
  </si>
  <si>
    <t>2.2.4.3</t>
  </si>
  <si>
    <t>Dobava in dovoz humusnega substrata za humusiranje platoja, v kolikor obstoječi humus ne zadošča, oz. ni primerne kvalitete.</t>
  </si>
  <si>
    <t>2.2.4.4</t>
  </si>
  <si>
    <t>Razstiranje humusa za zelenico s plodno zemljo, z dovozom s stalne deponije in razstiranjem v debelini 20-30 cm.</t>
  </si>
  <si>
    <t>2.2.4.5</t>
  </si>
  <si>
    <t>Brazdanje uvaljane plodne zemlje, sejanje travne mešanice skupaj z mešanico umetnega gnojila (travna mešanica in gnojilo morata biti prilagojena celinskemu alpskemu podnebju), penetriranje mešanice v globino do 3 cm z grabljanjem, uvaljanje ter močenje in negovanje do prve ozelenitve.</t>
  </si>
  <si>
    <t>SKUPAJ ZELENE POVRŠINE:</t>
  </si>
  <si>
    <t>SKUPAJ CESTE IN OSTALE POVRŠINE:</t>
  </si>
  <si>
    <t>2.3</t>
  </si>
  <si>
    <t>METEORNA IN FEKALNA KANALIZACIJA</t>
  </si>
  <si>
    <t>2.3.1</t>
  </si>
  <si>
    <t>Postavitev gradbenih profilov na vzpostavljeno os trase kanala, ter določitev nivoja za merjenje globine izkopa in polaganja kanala.</t>
  </si>
  <si>
    <t>kom</t>
  </si>
  <si>
    <t>2.3.2</t>
  </si>
  <si>
    <t>Priprava gradbišča: odstranitev eventualnih ovir, ureditev delovnega platoja. Po dokončanju del gradbišče pospraviti in vzpostaviti končno stanje.</t>
  </si>
  <si>
    <t>2.3.3</t>
  </si>
  <si>
    <t>Zakoličba obstoječih komunalnih vodov, ki ostajajo v funkciji.</t>
  </si>
  <si>
    <t>2.3.4</t>
  </si>
  <si>
    <t>Odstranjevanje obstoječe meteorne kanalizacije vključno z izkopom cevi in objektov ter odvozom na stalno deponijo. Količina materialov, ki se odstranjujejo:</t>
  </si>
  <si>
    <t>~ BC DN 150</t>
  </si>
  <si>
    <t>~ BC DN 200</t>
  </si>
  <si>
    <t>~ betonski RJ globine do 1 m</t>
  </si>
  <si>
    <t>~ betonski RJ z rešetko globine do 1,2 m</t>
  </si>
  <si>
    <t>2.3.5</t>
  </si>
  <si>
    <t>Strojni izkop kanalizacijskih jarkov v terenu IV. ktg. z odmetom materiala na rob izkopa. Globina izkopa:</t>
  </si>
  <si>
    <t>~ 0 - 2 m</t>
  </si>
  <si>
    <t>~ 2 - 4 m</t>
  </si>
  <si>
    <t>2.3.6</t>
  </si>
  <si>
    <t>Široki strojni izkop gradbene jame za izvedbo zadrževalnikov, ponikovalnic, lovilcev olja in ostalih podzemnih objektov v terenu IV. ktg. z odvozom materiala na gradbiščno deponijo. Globina izkopa:</t>
  </si>
  <si>
    <t>2.3.7</t>
  </si>
  <si>
    <t>Ročno planiranje in utrjevanje dna jarka z natančnostjo +/- 3,0 cm.</t>
  </si>
  <si>
    <t>2.3.8</t>
  </si>
  <si>
    <t>2.3.9</t>
  </si>
  <si>
    <t>Dobava 2x sejanega peska in izdelava temeljne plasti posteljice debeline do 10 cm s planiranjem in strojnim utrjevanjem.</t>
  </si>
  <si>
    <t>2.3.10</t>
  </si>
  <si>
    <t>Dobava in vgrajevanje peska - gramoza D 16/32 mm - zasip za ponikovalnicami (zadrževalniki) z utrjevanjem v plasteh po 33 cm.</t>
  </si>
  <si>
    <t>2.3.11</t>
  </si>
  <si>
    <t>Dobava in vgrajevanje podložnega betona C12/15 X0 Cl 0,1 Dmax 16 S1 - posteljica kanalizacije, ki poteka pod cestiščem oz. zunanjimi deponijami.</t>
  </si>
  <si>
    <t>2.3.12</t>
  </si>
  <si>
    <t>Dobava in vgrajevanje peščenega materiala (2x sejani pesek) za zasip kanalizacijskih cevi do 20 cm nad temenom cevi.</t>
  </si>
  <si>
    <t>2.3.13</t>
  </si>
  <si>
    <t>Dobava in vgrajevanje betona C30/37 XC4+XS1+XF1 Cl 0,2 Dmax 16 S4 PV-II in obbetoniranje kanalizacijskih cevi do višine 10 cm nad temenom cevi, za cevi ki potekajo pod cestiščem in zunanjimi deponijami in za zaščito cevovoda pri križanju z ostalimi komunalnimi vodi.</t>
  </si>
  <si>
    <t>2.3.14</t>
  </si>
  <si>
    <t>Strojno zasipavanje z izkopanim materialom s komprimiranjem v slojih po 20 cm; iz izkopnega materiala se odstrani vse skale večje od fi 15 cm. Utrjenost mora doseči 95% trdnosti po standardnem Proctorjevem postopku, z utrjevanjem po plasteh v slojih po 15 cm do predpisane zbitosti, predvidoma Mv= 60 MPa. Utrjevanje z vibracijsko ploščo ali vibrovaljarjem. Stopnjo utrjenosti preveriti v statičnem izračunu ali v geomehanskem poročilu. Vključno z nakladanjem in prevozom s stalne deponije.</t>
  </si>
  <si>
    <t>2.3.15</t>
  </si>
  <si>
    <t>Odvoz viškov izkopanega materiala na stalno deponijo, vključno s pridobitvijo ustrezne dokumentacije o deponiranju materiala.</t>
  </si>
  <si>
    <t>2.3.16</t>
  </si>
  <si>
    <t>Dobava, raznos in polaganje PVC kanalizacijskih cevi v projektiranih padcih na peščeno oziroma betonsko podlago s priklopom na revizijske jaške. Stiki so tesnjeni z gumi tesnili:</t>
  </si>
  <si>
    <t>~ UKC PVC DN 160 SN8</t>
  </si>
  <si>
    <t>2.3.17</t>
  </si>
  <si>
    <t>Dobava, raznos in polaganje INOX kanalizacijskih cevi v projektiranih padcih na peščeno oziroma betonsko podlago s priklopom na revizijske jaške. Stiki so tesnjeni z vročinsko odpornimi gumi tesnili:</t>
  </si>
  <si>
    <t>~ INOX DN 150</t>
  </si>
  <si>
    <t>2.3.18</t>
  </si>
  <si>
    <t>Dobava, montaža in polaganje PVC cevi DN 160 SN 8, za izvedbo povezav med cestnimi požiralniki, vhodnimi rešetkami,... in meteorno kanalizacijo.</t>
  </si>
  <si>
    <t>2.3.19</t>
  </si>
  <si>
    <t>Dobava in montaža poliestrskega revizijskega jaška (npr. tip Regeneracija), z izdelanim vtokom, iztokom, muldo v dnu jaška in priključnimi cevmi. Vključeno je zasipavanje jaška s peščenim materialom iz izkopa.</t>
  </si>
  <si>
    <t>~ Premer DN 500 - globina do 1 m</t>
  </si>
  <si>
    <t>~ Premer DN 600 - globina do 1 m</t>
  </si>
  <si>
    <t>~ Premer DN 600 - globina do 1,5 m</t>
  </si>
  <si>
    <t>2.3.20</t>
  </si>
  <si>
    <t>Dobava, montaža in izdelava betonskega revizijskega jaška, z izdelanim vodotesnim vtokom, iztokom, muldo v dnu jaška in priključnimi INOX cevmi. Vključeno je zasipavanje jaška s peščenim materialom iz izkopa. Spoji z INOX cevmi morajo biti vodo in oljetesni in temperaturno odporni na temperaturo max. 120 st. Celzija</t>
  </si>
  <si>
    <t>2.3.21</t>
  </si>
  <si>
    <t>Dobava in montaža LTŽ pokrova kanalizacijskega jaška vključno z okvirjem pokrova jaška in z dvema razbremenilnima AB ploščama.</t>
  </si>
  <si>
    <t>~ fi 600, nosilnosti 400 kN - povozne površine</t>
  </si>
  <si>
    <t>2.3.22</t>
  </si>
  <si>
    <t>Dobava in montaža poliestrskega jaška DN 600, (npr. Regeneracija), z rešetko fi 45 cm, v kompletu z izdelanim peskolovom, obdelavo dna in priključka na kanalizacijo, z dobavo in montažo LTŽ rešetke z okvirjem in nosilno AB ploščo - po detajlu.</t>
  </si>
  <si>
    <t>2.3.23</t>
  </si>
  <si>
    <t>Dobava in montaža lovilca olja z by passom nazivnih količin Qmax/Qs = 15/3 l/s (npr. Aquareg 15 bp 3 z by passom) kompletno s potrebno talno in vrhnjo AB ploščo vključno z dobavo in montažo LTŽ pokrovov nosilnosti 400 kN (vgradnja v asfalt) - po detajlu dobavitelja mora lovilec olja ustrezati zahtevam SIST EN 858-1.</t>
  </si>
  <si>
    <t>2.3.24</t>
  </si>
  <si>
    <t>Dobava in vgradnja koalescentnega izločevalca lahkih tekočin iz umetne mase (npr. Oleopator P NS 6/660) z integriranim usedalnikom grobih nečistoč, skladnega s SIST EN 858-1 in SIST EN 858-2, Razred I. Potrebna nazivna velikost 6 L/sek, usedalnik grobih nečistoč 660L, zbiralnik mineralnih olj 235L. Vsebuje koalescentni filter, samodejno zapiralo kalibrirano na gostoto 0,90 g/cm3, Z armiranobetonsko krovno ploščo in litoželeznim pokrovom D400 kN. Dotok/iztok DN 150 -z vsemi pomožnimi deli in transporti. Tip, kot npr. OLEOPATOR P NS 6/660l</t>
  </si>
  <si>
    <t>2.3.25</t>
  </si>
  <si>
    <t>Dobava alarmne naprave skupaj s senzorjem detekcije tekočin in senzorjem za detekcijo debeline olja vključno z montažo senzorjev v lovilce olj in spoj na kabel 2x1 mm2 mehko žičen, kateri je napeljan od kontrolne omarice do oljne jame ter vezava in priklop na krmilno enoto (DIN-rail) (brez priklopa na napajanje)</t>
  </si>
  <si>
    <t>2.3.26</t>
  </si>
  <si>
    <t>Dobava in polaganje zaščitne cevi za kabel od nadzornega objekta do izločevalca mineralnih olj PEHD preseka DN80. Delo zajema izkop jarka za polaganje cevi, zasip in uvlačenje signalnega mehko žičenega kabla (1 kabel 2x1mm2) od mesta za krmilno omarico do vsakega oljnega lovilca (3 kom)</t>
  </si>
  <si>
    <t>2.3.27</t>
  </si>
  <si>
    <t>Dobava in vgradnja tipskega usedalnika grobih nečistoč (suhi sistem oljne jame). Uporabni volumen 8000 L, usedalnik ima dotok DN 150, notranjost usedalnika je prirejena za uporabo kot zbiralnik olja v primeru izpusta hladilnega olja iz transformatorjev. Notranjost zbiralnika olja mora biti premazana z vodotesnim in na mineralna olj odpornim epoksidnim premazom. Dotok in iztok mora imeti vgrajeno labirintno ustnično tesnilo za priključitev povezovalne cevi. Spoj med krovno ploščo in telesom zbiralnika olj mora zagotavljati vodotesnost. Z armiranobetonsko krovno ploščo, z litoželeznim pokrovom D 400 kN. Tipski statični preizkus mora ustrezati obremenitvi SLW60. Z vsemi pomožnimi deli in transporti ( za raztovor in montažo je potrebno avtodvigalo ). Tip kot npr. Usedalnik SF 8000, DN150. Kompletno s potrebno talno in vrhnjo AB ploščo (3.60 x 7,00 m x 0,30 cm - glej risbo suha oljna jama) vključno z dobavo in montažo LTŽ pokrovov nosilnosti 400 kN (vgradnja v asfalt) - po detajlu dobavitelja mora lovilec olja ustrezati zahtevam SIST EN 858-1.</t>
  </si>
  <si>
    <t>2.3.28</t>
  </si>
  <si>
    <t>Dobava in izdelava dveh AB plošč dim. 3,6 m x 7,0 m, deb. 30 cm, beton C30/37 XC4+XS1+XF1 Cl 0,2 Dmax 16 S4 PV-II, na podložni beton C12/15 X0 Cl 0,1 Dmax 16 S1, deb. 10 cm, vključno z vsemi opažnimi, betonskimi deli in S500 B armaturo (80 kg/m3). V zgornji plošči predvideni dve odprtini za revizijske pokrove. Plošča pod in nad suho oljno jamo.</t>
  </si>
  <si>
    <t>2.3.29</t>
  </si>
  <si>
    <t>Dobava Alarmne naprave skupaj s senzorjem detekcije tekočin, vključno z montažo senzorjev v oljno jamo in lovilec olj ter spoj na kabel 2x1 mm2 mehko žičen, kateri je napeljan od kontrolne omarice do oljne jame ter vezava in priklop na krmilno enoto (DIN-rail) (brez priklopa na napajanje)</t>
  </si>
  <si>
    <t>2.3.30</t>
  </si>
  <si>
    <t>Dobava in polaganje zaščitne cevi za kabel od nadzornega objekta do oljnih jam PEHD preseka DN80. Delo zajema izkop jarka za polaganje cevi, zasip in uvlačenje signalnega mehko žičenega kabla (1 kabel 2x1mm2) od mesta za krmilno omarico do vsake oljne jame (2 kom)</t>
  </si>
  <si>
    <t>2.3.31</t>
  </si>
  <si>
    <t>Pregled in čiščenje kanalizacijskega sistema pred izvedbo tlačnega preizkusa.</t>
  </si>
  <si>
    <t>2.3.32</t>
  </si>
  <si>
    <t>Tlačni preizkus vodotesnosti položenih kanalizacijskih cevi po navodilih proizvajalca in upravljalca. Izdelava zapisnika o tlačnem preizkusu. Tlačni preizkus se izvede skladno s standardom.</t>
  </si>
  <si>
    <t>2.3.33</t>
  </si>
  <si>
    <t>Dobava, montaža in polaganje PVC cevi za izvedbo interne kanalizacije, vključno s stikovanjem s tesnilno gumo, dobavo in montažo vseh fazonskih komadov. Interna kanalizacija.</t>
  </si>
  <si>
    <t>~ UKC PVC DN 110 SN8, vključno z izdelavo peščene posteljice v deb. 10 cm ter obsipom. 
Od sanitarij do obstoječe cevi v zgradbi 20 kV stikališča.</t>
  </si>
  <si>
    <t>SKUPAJ KANALIZACIJA:</t>
  </si>
  <si>
    <t>2.4</t>
  </si>
  <si>
    <t>ZUNANJA RAZSVETLJAVA</t>
  </si>
  <si>
    <t>Kompletna izvedba 5 svetilk s temelji. Upoštevati, da je 1 temelj del temelja opornega zidu.</t>
  </si>
  <si>
    <t>2.4.1</t>
  </si>
  <si>
    <t>Strojni in delno ročni izkop z odlaganjem izkopanega materiala na stran, oziroma nakladanjem na prevozna sredstva in odvoz na stalno deponijo. Upoštevati naklon brežin 1:1, oziroma varovanje izkopanih jarkov in ostala navodila geomehanika:
~ v terenu IV. ktg, globine do 2 m</t>
  </si>
  <si>
    <t>2.4.2</t>
  </si>
  <si>
    <t>2.4.3</t>
  </si>
  <si>
    <t>Prevoz odvečnega izkopanega materiala z vsemi deli na deponiji. Določitev po količinah v raščenem stanju: prevoz na stalno deponijo. Upoštevati vsa potrebna dela in stroške v zvezi z deponiranjem.</t>
  </si>
  <si>
    <t>2.4.4</t>
  </si>
  <si>
    <t>Planiranje in utrjevanje dna izkopa: Kombinirano planiranje in strojno utrjevanje dna izkopa v terenu IV. kategorije s točnostjo +1,00 cm s minimalnim izmetom ali dosipom ter premetom odvečnega materiala.</t>
  </si>
  <si>
    <t>2.4.5</t>
  </si>
  <si>
    <t>2.4.6</t>
  </si>
  <si>
    <t>Dobava in izdelava plasti v naslednji sestavi, vključno z razgrinjanjem, utrjevanjem in valjanjem.
Površina se utrdi z minimalnim 30 cm nasutjem.
Zgoščenost materiala 98 % po standardnem Proctorjevem postopku; v plasteh (20 - 30 cm). Utrditev tampona na končni višini platoja znaša Ev2 &gt;= 60 MPa.
Sestava 1. in 2.:</t>
  </si>
  <si>
    <t xml:space="preserve">~ 1. greda (karbonatni drobljenec - prevladujoča apnenčasta struktura - standard TSC 06.100:2003 (zmrzlinsko odporni material) - granulacija spodnjih slojev 32 / 125 oz. 32 / 64 mm (greda), delež glin do 10 %, v debelini 30 cm. </t>
  </si>
  <si>
    <t>~ 2. stabilizacijska / tamponska plast, granulacija plasti 16/32 mm, dopustni delež meljno - peščenih glin do 15 %, v debelini 10 cm</t>
  </si>
  <si>
    <t>2.4.7</t>
  </si>
  <si>
    <t>Dobava in vgradnja:</t>
  </si>
  <si>
    <t>~ podložni beton C12/15 X0 Cl 0,1 Dmax 16 S1, deb. 10 cm</t>
  </si>
  <si>
    <t>~ konstrukcijski beton C30/37 XC4+XS1+XF1 Cl 0,2 Dmax 16 S4 PV-II: temelj dim. 80 x 80 x 125 cm. Vključno z jeklenimi sidri z navoji za montažo z AKZ zaščito.</t>
  </si>
  <si>
    <t>~ armatura S500 B</t>
  </si>
  <si>
    <t>~ dodatek za varjenje armature zaradi ozemljitev (cca. 30%). Prekrivanje armature 5 cm.</t>
  </si>
  <si>
    <t>e.</t>
  </si>
  <si>
    <t>~ opaž temelja; opaženje in razopaženje, nad terenom vidni beton razred VB3, vključno z namestitvijo trikotnih letev 15 mm za vidne betone.</t>
  </si>
  <si>
    <t>f.</t>
  </si>
  <si>
    <t>~ zagladitev zgornje površine temeljev v naklonu proti robu, brušenje, negovanje in zaščita površin.</t>
  </si>
  <si>
    <t>g.</t>
  </si>
  <si>
    <t>~ sidrna plošča INOX 300 x 300 x 15 mm, DIN 1.4404, s sidri</t>
  </si>
  <si>
    <t>h.</t>
  </si>
  <si>
    <t>~ dobava in polaganje PEHD kabelskih cevi 1x DN 50 mm, obbetonirano s črpnim betonom C30/37 XC4+XS1+XF1 Cl 0,2 Dmax16 S4, presek dim. 20/20 cm, vključno z opažnimi deli, planiranjem, utrjevanjem in podložnim betonom C12/15 X0 Cl 0,1 Dmax 16 S1, deb. 5 cm. Za kabelsko povezavo zunanje razsvetljave. Vključno s polaganjem v temelj in tesnjenjem. Vključno s opozorilnim trakom na globini 40 cm. Po položitvi cevi, izvajalec gradbenih elektroinštalacij (drug razpis) med kandelabri položi ozemljitveno vrv Cu 120 mm2 in jo priključil na kandelabre.</t>
  </si>
  <si>
    <t>i.</t>
  </si>
  <si>
    <t>~ obbetoniranje spoja temelj droga za razsvetljavo in cevi, povezavo izvesti s posebnimi reducirnimi kosi za prehod kablov na temelj, vključno s podlivanjem sidrne plošče</t>
  </si>
  <si>
    <t>2.4.8</t>
  </si>
  <si>
    <t xml:space="preserve">Dobava in montaža tipskega jeklenega droga za ulično svetilko višine 6,0 m, debelina cinka je minimalno 100 μm, vključno s statičnim izračunom in atestno dokumentacijo. Z vsem pritrdilnim in pomožnim materialom. Vključno z dobavo in montažo LED svetilke moči 30 W (npr. US30LED), življenjska doba žarnice E40 je 50.000 ur. </t>
  </si>
  <si>
    <t>SKUPAJ ZUNANJA RAZSVETLJAVA:</t>
  </si>
  <si>
    <t>2.5</t>
  </si>
  <si>
    <t>OGRAJA</t>
  </si>
  <si>
    <t>Kompletna izvedba žične ograje s temelji:</t>
  </si>
  <si>
    <t>2.5.1</t>
  </si>
  <si>
    <t>Kompletna izvedba za žično ograjo, ograjo z drsnimi vrati, osebnimi enokrilnimi in dvokrilnimi vrati.
Žična ograja (brez vrat) je dolžine 60 m. Ostali del žične ograje je zajet v poglavju 2.9. Oporni zid z ograjo.
Količine za: prefabricirane tipske temelje (30 kom.), temelje vseh vrat (4 kom.).
Način temeljenja lahko predlaga tudi dobavitelj ograje, vendar mora dokazati stabilnost!</t>
  </si>
  <si>
    <t>2.5.2</t>
  </si>
  <si>
    <t>2.5.3</t>
  </si>
  <si>
    <t>2.5.4</t>
  </si>
  <si>
    <t>~ 1. greda (karbonatni drobljenec - prevladujoča apnenčasta struktura - standard TSC 06.100:2003 (zmrzlinsko odporni material) - granulacija spodnjih slojev 32 / 125 oz. 32 / 64 mm (greda), delež glin do 10 %, v debelini 30 cm</t>
  </si>
  <si>
    <t>2.5.5</t>
  </si>
  <si>
    <t>Strojno zasipavanje z izkopanim materialom s stalne gradbiščne deponije s komprimiranjem v slojih po 20 cm; iz izkopnega materiala se odstrani vse skale večje od fi 15 cm. Utrjenost mora doseči 95% trdnosti po standardnem Proctorjevem postopku, z utrjevanjem po plasteh v slojih po 15 cm do predpisane zbitosti, predvidoma Mv= 60 MPa. Utrjevanje z vibracijsko ploščo ali vibrovaljarjem. Stopnjo utrjenosti preveriti v statičnem izračunu ali v geomehanskem poročilu. Vključno z nakladanjem in prevozom s stalne deponije.</t>
  </si>
  <si>
    <t>2.5.6</t>
  </si>
  <si>
    <t>~ dobava in vgradnja prefabriciranih tipskih AB temeljev dim. 40 x 40 x 70 cm (npr. Pučko), vključno z betoniranjem po vstavitvi stebričkov žične ograje</t>
  </si>
  <si>
    <t>~ izvedba AB temelja dim. 215 x 65 x 80 cm, vključno z betonskimi deli (beton C30/37 XC4+XS1+XF1 Cl 0,2 Dmax 16 S4 PV-II), opažnimi deli in armaturo. Vključno z jeklenimi sidri z navoji za montažo z AKZ zaščito. Vključno z vstavitvijo cevi za kable. Temelj drsnih vrat.</t>
  </si>
  <si>
    <t>~ izvedba AB temelja dim. 60 x 60 x 80 cm, vključno z betonskimi deli (beton C30/37 XC4+XS1+XF1 Cl 0,2 Dmax 16 S4 PV-II), opažnimi deli in armaturo. Vključno z jeklenimi sidri z navoji za montažo z AKZ zaščito. Vključno z vstavitvijo cevi za kable. Temelja enokrilnih vrat za osebni prehod in dvokrilnih vrat.</t>
  </si>
  <si>
    <t>2.5.7</t>
  </si>
  <si>
    <t>Dobava in montaža tipske ograje z žičnimi paneli, dolžina panela 2500 mm, višina panela 2030 mm, oblika 3D, prerer žice 5/5 mm (V/H), prašno barvana vroče cinkana jeklena žica, velikost okenc 50 x 198 mm, barva temno zelena - RAL 6005 (npr. Ograje Kočevar d.o.o., 3D 5/5), stebrički profil 40/60 mm (npr. Ograje Kočevar, H), višina stebrička h=2030 mm, medosna razdalja med stebrički 2520 mm, sidranje ograjnih stebričkov v AB temelje s pocinkanimi sidri, z vsem pocinskanim pritrdilnim in pomožnim materialom.</t>
  </si>
  <si>
    <t>2.5.8</t>
  </si>
  <si>
    <t>Montažni prefabricirani armiranobetonski ograjni parapetni plohi dim. 245 x 5 x 25 cm (npr. Pučko), fiksirani v betonski temelj. Podana je skupna dolžina vseh plohov.</t>
  </si>
  <si>
    <t>2.5.9</t>
  </si>
  <si>
    <t>Dobava in montaža kovinskih samonosnih drsnih ograjnih vrat na motorni pogon z daljinskim odpiranjem, širina vrat 800 cm in višine 203 cm, barva temno zelena - RAL 6005, skupaj z vsem pritrdilnim materialom. Prašno barvana vroče cinkana jeklena žica, število ojačitev 2, premer žice 5 mm, velikost okenc 198 x 50 mm. Vrata morajo imeti potreben prostor za odpiranje. Vrata izdelati po tipskih detajlih izbranega proizvajalca. Izvajalec mora izdelati podrobnejše risbe vrat s predvidenim krmiljenjem, opremo in okovjem. Pred izdelavo vrat in ograje rešitve potrdi naročnik. Vhod 1a.</t>
  </si>
  <si>
    <t>2.5.10</t>
  </si>
  <si>
    <t>Dobava in montaža kovinskih enokrilnih ograjnih vrat za osebni prehod (kot npr. ograje Kočevar, Panel 3D 5/5), z električno ključavnico, širina vrat 110 cm (osna razdalja med stebrički) in višine 203 cm, barva temno zelena - RAL 6005, skupaj z vsem pritrdilnim materialom. Prašno barvana vroče cinkana jeklena žica, število ojačitev 2, premer žice 5 mm, velikost okenc 198 x 50 mm, s stebrički profil 60×40 mm. Vrata izdelati po tipskih detajlih izbranega proizvajalca. Vključno z opremo: el. povezave, domofon, videonadzor. Izvajalec mora izdelati podrobnejše risbe vrat s predvidenim krmiljenjem, opremo in okovjem ter avtomatskim zapiralom. Pred izdelavo vrat in ograje rešitve potrdi naročnik. Vhod 1b.</t>
  </si>
  <si>
    <t>2.5.11</t>
  </si>
  <si>
    <t>Dobava in montaža kovinskih dvokrilnih ograjnih vrat (kot npr. ograje Kočevar, Panel 3D 5/5), širina vrat 360 cm (osna razdalja med stebrički) in višine 203 cm, barva temno zelena - RAL 6005, skupaj z vsem pritrdilnim materialom. Prašno barvana vroče cinkana jeklena žica, število ojačitev 2, premer žice 5 mm, velikost okenc 198 x 50 mm, s stebrički profil 60×40 mm. Izvajalec mora izdelati podrobnejše risbe vrat, opremo in okovjem. Skupaj z zatičem na stranskem krilu. Pred izdelavo vrat in ograje rešitve potrdi naročnik. Vhod 2.</t>
  </si>
  <si>
    <t>2.6</t>
  </si>
  <si>
    <t>OPORNI ZID Z OGRAJO</t>
  </si>
  <si>
    <t xml:space="preserve">Kratek opis:
AB oporni zid dolžine 71 m in višina do 1,9 m s temeljem, vključno z žično ograjo. Oporni zid se nahaja ob severozahodni, jugozahodni, jugovzhodni strani RTP območja. </t>
  </si>
  <si>
    <t>Kompletna izdelava opornega zidu z žično ograjo:</t>
  </si>
  <si>
    <t>2.6.1</t>
  </si>
  <si>
    <t>Strojni in delno ročni izkop z nakladanjem na prevozna sredstva in odvoz na stalno deponijo. Upoštevati naklon brežin 1:1, oziroma varovanje izkopanih jarkov in ostala navodila geomehanika:</t>
  </si>
  <si>
    <t>~ v terenu IV. ktg, globine do 2 m</t>
  </si>
  <si>
    <t>~ v terenu IV. ktg, globine nad 2 m</t>
  </si>
  <si>
    <t>2.6.2</t>
  </si>
  <si>
    <t>2.6.3</t>
  </si>
  <si>
    <t>2.6.4</t>
  </si>
  <si>
    <t>Dobava in izdelava plasti v naslednji sestavi, vključno z razgrinjanjem, utrjevanjem in valjanjem.
Površina se utrdi z minimalnim 30 cm nasutjem.
Zgoščenost materiala 98 % po standardnem Proctorjevem postopku; v plasteh (20 - 30 cm). Utrditev tampona na končni višini platoja znaša Ev2 &gt;= 60 MPa.
Sestava:</t>
  </si>
  <si>
    <t>~ greda (karbonatni drobljenec - prevladujoča apnenčasta struktura - standard TSC 06.100:2003 (zmrzlinsko odporni material) - granulacija spodnjih slojev 32 / 125 oz. 32 / 64 mm (greda), delež glin do 10 %, v debelini 30 cm</t>
  </si>
  <si>
    <t>2.6.5</t>
  </si>
  <si>
    <t>2.6.6</t>
  </si>
  <si>
    <t>~ konstrukcijski beton C30/37 XC4+XS1+XF1 Cl 0,2 Dmax 16 S4 PV-II</t>
  </si>
  <si>
    <t>~ opaž temeljev; opaženje in razopaženje za pripravo za kamnito oblogo</t>
  </si>
  <si>
    <t>2.6.7</t>
  </si>
  <si>
    <t>Izvedba dilatacije na podpornem zidu z opisom postopka in materialov. V priponki predlog izvedbe z opisom
materialov. Rege globine 15 mm in širine 10 mm.
Sistem tesnjenja po vrstnem redu:
~ Zaščita robov reg dilatacije s zaščitnim trakom (krep trak)
~ Nanos prednamaza TKK Primer KVZ-16, poraba ca 7-10 g na tm
~ Vstavitev podložne vrvice Tekatrak Back filing na ustrezno globino – dimenzioniranje rege 2:1
do 1:1
~ Nanos tesnilne mase Tekaflex MS-40; dobavljiva v različnih barvah, osnovne so bela, siva
7030, črna</t>
  </si>
  <si>
    <t>2.6.8</t>
  </si>
  <si>
    <t>Dobava, priprava in zidanje kamnite obloge zidu z naravnim dekorativnim kamnom v cementnem lepilu s klasifikacijo C2T-S1 po EN-12004, dim. obloge 10-30 cm, debeline 6 cm, v naravnem sivorjavem odtenku. Vključno z izdelavo fug širine 1 cm. Cenovni razred kamnite obloge 50 - 60 EUR/m2.</t>
  </si>
  <si>
    <t>2.6.9</t>
  </si>
  <si>
    <t>Dobava in montaža tipske ograje z žičnimi paneli dim. 2050 x 2030 mm (DxV), vroče cinkana jeklena žica, barvana s prašnim poliestrskim lakom, premer žice 5 mm, velikost okenc 50 x 198 mm, barva temno zelena - RAL 6005, stebrički 40/60 mm, h=2030 mm (npr. kot Ograje Kočevar d.o.o.), s sidranjem ograjnih stebričkov v AB temelje in vsem pritrdilnim in pomožnim materialom.</t>
  </si>
  <si>
    <t>SKUPAJ OPORNI ZID Z OGRAJO:</t>
  </si>
  <si>
    <t>2.7</t>
  </si>
  <si>
    <t>OZEMLJITVE</t>
  </si>
  <si>
    <t>OPOMBA: Morebitne začasne deponije izkopanega materiala in potrebne transporte v zvezi s tem je potrebno upoštevati v enotnih cenah. Način dela prilagoditi možnostim na licu mesta (delno ročni, delni strojni izkop). Izkop na območju RTP 110/20 kV stikališča. Navedene so samo količine izkopov na platoju. Ostale količine so zajete pri zemeljskih delih opornega zidu in zgradbe. 
Polaganje ozemljitvene mreže izvajati skupaj z izvedbo temeljev in v vseh fazah izvedbe del.
Opomba: Izvedbo del je potrebno uskladiti z izvajalcem elektrogradbenih inštalacij, ki bo dobavljal opremo in izvajal dela na področju temeljnih, potencialnih in tehnoloških ozemljitev po projektu elektrogradbenih inštalacij.</t>
  </si>
  <si>
    <t>2.7.1</t>
  </si>
  <si>
    <t>Izkop jarka za ozemljitve v terenu IV. ktg. v globini 0,6 do 0,8 m z odmetom materiala na stran vsaj 1 m od roba izkopa.</t>
  </si>
  <si>
    <t>2.7.2</t>
  </si>
  <si>
    <t>Zasipanje jarkov za ozemljitve z materialom od izkopa z nabijanjem v plasteh po 20 cm do prirodne zbitosti v ilovnato posteljico.</t>
  </si>
  <si>
    <t>SKUPAJ OZEMLJITVE:</t>
  </si>
  <si>
    <t>2.8</t>
  </si>
  <si>
    <t>TEMELJI IN DROGOVI ZA ZASTAVE</t>
  </si>
  <si>
    <t xml:space="preserve">Kompletna izdelava 3 drogov za zastavo s temelji: </t>
  </si>
  <si>
    <t>2.8.1</t>
  </si>
  <si>
    <t>2.8.2</t>
  </si>
  <si>
    <t>2.8.3</t>
  </si>
  <si>
    <t>2.8.4</t>
  </si>
  <si>
    <t>2.8.5</t>
  </si>
  <si>
    <t>2.8.6</t>
  </si>
  <si>
    <t>~ konstrukcijski beton C30/37 XC4+XS1+XF1 Cl 0,2 Dmax 16 S4 PV-II: temelji dim. 80 x 80 x 125 cm. Vključno z jeklenimi sidri z navoji za montažo z AKZ zaščito.</t>
  </si>
  <si>
    <t xml:space="preserve">~ dodatek za varjenje armature zaradi ozemljitev (cca. 30%). Prekrivanje armature 5 cm. </t>
  </si>
  <si>
    <t>~ zagladitev zgornje površine temeljev v naklonu proti robu, brušenje, negovanje in zaščita površin</t>
  </si>
  <si>
    <t>2.8.7</t>
  </si>
  <si>
    <t>Dobava in montaža tipskega jeklenega droga za zastave višine do 7,0 m, iz okrogle cevi, vroče cinkan in prašno barvan. Premer aluminijastega droga je 80 mm, dolžine 6 m. Vsebuje vrtljivo prečko za 360°.Osnovni drog in prečka sta obarvana v RALU 9010 (bela barva). Dvigovanje in spuščanje zastave s pomočjo notranje vrvi. Dostop do vrvi je zaščiten z okrasnim pokrovčkom. V osnovnem kompletu je sidro, prekucni nosilec, alu drog, vrtljiva prečka, okrasni zaključek in ves pritrdilen material za vpetje zastav in utež za zastavo (npr. Atelje Hertiš). Priporočena dimenzija zastav je 100x300 cm. Zastava ni zajeta v ceni. Drog privijačen v AB temelj, z vsem pritrdilnim materialom ter z opremo za dviganje zastav.</t>
  </si>
  <si>
    <t>SKUPAJ DROGOVI ZA ZASTAVE:</t>
  </si>
  <si>
    <t>2.9</t>
  </si>
  <si>
    <t>TEMELJ DVEH STEBRIČKOV ZA KONTROLO PRISTOPA</t>
  </si>
  <si>
    <t xml:space="preserve">Kompletna doba 2 temeljev za kontrolo pristopa: </t>
  </si>
  <si>
    <t>2.9.1</t>
  </si>
  <si>
    <t>Strojni in delno ročni izkop z nakladanjem na prevozna sredstva in odvoz na stalno deponijo. Upoštevati naklon brežin 1:1, oziroma varovanje izkopanih jarkov in ostala navodila geomehanika:
~ v terenu IV. ktg, globine do 2 m</t>
  </si>
  <si>
    <t>2.9.2</t>
  </si>
  <si>
    <t>2.9.3</t>
  </si>
  <si>
    <t>2.9.4</t>
  </si>
  <si>
    <t>2.9.5</t>
  </si>
  <si>
    <t>2.9.6</t>
  </si>
  <si>
    <t>2.9.7</t>
  </si>
  <si>
    <t>~ tipski AB temelj dim. 40 x 40 x 70 cm, teža: 500 kg (npr. Pučko). Vključno z jeklenimi sidri z navoji za montažo z AKZ zaščito.</t>
  </si>
  <si>
    <t>2.9.8</t>
  </si>
  <si>
    <t xml:space="preserve">Dobava in polaganje PEHD kabelskih cevi 1x DN 90 mm, obbetonirano s črpnim betonom C30/37 XC4+XS1+XF1 Cl 0,2 Dmax16 S4, presek dim. 30/30 cm, vključno z opažnimi deli, planiranjem, utrjevanjem in podložnim betonom C12/15 X0 Cl 0,1 Dmax 16 S1, deb. 5 cm. Za kabelsko povezavo ograjnih vrat. Vključno s polaganjem v temelj in bližnji EKJ ter tesnjenjem. Vključno s opozorilnim trakom na globini 40 cm. </t>
  </si>
  <si>
    <t>2.9.9</t>
  </si>
  <si>
    <t>Dobava in montaža poliestrskega revizijskega jaška (npr. tip Regeneracija), s priključnimi cevmi in ponikanjem. Vključeno je zasipavanje jaška s peščenim materialom iz izkopa.</t>
  </si>
  <si>
    <t>~ Premer DN 600 - globina do 1,0 m</t>
  </si>
  <si>
    <t>2.9.10</t>
  </si>
  <si>
    <t>Dobava in montaža LTŽ pokrova kanalizacijskega jaška vključno z okvirjem pokrova jaška in razbremenilno AB ploščo.</t>
  </si>
  <si>
    <t>SKUPAJ TEMELJ DVEH STEBRIČKOV Z OPREMO KONTROLE PRISTOPA:</t>
  </si>
  <si>
    <t>3.1</t>
  </si>
  <si>
    <t>ZGRADBA - GRADBENA DELA</t>
  </si>
  <si>
    <t xml:space="preserve">Upoštevati izvedbo vseh del v RTP območju pod napetostjo 20 kV stikališča. Izvajalec je dolžan zagotoviti ustrezno zaščito, kar je upoštevano v ponudbenih cenah.
Temelji transformatorjev in kinet niso zajeti v tem delu popisa. </t>
  </si>
  <si>
    <t>GRADBENA DELA</t>
  </si>
  <si>
    <t>3.1.1</t>
  </si>
  <si>
    <t>3.1.1.1</t>
  </si>
  <si>
    <t xml:space="preserve">Strojni izkop humusne plasti v debelini 20-30 cm in odvoz na stalno deponijo. Material (preperina) se uporabi za humusiranje okolice po opravljenih delih. </t>
  </si>
  <si>
    <t>3.1.1.2</t>
  </si>
  <si>
    <t xml:space="preserve">Vgradnja, izvlačenje in vzdrževanje začasne zagatne stene dolžine 6 m in širine 600 mm, debelina zadnje stranice 10,0 mm, debelina stranskih stranic 9,0 mm (kot npr. Larssen 604n, tip S235), za varovanje gradbene jame. Montaža zagatnih sten s strojem (npr. ABI ZR28T z zabijalno garnituro MUELLER MSM 12000 T - 42 t) in vibratorskim zabijalom z regulacijo moči (npr. Mueller MS-5 HFBV3 - 1,2t). Zagatna stena mora omogočati izvedbo gradbene jame v območju, kjer je zaradi bližine parcelne meje onemogočen široki izkop. Zagatna stena je v zgornji coni razprta s stojkami min. nosilnosti 35 kN na medsebojni razdalji 2.5 m in linijskimi gredami dim. 20/22cm - kvaliteta lesa C24. Zabijanje zagatnic v IV. kategoriji tal do globine 6,00 m. V ceni po m2 je upoštevana odstranitev zagatnic po izvedbi. Podana je dolžina oboda gradbene jame. </t>
  </si>
  <si>
    <t>3.1.1.3</t>
  </si>
  <si>
    <t>Strojni izkop z nakladanjem na prevozna sredstva in odvoz na stalno deponijo. Upoštevati naklon brežin 1:1, oziroma varovanje izkopanih jarkov in ostala navodila geomehanika:</t>
  </si>
  <si>
    <t>~ v terenu IV. ktg, globine od 2 m do 3 m</t>
  </si>
  <si>
    <t>~ v terenu V. ktg, globine nad 3 m</t>
  </si>
  <si>
    <t>3.1.1.4</t>
  </si>
  <si>
    <t>3.1.1.5</t>
  </si>
  <si>
    <t>Dobava in izdelava plasti v naslednji sestavi, vključno z razgrinjanjem, utrjevanjem in valjanjem.
Utrditev pod temelji zgradbe:
Zgoščenost materiala 98 % po standardnem Proctorjevem postopku; v plasteh (20 - 30 cm). Utrditev tampona na končni višini platoja znaša Ev2 &gt;= 80 MPa.
Sestava:</t>
  </si>
  <si>
    <t>~ greda (karbonatni drobljenec - prevladujoča apnenčasta struktura - standard TSC 06.100:2003 (zmrzlinsko odporni material) - granulacija spodnjih slojev 32 / 125 oz. 32 / 64 mm (greda), delež glin do 10 %, v debelini 60 cm</t>
  </si>
  <si>
    <t>3.1.1.6</t>
  </si>
  <si>
    <t>Strojno zasipavanje z izkopanim materialom s stalne gradbiščne deponije s komprimiranjem v slojih po 20 cm; iz izkopnega materiala se odstrani vse skale večje od fi 15 cm. Utrjenost mora doseči 95% trdnosti po standardnem Proctorjevem postopku, z utrjevanjem po plasteh v slojih po 15 cm do predpisane zbitosti, predvidoma Mv= 80 MPa. Utrjevanje z vibracijsko ploščo ali vibrovaljarjem. Stopnjo utrjenosti preveriti v statičnem izračunu ali v geomehanskem poročilu. Vključno z nakladanjem in prevozom s stalne deponije.</t>
  </si>
  <si>
    <t>3.1.2</t>
  </si>
  <si>
    <t>3.1.2.1</t>
  </si>
  <si>
    <t>Dobava, izdelava in montaža armature iz betonskega jekla. Vse razen podbetoniranja.</t>
  </si>
  <si>
    <t>~ armaturne mreže S500 B</t>
  </si>
  <si>
    <t>3.1.2.2</t>
  </si>
  <si>
    <t>Dodatek za varjenje armature zaradi ozemljitev (cca. 30%). Prekrivanje armature 5 cm.</t>
  </si>
  <si>
    <t>3.1.2.3</t>
  </si>
  <si>
    <t xml:space="preserve">Dobava in vgradnja toplotno izolacijskih elementov (npr. Isokorb, T Tip DL-MM4_REI120-CV1-H280-1.0) po celotni višini. Vsi elementi vgrajeni skupaj. </t>
  </si>
  <si>
    <t>3.1.2.4</t>
  </si>
  <si>
    <t>Dobava in ročno vgrajevanje betona v nearmirane konstrukcije preseka do 0.10 m3/m2/m;
~ podložni beton C12/15 X0 Cl 0,1 Dmax 16 S1, deb. 10 cm, pod temelji, temeljno ploščo in tlaki. 
Podložni beton.</t>
  </si>
  <si>
    <t>3.1.2.5</t>
  </si>
  <si>
    <t>Dobava in strojno vgrajevanje betona s tlačenjem s pervibratorjem na električni pogon v armirane konstrukcije preseka nad 0.30 m3/m2-m; z vsemi pomožnimi deli in prenosi do mesta vgraditve (temelji).
~ vodoodporni beton C30/37 XC4+XS1+XF1 Cl 0,2 Dmax 16 S4 PV-II: 
Pasovni temelji požarnih zidov ob TR 1 in TR 2.</t>
  </si>
  <si>
    <t>3.1.2.6</t>
  </si>
  <si>
    <t>Dobava in strojno vgrajevanje betona s tlačenjem s pervibratorjem na električni pogon v armirane konstrukcije preseka nad 0.30 m3/m2-m; z vsemi pomožnimi deli in prenosi do mesta vgraditve (temelji).
~ vodoodporni beton (bela kad) C30/37 XC4+XS1+XF1 Cl 0,2 Dmax 16 S4 PV-II:
Temeljne plošče.</t>
  </si>
  <si>
    <t>3.1.2.7</t>
  </si>
  <si>
    <t>Dobava in strojno vgrajevanje betona s tlačenjem s pervibratorjem na električni pogon v armirane konstrukcije preseka od 0.20-0.30 m3/m2-m; z vsemi pomožnimi deli in prenosi do mesta vgraditve.
~ vodoodporni beton (bela kad) C30/37 XC4+XS1+XF1 Cl 0,2 Dmax 16 S4 PV-II:
Stene v kleti (pod koto +0,25 m).</t>
  </si>
  <si>
    <t>3.1.2.8</t>
  </si>
  <si>
    <t>Dobava in strojno vgrajevanje betona s tlačenjem s pervibratorjem na električni pogon v armirane konstrukcije preseka od 0.20-0.30 m3/m2-m; z vsemi pomožnimi deli in prenosi do mesta vgraditve.
~ beton C30/37 XC3+XS1 Cl 0,2 Dmax 16 S3 PV-I: 
Stene nad kletjo (nad koto +0,25 m).</t>
  </si>
  <si>
    <t>3.1.2.9</t>
  </si>
  <si>
    <t>Dobava in strojno vgrajevanje betona s tlačenjem s pervibratorjem na električni pogon v armirane konstrukcije preseka od 0.15-0.25 m3/m2-m; z vsemi pomožnimi deli in prenosi do mesta vgraditve. 
Beton C30/37 XC3+XS1 Cl 0,2 Dmax 16 S3 PV-I, (nad koto +0,25 m): 
~ plošče objekta nad kletjo in pritličjem
~ poševna plošča strehe
~ odprtina kabelskega jaška v zgrabi 20 kV stikališča</t>
  </si>
  <si>
    <t>3.1.2.10</t>
  </si>
  <si>
    <t>Dobava in strojno vgrajevanje betona s tlačenjem s pervibratorjem na električni pogon v armirane konstrukcije preseka od 0.30 m3/m2-m; z vsemi pomožnimi deli in prenosi do mesta vgraditve.
Beton C30/37 XC4+XS1+XF1 Cl 0,2 Dmax 16 S4 PV-II, (pod koto +0,25 m): 
~ stebri</t>
  </si>
  <si>
    <t>3.1.2.11</t>
  </si>
  <si>
    <t>Dobava in strojno vgrajevanje betona s tlačenjem s pervibratorjem na električni pogon v armirane konstrukcije preseka od 0.12-0.20 m3/m2-m; z vsemi pomožnimi deli in prenosi do mesta vgraditve.
~ vodoodporni beton C30/37 XC4+XS1+XF1 Cl 0,2 Dmax 16 S4 PV-II, (pod koto +0,25 m): 
Stopnice s podestom.</t>
  </si>
  <si>
    <t>3.1.2.12</t>
  </si>
  <si>
    <t>Izvedba AB preklad, vključno z betonskimi deli (beton C30/37 XC3+XS1 Cl 0,2 Dmax 16 S3 PV-I), opažnimi deli in armaturo.</t>
  </si>
  <si>
    <t>~ preklade dimenzij 30 x 10 x do 200 cm.</t>
  </si>
  <si>
    <t>3.1.2.13</t>
  </si>
  <si>
    <t xml:space="preserve">Dobava in izdelava izravnalne mase debeline do 1 cm, z zgladitvijo. Na mestu odstranitve obstoječe sekundarne kritne zgradbe 20 kV stikališča in nove kritine zgradbe 110 kV stikališča. </t>
  </si>
  <si>
    <t>3.1.2.14</t>
  </si>
  <si>
    <t>Dobava in izdelava premaza s sredstvom za boljšo sprijemljivost novega in obstoječega betona (npr. Cementol, Elastosil)</t>
  </si>
  <si>
    <t>3.1.2.15</t>
  </si>
  <si>
    <t>Kompletna izdelava in dobava arm. betonskega črpalnega jaška (vodoodporni beton C30/37 XC4+XS1+XF1 Cl 0,2 Dmax 16 S4 PV-II) neto dimenzij 60 x 60 cm, globine 1,05 m. deb. dna in sten 20 cm. Vključno z vsemi gradbenimi deli in LTŽ pokrovom. Enojna kanalska rešetka in okvir 600 mm x 600 mm, litoželezna, nodularna izvedba (ductile), nosilnost 400 kN, po standardu EN 124-2 in po detajlu dobavitelja (npr. Livar, art. 707A). Kanalski pokrov ima integrirane kotnike pri tečajih, ki varujejo neželen padec pokrova v jašek pri odpiranju in zapiranju. 
Potopno črpalko za odvodnjavanje iz kabelskega prostora 110 kV stikališča. Črpalka je zajeta v strojnem popisu. Izvedba po principu bele kadi, zajeto v nadaljevanju.
Črpalni jašek v kabelskem prostoru 110 kV stikališča.</t>
  </si>
  <si>
    <t>3.1.2.16</t>
  </si>
  <si>
    <t>Dobava in namestitev PVC folije deb. 0,15 mm (kot npr. PE folija Plasta) in geotekstila natezna trdnost (vzd.) [EN ISO 10319] : 7,5 kN/m, natezna trdnost (preč.) [EN ISO 10319] : 7,5 kN/m, odpornost na prebod (CBR-test) [EN ISO 12236] : 1200 N, vodoprepustnost skozi ravnino (Δh = 50 mm) [EN ISO 11058] : 130 l/m²s (npr. kot TenCate Polyfelt TS 10).
Pokrivanje svežega betona bele kadi v času nege betona.</t>
  </si>
  <si>
    <t>~ PVC folija</t>
  </si>
  <si>
    <t>~ geotekstil</t>
  </si>
  <si>
    <t>3.1.2.17</t>
  </si>
  <si>
    <t xml:space="preserve">Vgradnja tipskih tesnilnih elementov. EMD dobavi tesnilne elemente (vse bo dobavljeno v sklopu elektromontažnih del), izvajalec gradbenih del jih prevzame in vgradi po specifikaciji izdelovalca. </t>
  </si>
  <si>
    <t>IZVEDBA PROTIPOŽARNEGA TESNJENJA: 
Med požarnimi sektorji bodo tesnjene gradbene odprtine za prehod kablov in cevna kabelska kanalizacija med posameznimi prostori. Uporabljeni bodo tipski tesnilni elementi kot je npr. Roxtec ali drugega proizvajalca enakih ali boljših karakteristik. Pri izvajanju gradbenih del je potrebno okvirje za vgradnjo tesnilnih modulov vgraditi v opaže pred betoniranjem.  Vgradnjo okvirja in tesnilnih modulov je potrebno izvajati po navodilih proizvajalca opreme.</t>
  </si>
  <si>
    <t>IZVEDBA VODONEPROPUSTNEGA TESNJENA:
Uvod kablov v 110 kV kabelski prostor bo tesnjen vodonepropustno. Uporabljeni bodo tipski tesnilni elementi kot  je npr. Hauff Technik ali drugega proizvajalca enakih ali boljših karakteristik. Pri izvajanju gradbenih del je potrebno uvodnice vgraditi v opaže pred betoniranjem. Vgradnjo uvodnic in tesnilnih elementov je potrebno izvajati po navodilih proizvajalca opreme.</t>
  </si>
  <si>
    <t>3.1.3</t>
  </si>
  <si>
    <t>ZIDARSKA DELA</t>
  </si>
  <si>
    <t>Zidarska dela splošno:
Vsi zidovi morajo biti sezidani popolnoma ravno in navpično. Stiki morajo biti popolnoma zaliti z malto in horizontalni stiki ne smejo biti debelejši kot 15 mm, odvečna malta iz stikov se mora odstraniti.
Vse ometane površine morajo biti popolnoma ravne z enakomerno površinsko obdelavo.
Premični delovni odri in pomožna dela so vključeni v ceno enote izdelka.</t>
  </si>
  <si>
    <t>3.1.3.1</t>
  </si>
  <si>
    <t>Zidanje opečnih sten v podaljšani malti 1:3:9, po SIST EN 13279-1. Zidovi iz:</t>
  </si>
  <si>
    <t>~ opeke dim. 29 x 19 x 19 cm iz votle opeke v apneno-cementni malti (modularni votlak). Po SIST EN 771-1:2011 +A1:2015.</t>
  </si>
  <si>
    <t>3.1.3.2</t>
  </si>
  <si>
    <t xml:space="preserve">Izdelava strojnega notranjega ometa na stene s fino cementno malto 1:2 debeline do 15 mm, po SIST EN 197-1, SIST EN 413-1, SIST EN 14647, površina zaribana, čiščenje zidnih površin pred pričetkom, pripravljena za slikopleskarsko obdelavo, z vsemi pomožnimi deli in transporti. Določitev površin skladno z normami in predpisi. </t>
  </si>
  <si>
    <t>3.1.3.3</t>
  </si>
  <si>
    <t>Obdelava betonskih stropov in stopniščnih ram z brušenjem opažnih stikov in krpanjem s fino cementno malto 1:2, debeline do 15 mm, po SIST EN 197-1, SIST EN 413-1, SIST EN 14647. Vidne plošče v pritličju.</t>
  </si>
  <si>
    <t>3.1.3.4</t>
  </si>
  <si>
    <t>Kompletna izvedba horizontalne hidroizolacije deb. 3,6 mm v enem sloju (npr. Fragmat, Izoelast P4 plus), vključno s pripravo podlage, hladni prednamaz, varjenje trakov po celotni površini z minimalnim vodotesnim preklopom 10 cm, vsa pomožna dela in zaključki. Vključno z uporabo varilnih trakov (npr. Fragmat, Izoelast P4 plus). Lastnosti: nosilec: poliestrski filc, upogljivost pri: -15° C, odpornost proti tečenju: 100° C, pretržna sila vzdolžno / prečno: &gt;600 N / &gt;550 N, raztezek pri pretrgu: &gt;35 % Trak je z ene strani zaščiten z lahko odstranljivo silikonizirano folijo z druge pa z lahko taljivo folijo. Vse v skladu s SIST EN 13969 (npr. za tip A) in s SIST 1031.
~ elastomerna-bitumenska samolepilna hidroizolacija</t>
  </si>
  <si>
    <t>3.1.3.5</t>
  </si>
  <si>
    <t>Kompletna dobava in izvedba vertikalne hidroizolacije vključno z izdelavo zaokrožnic iz cementne malte po SIST EN 197-1, SIST EN 413-1, SIST EN 14647 med horizontalnimi in vertikalni prehodi, pripravo površin, hladnim prednamazom, varjenjem trakov, vsemi pomožnimi deli in zaključki. Trak se vgrajuje z varjenjem po celotni površini z 10 cm preklopom. V skladu s SIST EN 13707 spodnji sloj ali sloj pod težko zaščito. In s SIST 13969 (npr. za tip A in tip T) ter s SIST 1031. Na betonski površini. 
~ elastomerna-bitumenska hidroizolacija
Zgradba 110 kV stikališča in temelji zgradbe 20 kV stikališča.</t>
  </si>
  <si>
    <t>3.1.3.6</t>
  </si>
  <si>
    <t xml:space="preserve">Dobava in polaganje toplotne izolacije tlakov v naslednji sestavi.
~ 1 sloj PE folije 
~ toplotna izolacija iz ekstrudiranega polistirena, tlačna trdnost deb. 10 cm, 300 kPa, topl. upornost λD ≤ 0,035 W/mK, CE-kodna označba: XPS EN 13164 -T1-CS(10/Y)300-WL(T)0,7-WD(V)2-DS(70,90)-DLT(2)5-CC(2/1,5/50)110- FTCD1, v skladu z SIST EN 13164, (npr. Fragmat XPS 300 GL)
~ elastomerna-bitumenska hidroizolacija SBS (zajeto v drugi postavki)
~ toplotna izolacija iz ekstrudiranega polistirena, tlačna trdnost deb. 10 cm, 300 kPa, topl. upornost λD ≤ 0,035 W/mK, CE-kodna označba: XPS EN 13164 -T1-CS(10/Y)300-WL(T)0,7-WD(V)2-DS(70,90)-DLT(2)5-CC(2/1,5/50)110- FTCD1, v skladu z SIST EN 13164, (npr. Fragmat XPS 300 GL)
Pod tlaki v kleti in pritličju.                  </t>
  </si>
  <si>
    <t>3.1.3.7</t>
  </si>
  <si>
    <t>Kompletna dobava in izvedba delovnih stikov bele kadi. Dobava in vgradnja (na stiku plošča-stena) inox pločevine deb. 2 mm ali (npr. Strato bituflex pločevine) širina 150 mm, z nanosom vgrajena na armaturo min. 3 cm v zaščitni plasti betona ali alternativno nabrekajoči trak na osnovi natrijevega bentonita in sintetičnega kavčuka za tesnjenje stikov v betonu, formuliran tako, da ima zakasnjeno delovanje (npr. Bentorub + 25x20mm) (delovni stik v kletni steni).</t>
  </si>
  <si>
    <t>Bela kad-klet:</t>
  </si>
  <si>
    <t>~ tesnilni trak (npr. Bentorub) - vertikalni stiki stena-stena (kabelski prostor)</t>
  </si>
  <si>
    <t>~ tesnilni trak (npr. Bentorub) - vertikalni stiki stena-stena (stopnišče)</t>
  </si>
  <si>
    <t xml:space="preserve">~ pločevina (npr. Strato bituflex) - horizontalni stiki plošča-stena (kabelski prostor) </t>
  </si>
  <si>
    <t>Stiki lovilne sklede</t>
  </si>
  <si>
    <t xml:space="preserve">~ tesnilni trak (npr. Bentorub) - vertikalni stiki stena-stena </t>
  </si>
  <si>
    <t xml:space="preserve">~ pločevina (npr. Strato bituflex) - horizontalni stiki plošča-stena </t>
  </si>
  <si>
    <t>3.1.3.8</t>
  </si>
  <si>
    <t>Posipanje še nevezanega betona s suho mešanico cementa in mivke 1:2, po SIST EN 197-1, SIST EN 413-1, SIST EN 14647:
~ površina zaribana (površine, ki bodo protiprašno premazane - kabelski prostor, LR prostor, komandni in TK prostor)</t>
  </si>
  <si>
    <t>3.1.3.9</t>
  </si>
  <si>
    <t>Izdelava armiranega betona C30/37 XC4+XS1+XF1 Cl 0,2 Dmax 16 S4 PV-II vključno z armirano zgornjo mrežo Q183, glajenje površin, vključno s predhodnim čiščenjem podlage, robnim trakom debeline 10 mm, izdelavo dilatacij in vsemi pomožnimi deli:
~ arm. debeline 10 cm, AB plošča v pritličju (LR, skladišče in sanitarije).</t>
  </si>
  <si>
    <t>3.1.3.10</t>
  </si>
  <si>
    <t>Gradbena pomoč pri vgraditvi podbojev vrat kompletno z vsemi pomožnimi deli in materialom.</t>
  </si>
  <si>
    <t>~ vrata velikosti do 2 m2</t>
  </si>
  <si>
    <t>~ vrata velikosti 2-4 m2</t>
  </si>
  <si>
    <t>~ vrata velikosti nad 4 m2 - sekcijska vrata dim. 450 x 450 cm</t>
  </si>
  <si>
    <t>3.1.3.11</t>
  </si>
  <si>
    <t>Dobava in montaža podometnih PVC vogalnikov ob oknih in vogalih. Plastičen profil s samolepilnim PE-trakom in trajno pritrjenim steklenim predivom (npr. Röfix PVC-vogalnik). Vključno z rezanjem in ostalimi pomožnimi deli.</t>
  </si>
  <si>
    <t>3.1.3.12</t>
  </si>
  <si>
    <t xml:space="preserve">Vzidava raznih samostojnih sider za ograje, stopnišča, vodila, konzolne nastavke, ipd.… , vgrajevanje z vlaganjem v opaž pred betoniranjem ali zidarska vzidava z epoksidno malto za sidranje armaturnih palic, temperatura delovanja – območje: -40 - 70 °C, skladno z EN 1992-1-1, EN 1992-1-2, EN 1998-1, EN 1992-1-1:2004 in EN 10080:2005 (npr. Hilti, HIT-RE 500 V3). Lepilna masa se prilagodi podlagi: opeka, beton ali drugi gradbeni material. Montaža, katero izvajajo posamezni izvajalci obrtne stroke ni predmet te postavke. </t>
  </si>
  <si>
    <t>~ ograje: sidrne ploščice vel. 10 x 10 cm s sidri, vgrajene v nastopne ploskve notranjih stopnic, enojna sidra teže do 1,5 kg/kos
110 kV stikališče.</t>
  </si>
  <si>
    <t>~ stenski ročaji: sidrne ploščice vel. 10 x 10 cm s sidri, vgrajene v steno stopnišča (za stenski ročaj), enojna sidra teže do 1,5 kg/kos
110 kV stikališče.</t>
  </si>
  <si>
    <t>3.1.3.13</t>
  </si>
  <si>
    <t>Strojno vrtanje in izrezovanje lukenj v AB konstrukcijah deb. do 30 cm za tehnološke odprtine. Armaturne palice v betonu do fi 12 mm.
~ površina do 0,30 m2</t>
  </si>
  <si>
    <t>3.1.3.14</t>
  </si>
  <si>
    <t>Razna gradbena pomoč pri obrtniških in instalacijskih delih, ki se določa po dejansko porabljenem času in materialu po predhodnem dogovoru z vodjo nadzora. Vključeno je tudi sodelovanje pri položitvi energetskih kablov v kabelskem prostoru.
Vsa zidarska dela, potrebna pri izdelavi instalacij so zajeta v instalacijskih delih.</t>
  </si>
  <si>
    <t>~ NK delavec</t>
  </si>
  <si>
    <t>~ VK delavec</t>
  </si>
  <si>
    <t>3.1.3.15</t>
  </si>
  <si>
    <t>Dobava in vzidava kamnite ploščice dim. do 50 x 50 cm z letnico, imenom objekta in investitorja, kompletno z vsemi pomožnimi deli in materialom.</t>
  </si>
  <si>
    <t>3.1.3.16</t>
  </si>
  <si>
    <t>Dobava, izdelava in montaža talnega sifona dim. 300 x 300 x 250 mm z vsemi pomožnimi deli, izdelano po meri. Vključno z izdelavo in montažo lovilca kislin - posoda PVC iz negorljivega materiala (npr. Juvidur) brez odtoka, izdelano po meri, napolnjena do 1/3 s klorovim apnom, vključno z dobavo in vgraditvijo pokrova in rešetke iz nerjaveče pločevine, prirejene za oblogo iz granitogresa in smradno zaporo, vgrajeno v malto in z vsemi pomožnimi deli. Aku prostor.</t>
  </si>
  <si>
    <t>3.1.3.17</t>
  </si>
  <si>
    <t>Dobava in polaganje kabelskih PEHD cevi za zaščito telekomunikacijskih in elektroenergetskih kablov, gostota ≥ 0,945 g/cm3, indeks taline MFI 190/5 0,4 - 1,3 N/mm2, modul elastičnosti (Ebc) ≥ 800 °C, koeficient linearne toplotne razteznosti 1,3 - 2,0x10-4 K-1, koeficient toplotne prevodnosti (pri 23° C) 0,35 - 0,40 W/mK, površinska električna odpornost &gt; 1013 Ω, spajanje cevi s tipskimi elementi, po standardu SIST EN 61386, vključno z vsem pomožnim in pritrdilnim materialom (npr. Stikan, cevi iz PE - HD).</t>
  </si>
  <si>
    <t>~ DN 40 mm (med LR in komandnim prostorom v zid)</t>
  </si>
  <si>
    <t>~ DN 50 mm (med LR in AKU prostorom)</t>
  </si>
  <si>
    <t>~ DN 80 mm (med LR in kabelskim jaškom 20 kV), DN 50 mm je zajeta v sklopu razsvetljave</t>
  </si>
  <si>
    <t>3.1.3.18</t>
  </si>
  <si>
    <t>Sanacija zidov (odstranitev poškodovanih delov betona in opeke do stabilne osnove, nanos polimerizirane cementne malte, po SIST EN 197-1, SIST EN 413-1, SIST EN 14647, in izravnava. Zidovi zgradbe 20 kV stikališča na stiku zrušene zgradbe nekdanjega 10 kV in 35 kV stikališča.</t>
  </si>
  <si>
    <t>3.1.3.19</t>
  </si>
  <si>
    <t>Dobava in vgradnja ALU tipskih dilatacijskih letev, vključno z vsem pritrdilnim in pomožnim materialom.
Dilatacije med zgradbo 20 kV stikališča in 110 kV stikališča.</t>
  </si>
  <si>
    <t>~ talne ravne in kotne dilatacijske ALU letve za večjo obremenitev - 100 kN, za dilatacije širine do 12 cm (npr. Conecto, tip AL.165.30), dolžina do 400 cm</t>
  </si>
  <si>
    <t>~ talne ravne dilatacijske ALU letve za večje obremenitve - 100 kN, za dilatacije širine do 12 cm (npr. Conecto, tip AL.78.10), dolžina do 400 cm</t>
  </si>
  <si>
    <t>~ talne, stenske (ravna, kotna) in stropne dilatacijske ALU letve, za dilatacije širine do 12 cm, vključno s sidri - zatiči (npr. Conecto, tip Jw 140, sidra XXL)</t>
  </si>
  <si>
    <t>c1.</t>
  </si>
  <si>
    <t>~ talna, dolžina do 140 cm</t>
  </si>
  <si>
    <t>c2.</t>
  </si>
  <si>
    <t>~ stropna, dolžina do 120 cm</t>
  </si>
  <si>
    <t>c3.</t>
  </si>
  <si>
    <t>~ stropna, dolžina do 400 cm</t>
  </si>
  <si>
    <t>c4.</t>
  </si>
  <si>
    <t>~ stenska, dolžina do 220 cm</t>
  </si>
  <si>
    <t>3.1.3.20</t>
  </si>
  <si>
    <t>Izdelava armiranega betona C30/37 XC4+XS1+XF1 Cl 0,2 Dmax 16 S4 PV-II, armiran z mrežno armaturo S500 B, zaribane površine vključno s predhodnim čiščenjem podlage, robnim trakom debeline 10 mm, izdelavo dilatacij in vsemi pomožnimi deli:
~ arm. cementni estrih debeline 10 cm, po standardih SIST 1025, SIST EN 12207, SIST EN 832, SIST EN ISO 10211-2, SIST EN ISO 14683, SIST ISO 9836, SIST EN 1027, SIST EN 12524, SIST EN ISO 10211-1, SIST EN ISO 13789, SIST ISO 6946 in SIST ISO 9972. Opcija. 110 kV stikališče.
Vgradnja estriha, ki je odvisna od dobavitelja tehnološke opreme 110 kV stikališča.</t>
  </si>
  <si>
    <t>3.1.3.21</t>
  </si>
  <si>
    <t>Zaključno čiščenje celotnega objekta pred tehničnim pregledom.</t>
  </si>
  <si>
    <t>SKUPAJ ZIDARSKA DELA:</t>
  </si>
  <si>
    <t>3.1.4</t>
  </si>
  <si>
    <t>TESARSKA DELA</t>
  </si>
  <si>
    <t>Za izvedbo vidnih betonov je potrebno upoštevati uporabo ustreznega opažnega sistema za vidni beton (Doka ali podobno)</t>
  </si>
  <si>
    <t>3.1.4.1</t>
  </si>
  <si>
    <t>Dvostranski opaž AB pasovnih temeljev z gladkimi opažnimi ploščami s prenosom materiala do mesta vgraditve, opaženjem, čiščenjem lesa in vsemi pomožnimi deli. Pasovni temelji. Vidna površina: osnovna obdelava VB0.</t>
  </si>
  <si>
    <t>3.1.4.2</t>
  </si>
  <si>
    <t>Dvostranski opaž AB sten viš. do 3,0 m. Izdelava z gladkimi opažnimi ploščami s prenosom materiala do mesta vgraditve, opaženjem, čiščenjem lesa in vsemi pomožnimi deli. Vidna površina: navadna obdelava VB1.</t>
  </si>
  <si>
    <t>3.1.4.3</t>
  </si>
  <si>
    <t>Dvostranski opaž AB sten viš. od 3,0 m do 10,0 m. Izdelava z gladkimi opažnimi ploščami s prenosom materiala do mesta vgraditve, opaženjem, čiščenjem lesa in vsemi pomožnimi deli. Vidna površina: navadna obdelava VB1.
Vse stene razen kabelski prostor 110 kV stikališča in 110 kV stikališče.</t>
  </si>
  <si>
    <t>3.1.4.4</t>
  </si>
  <si>
    <t>Dvostranski opaž AB sten viš. od 3,0 m do 10,0 m. Izdelava z gladkimi opažnimi ploščami s prenosom materiala do mesta vgraditve, opaženjem, čiščenjem lesa in vsemi pomožnimi deli. Vidna površina: (zunanje stene 50% - navadna obdelava VB1, notranje vidne stene: 50% - posebna obdelava VB3).
Kabelski prostor 110 kV stikališča in 110 kV stikališče.</t>
  </si>
  <si>
    <t>3.1.4.5</t>
  </si>
  <si>
    <t>Opaž ravnih armirano betonskih plošč, viš. podpiranja do 3,0 m. Izdelava z gladkimi opažnimi ploščami s prenosom materiala do mesta vgraditve, opaženjem, čiščenjem lesa in vsemi pomožnimi deli. Vidna površina: navadna obdelava VB0. 
Plošče nad pritličjem razen 110 kV stikališče. Kabelski jašek zgradben 20 kV stikališča. Plošče nad nadstropjem v naklonu 8° je neometana zaradi spuščenega stropa.</t>
  </si>
  <si>
    <t>3.1.4.6</t>
  </si>
  <si>
    <t>Opaž ravnih armirano betonskih plošč, viš. podpiranja od 3,0 m do 6,0 m. Izdelava z gladkimi opažnimi ploščami s prenosom materiala do mesta vgraditve, opaženjem, čiščenjem lesa in vsemi pomožnimi deli. Vidna površina: (zunanje stene 50% - navadna obdelava VB1, notranje vidne stene: 50% - posebna obdelava VB3).
Plošče nad nadstropjem v naklonu 8° - 110 kV stikališče.</t>
  </si>
  <si>
    <t>3.1.4.7</t>
  </si>
  <si>
    <t xml:space="preserve">Opaž ravnih armirano betonskih plošč, viš. podpiranja do 3,0 m. Izdelava z gladkimi opažnimi ploščami s prenosom materiala do mesta vgraditve, opaženjem, čiščenjem lesa in vsemi pomožnimi deli. Vidna površina: posebna obdelava VB3. 
Stropna plošča v kabelskem prostoru in 110 kV stikališču. </t>
  </si>
  <si>
    <t>3.1.4.8</t>
  </si>
  <si>
    <t>Opaž robov armirano betonskih plošč, viš. podpiranja do 3,0 m. Izdelava z gladkimi opažnimi ploščami s prenosom materiala do mesta vgraditve, opaženjem, čiščenjem lesa in vsemi pomožnimi deli. Vidna površina: navadna obdelava VB0.</t>
  </si>
  <si>
    <t>3.1.4.9</t>
  </si>
  <si>
    <t>Opaž robov armirano betonskih plošč, viš. podpiranja do 10,0 m. Izdelava z gladkimi opažnimi ploščami s prenosom materiala do mesta vgraditve, opaženjem, čiščenjem lesa in vsemi pomožnimi deli. Vidna površina: navadna obdelava VB0.</t>
  </si>
  <si>
    <t>3.1.4.10</t>
  </si>
  <si>
    <t>Opaž ravnih pravokotnih stebrov brez zoba; opažanje, razopaženje in čiščenje. Vidna površina: posebna obdelava VB3. Opaž obsega nad 100 cm za vidno površino betona, vključno z robovi. 
Stebri v 110 kV stikališču.</t>
  </si>
  <si>
    <t>3.1.4.11</t>
  </si>
  <si>
    <t xml:space="preserve">Opaž vseh odprtin v AB zidovih velikosti do 1 m2, določitev po dolžini vgrajenih lesenih desk in plohov širine do 30 cm. Vidna površina: osnovna obdelava VB0. </t>
  </si>
  <si>
    <t>3.1.4.12</t>
  </si>
  <si>
    <t>Opaž vseh odprtin v AB ploščah velikosti do 1 m2, določitev po dolžini vgrajenih lesenih desk in plohov širine do 30 cm. Odprtine v AB plošči na koti +0,50 m 110 kV stikališča. Dim. in lokacija odprtin bo določena po izboru dobavitelja teh. opreme.</t>
  </si>
  <si>
    <t>3.1.4.13</t>
  </si>
  <si>
    <t>Opaž dvoramnih stopnic (poševne rame, nastopne ploskve, stranska ploskev), podpiranje do 3,00 m. Izdelava z gladkimi opažnimi ploščami in s prenosom materiala do mesta vgraditve, opaženjem, čiščenjem lesa in vsemi pomožnimi deli. Vidna površina: navadna obdelava VB0. Stopnice.</t>
  </si>
  <si>
    <t>3.1.4.14</t>
  </si>
  <si>
    <t xml:space="preserve">Opaž manjših odprtin in raznih manjših elementov z enkratno uporabo lesa, velikosti do 0,50 m2. Vidna površina: osnovna obdelava VB0. </t>
  </si>
  <si>
    <t>3.1.4.15</t>
  </si>
  <si>
    <t xml:space="preserve">Dobava in vgradnja materiala za vidne betone - razred VB3:
Stene in strop kabelskega prostora 110 kV stikališča. </t>
  </si>
  <si>
    <t xml:space="preserve">~ vlaknasta folija, ki odvaja odvečno vodo in zrak iz površine svežega betona. Folija iz finih polipropilenskih vlaken. Le-ta se na eni strani s termičnim postopkom učvrstijo in delujejo kot filter, medtem ko druga stran, kjer ta vlakna niso učvrščena, deluje kot drenažni sloj. Velikost por na filter strani je takšna, da zadrži cementne delce medtem, ko se voda izloča. (npr. Formtex) za zagotovitev gladkosti in lepšega videza vidnih betonskih površin, vključno z montažo. 
 Kabelski prostor 110 kV stikališča. </t>
  </si>
  <si>
    <t>~ opažna emulzija za zaščito in lažje odstranjevanje vseh vrst opažev. Poraba: 0,015 - 0,025 kg/m2. (npr. TKK UNIMAZ). Podana površina premaza.</t>
  </si>
  <si>
    <t>~ namestitev trikotnih letev 15 mm za vidne betone. Stebri in odprtine v AB plošči.</t>
  </si>
  <si>
    <t>Odri</t>
  </si>
  <si>
    <t>4.1.4.16</t>
  </si>
  <si>
    <t>Prevoz, postavitev in odstranitev lahkih premičnih odrov, h = ≤ 3,00 m: Lahki leseni premični delovni odri na lesenih ali kovinskih stolicah, višine do 2,00 m, A = 90,00 dni: odri za izvajanje tesarskih del in za pomoč obrtnikom in inštalaterjem. Upoštevana enkratna neto kvadratura tlorisa etaž.</t>
  </si>
  <si>
    <t>4.1.4.17</t>
  </si>
  <si>
    <t>Prevoz, postavitev in odstranitev lahkih premičnih odrov, h = ≤ 9,00 m: Lahki leseni premični delovni odri na lesenih ali kovinskih kozah, višine od 2,00 do 6,00 m; A= 90,00 dni: odri za izvajanje tesarskih del in za pomoč obrtnikom in inštalaterjem. Upoštevana enkratna neto kvadratura tlorisa etaž.</t>
  </si>
  <si>
    <t>4.1.4.18</t>
  </si>
  <si>
    <t>Prevoz, postavitev in odstranitev premičnih odrov. Premični sestavljivi delovni odri na kolesih, alu konstrukcija in pnevmatike z blokado, demontažni in lahko sestavljivi. Višina odra od 6,00 do 8,00 m: amortizacijska doba: 90 dni.</t>
  </si>
  <si>
    <t>4.1.4.19</t>
  </si>
  <si>
    <t>Prevoz, postavitev in odstranitev enostavnega cevnega fasadnega odra višine do 11,00 m z napravo podstavkov: srednje zahtevna fasada, A= 120 dni (oder za izdelavo fasade, fasadnih pasov in venca, montažo kleparskih izdelkov, žlebov, obrob, delno stavbnega pohištva ter za izdelavo finalnih opleskov.) Oder brez zaščitne ponjave z vsemi potrebnimi vertikalnimi in horizontalnimi prehodi na posamezne delovne platoje, varnostnimi ograjami in potrebnimi sidri, fasadni oder nad terenom širine 1 m, višine med nivoji 2 m, z čiščenjem po končanju del.</t>
  </si>
  <si>
    <t>4.1.4.20</t>
  </si>
  <si>
    <t>Prevoz, postavitev in odstranitev zaščitne ponjave. Doplačilo za napenjanje zaščitne ponjave po fasadnem odru: ponjava služi varnostnemu namenu za protiprašno zaščito, preprečuje padanje predmetov in omogoča nemoten potek dela izvajalcem; izdela se jo na zahtevo nadzora ali investitorja.</t>
  </si>
  <si>
    <t>4.1.4.21</t>
  </si>
  <si>
    <t>Dobava in izdelava lovilnega odra po obodu fasadnega odra. Oder širine do 1,20 m, skupaj z lovilno varnostno ograjo: srednje zahtevna fasada, A= 120 dni.</t>
  </si>
  <si>
    <t>SKUPAJ TESARSKA DELA:</t>
  </si>
  <si>
    <t>3.1.5</t>
  </si>
  <si>
    <t>FASADERSKA DELA - GRADBENI DEL</t>
  </si>
  <si>
    <t>3.1.5.1</t>
  </si>
  <si>
    <r>
      <t xml:space="preserve">Dobava in kompletna izdelava tankoslojne fasade na opečno ali AB podlago vključno z lepljenjem, sidranjem in zaključnimi profili oz. PVC zaključnimi vogalniki z mrežico. Med coklom in zgornjim delom fasade je 2 cm zamik, na tem mestu je predvidena vgradnja PVC odkapne letvice. Razred ognjeodpornosti (EN 13501-1) fasade: E, v sistemu B-s1, d0; navzemanje vode w24 ETAG 04 (vodovpojnost po 24 urah &lt; 0,5 kg/m2 ): ustreza; hidrotermalno obnašanje ETAG 04: odporen na hidrotermalne cikle, zmrzovanje / taljenje ETAG 04 (vodovpojnost po 24 urah &lt; 0,5kg/m2): odporen na zmrzovanje / taljenje; odpornost na udarce ETAG 04, razred 2, (npr. v JUBIZOL Strong). Za pritrdila topl. izolacije je predvidena (npr. Jubizol lepilo), sidra so predvidena Dvodelna plastična po celotni višini. 
razcepna sidra po vse površini fasade.
Sestava konstrukcije </t>
    </r>
    <r>
      <rPr>
        <b/>
        <sz val="11"/>
        <rFont val="Arial"/>
        <family val="2"/>
        <charset val="238"/>
      </rPr>
      <t>(Z1, Z2, Z3)</t>
    </r>
    <r>
      <rPr>
        <sz val="11"/>
        <rFont val="Arial"/>
        <family val="2"/>
        <charset val="238"/>
      </rPr>
      <t xml:space="preserve">: </t>
    </r>
  </si>
  <si>
    <r>
      <t xml:space="preserve">~ zaključni silikatno silikonski omet po standardu SIST EN 15824 (npr. Jubizol silicate finish S 1,5 mm pastel) z odtenkom po izboru pooblaščenega arhitekta
~ osnovni premaz, s  finim kremenčevim peskom polnjena vodna disperzija akrilnih veziv, odtenek podoben barvi ometa (Jub, Unigrund)
~ fasadna armirana mrežica, teža 160 g/m2 (npr. Jubizol fasadna mrežica)
~ osnovni omet,  deb. 0,5-1,5 cm, gostota 1,6 kg/dm3, paroprepustnost SIST EN 1015-19: koeficient µ (-) &lt;50, vrednost Sd (d = 3 mm) (m):  &lt;0,15, navzemanje vode w24 SIST EN 1015-18 (kg/m2min0,5): &lt;0,1
(razred W2) (npr. Jubizol strong fix)
~ ekspandirani polistiren </t>
    </r>
    <r>
      <rPr>
        <b/>
        <sz val="11"/>
        <rFont val="Arial"/>
        <family val="2"/>
        <charset val="238"/>
      </rPr>
      <t>20 cm</t>
    </r>
    <r>
      <rPr>
        <sz val="11"/>
        <rFont val="Arial"/>
        <family val="2"/>
        <charset val="238"/>
      </rPr>
      <t xml:space="preserve"> z dodatkom grafita, CE-kodna označba: EPS-EN 13163-L2-W2-T1-S2-P5-DS(N)2-DS(70,-)1-BS125-TR150-CS(10)80, (npr. kot JUBIZOL EPS F Graphite - G1)
~ lepilo,  deb. 0,6 cm, gostota 1,6 kg/dm3, paroprepustnost SIST EN 1015-19: koeficient µ (-) &lt;50, vrednost Sd (d = 3 mm) (m):  &lt;0,15, navzemanje vode w24 SIST EN 1015-18 (kg/m2min0,5): &lt;0,1
(razred W2) (npr. Jubizol strong fix)
~ betonska ali opečna stena in notranja obdelava upoštevane v drugih postavkah!</t>
    </r>
  </si>
  <si>
    <t>3.1.5.2</t>
  </si>
  <si>
    <r>
      <t xml:space="preserve">Dobava in kompletna izdelava fasadne obloge cokla višine 65 cm na opečno ali AB podlago vključno s pritrditvijo, lepljenjem, in zaključnimi profili. Razred ognjeodpornosti (EN 13501-1) fasade: E, v sistemu B-s1, d0; navzemanje vode w24 ETAG 04 (vodovpojnost po 24 urah &lt; 0,5 kg/m2 ): ustreza; hidrotermalno obnašanje ETAG 04: odporen na hidrotermalne cikle, zmrzovanje / taljenje ETAG 04 (vodovpojnost po 24 urah &lt; 0,5kg/m2): odporen na zmrzovanje / taljenje; odpornost na udarce ETAG 04, razred 2, (npr. v JUBIZOL Strong). Za pritrdila topl. izolacije je predvidena (npr. Jubizol lepilo), sidra so predvidena Dvodelna plastična po celotni višini. 
Sestava konstrukcije </t>
    </r>
    <r>
      <rPr>
        <b/>
        <sz val="11"/>
        <rFont val="Arial"/>
        <family val="2"/>
        <charset val="238"/>
      </rPr>
      <t>(Z4-cokel, Z6 (cokel), Z7 (cokel))</t>
    </r>
    <r>
      <rPr>
        <sz val="11"/>
        <rFont val="Arial"/>
        <family val="2"/>
        <charset val="238"/>
      </rPr>
      <t xml:space="preserve">: </t>
    </r>
  </si>
  <si>
    <r>
      <t xml:space="preserve">~ marmorni akrilni omet po standardu SIST EN 15824 (npr. Kulirplast KPP 1.8 495P)
~ osnovni premaz, s  finim kremenčevim peskom polnjena vodna disperzija akrilnih veziv, odtenek podoben barvi ometa (Jub, Unigrund)
~ fasadna armirana mrežica, teža 160 g/m2 (npr. Jubizol fasadna mrežica)
~ osnovni omet,  deb. 0,5-1,5 cm, gostota 1,6 kg/dm3, paroprepustnost SIST EN 1015-19: koeficient µ (-) &lt;50, vrednost Sd (d = 3 mm) (m):  &lt;0,15, navzemanje vode w24 SIST EN 1015-18 (kg/m2min0,5): &lt;0,1
(razred W2) (npr. Jubizol strong fix)
~ ekstrudiran polistiren </t>
    </r>
    <r>
      <rPr>
        <b/>
        <sz val="11"/>
        <rFont val="Arial"/>
        <family val="2"/>
        <charset val="238"/>
      </rPr>
      <t>20 cm</t>
    </r>
    <r>
      <rPr>
        <sz val="11"/>
        <rFont val="Arial"/>
        <family val="2"/>
        <charset val="238"/>
      </rPr>
      <t>, lepljen na podlago, CE-kodna označba: XPS-EN 13164-T1-CS(10/Y)300-WL(T)0,7-DS(70,-)WD(V)3, v skladu z SIST EN 13164, (npr. Fragmat XPS 300 NL)
~ lepilo,  deb. 0,6 cm, gostota 1,6 kg/dm3, paroprepustnost SIST EN 1015-19: koeficient µ (-) &lt;50, vrednost Sd (d = 3 mm) (m):  &lt;0,15, navzemanje vode w24 SIST EN 1015-18 (kg/m2min0,5): &lt;0,1
(razred W2) (npr. Jubizol strong fix)
~ polimer-bitumenska hidroizolacija (npr. Izotekt, T4 plus). Trak se vgrajuje z varjenjem po celotni površini z 10 cm preklopom. Izdelek je v skladu s SIST EN 13707, spodnji sloj ali sloj pod težko zaščito. In s SIST 13969 za tip A in tip T ter s SIST 1031. 
~ betonska ali opečna stena in notranja obdelava upoštevane v drugih postavkah!</t>
    </r>
  </si>
  <si>
    <t>3.1.5.3</t>
  </si>
  <si>
    <r>
      <t xml:space="preserve">Dobava in kompletna izdelava obloge na AB podlago vključno z lepljenjem in zaključnimi profili. 
Razred ognjeodpornosti (EN 13501-1) fasade: E, v sistemu B-s1, d0; navzemanje vode w24 ETAG 04 (vodovpojnost po 24 urah &lt; 0,5 kg/m2 ): ustreza; hidrotermalno obnašanje ETAG 04: odporen na hidrotermalne cikle, zmrzovanje / taljenje ETAG 04 (vodovpojnost po 24 urah &lt; 0,5kg/m2): odporen na zmrzovanje / taljenje; odpornost na udarce ETAG 04, razred 2, (npr. v JUBIZOL Strong)
Sestava konstrukcije </t>
    </r>
    <r>
      <rPr>
        <b/>
        <sz val="11"/>
        <rFont val="Arial"/>
        <family val="2"/>
        <charset val="238"/>
      </rPr>
      <t>(Z5) - Klet</t>
    </r>
    <r>
      <rPr>
        <sz val="11"/>
        <rFont val="Arial"/>
        <family val="2"/>
        <charset val="238"/>
      </rPr>
      <t xml:space="preserve">:
~ čepasta folija iz polietilena visoke gostote je vodo nepropustna, odporna na kemikalije in pritisk (npr. kot Tefond Fondaline). Je odporna proti razpadanju, neoporečna za pitno vodo, vodonepropustna in odporna na kemikalije. Preizkušena po DIN - zahtevah in ima CE - certifikat.
~ dvokomponentni elastični hidroizolacijski premaz, skladno s EN 14891:2012 (npr. Jub, Hydrosol superflex 2K)
~ fasadna armirana mrežica, teža 160 g/m2 (npr. Jubizol fasadna mrežica)
~ osnovni omet,  deb. 0,5-1,5 cm, gostota 1,6 kg/dm3, paroprepustnost SIST EN 1015-19: koeficient µ (-) &lt;50, vrednost Sd (d = 3 mm) (m):  &lt;0,15, navzemanje vode w24 SIST EN 1015-18 (kg/m2min0,5): &lt;0,1
(razred W2) (npr. Jubizol strong fix)
~ ekstrudiran polistiren </t>
    </r>
    <r>
      <rPr>
        <b/>
        <sz val="11"/>
        <rFont val="Arial"/>
        <family val="2"/>
        <charset val="238"/>
      </rPr>
      <t>20 cm</t>
    </r>
    <r>
      <rPr>
        <sz val="11"/>
        <rFont val="Arial"/>
        <family val="2"/>
        <charset val="238"/>
      </rPr>
      <t xml:space="preserve">, lepljen na podlago, CE-kodna označba: XPS-EN 13164-T1-CS(10/Y)300-WL(T)0,7-DS(70,-)WD(V)3, v skladu z SIST EN 13164, (npr. Fragmat XPS 300 NL)
~ lepilo,  deb. 0,5-1,5 cm, gostota 1,6 kg/dm3, paroprepustnost SIST EN 1015-19: koeficient µ (-) &lt;50, vrednost Sd (d = 3 mm) (m):  &lt;0,15, navzemanje vode w24 SIST EN 1015-18 (kg/m2min0,5): &lt;0,1
(razred W2) (npr. Jubizol strong fix)
~ polimer-bitumenska hidroizolacija. Trak se vgrajuje z varjenjem po celotni površini z 10 cm preklopom. Izdelek je v skladu s SIST EN 13707, spodnji sloj ali sloj pod težko zaščito. In s SIST 13969 za tip A in tip T ter s SIST 1031.(npr. Izotekt, T4 plus) 
~ betonska ali opečna stena in notranja obdelava upoštevane v drugih postavkah!
~ na stiku z asfaltom: polimer-bitumenska hidroizolacija 3x0,5 cm v treh slojih (višina 1. sloja: 30 cm, 2. sloja: 20 cm, 3. sloja:10 cm, zgornji rob vseh slojev poravnan z asfaltom), na skupni dolžini 65 m </t>
    </r>
  </si>
  <si>
    <t>3.1.5.4</t>
  </si>
  <si>
    <r>
      <t xml:space="preserve">Dobava in kompletna izdelava fasadne obloge na AB podlago vključno z lepljenjem, sidranjem in zaključnimi profili. Razred ognjeodpornosti (EN 13501-1) fasade: E, v sistemu B-s1, d0; navzemanje vode w24 ETAG 04 (vodovpojnost po 24 urah &lt; 0,5 kg/m2 ): ustreza; hidrotermalno obnašanje ETAG 04: odporen na hidrotermalne cikle, zmrzovanje / taljenje ETAG 04 (vodovpojnost po 24 urah &lt; 0,5kg/m2): odporen na zmrzovanje / taljenje; odpornost na udarce ETAG 04, razred 2, (npr. v JUBIZOL Strong)
Sestava konstrukcije </t>
    </r>
    <r>
      <rPr>
        <b/>
        <sz val="11"/>
        <rFont val="Arial"/>
        <family val="2"/>
        <charset val="238"/>
      </rPr>
      <t>(Z6) - požarni zid TR 1</t>
    </r>
    <r>
      <rPr>
        <sz val="11"/>
        <rFont val="Arial"/>
        <family val="2"/>
        <charset val="238"/>
      </rPr>
      <t>: 
~ marmorni akrilni omet po standardu SIST EN 15824 (npr. Kulirplast) z odtenkom po izboru pooblaščenega arhitekta
~ osnovni premaz, s  finim kremenčevim peskom polnjena vodna disperzija akrilnih veziv, odtenek podoben barvi ometa (Jub, Unigrund)
~ fasadna armirana mrežica, teža 160 g/m2 (npr. Jubizol fasadna mrežica)
~ lepilo,  deb. 0,5-1,5 cm, gostota 1,6 kg/dm3, paroprepustnost SIST EN 1015-19: koeficient µ (-) &lt;50, vrednost Sd (d = 3 mm) (m):  &lt;0,15, navzemanje vode w24 SIST EN 1015-18 (kg/m2min0,5): &lt;0,1
(razred W2) (npr. Jubizol strong fix)
~ betonska stena in notranja obdelava upoštevane v drugih postavkah!</t>
    </r>
  </si>
  <si>
    <t>~ lepilo,  deb. 0,5-1,5 cm, gostota 1,6 kg/dm3, paroprepustnost SIST EN 1015-19: koeficient µ (-) &lt;50, vrednost Sd (d = 3 mm) (m):  &lt;0,15, navzemanje vode w24 SIST EN 1015-18 (kg/m2min0,5): &lt;0,1
(razred W2) (npr. Jubizol strong fix)
~ fasadna armirana mrežica, teža 160 g/m2 (npr. Jubizol fasadna mrežica)
~ osnovni omet,  deb. 0,5-1,5 cm, gostota 1,6 kg/dm3, paroprepustnost SIST EN 1015-19: koeficient µ (-) &lt;50, vrednost Sd (d = 3 mm) (m):  &lt;0,15, navzemanje vode w24 SIST EN 1015-18 (kg/m2min0,5): &lt;0,1
(razred W2) (npr. Jubizol strong fix)
~ osnovni premaz, s  finim kremenčevim peskom polnjena vodna disperzija akrilnih veziv, odtenek podoben barvi ometa (Jub, Unigrund)
~ marmorni akrilni omet po standardu SIST EN 15824 (npr. Kulirplast) z odtenkom po izboru pooblaščenega arhitekta</t>
  </si>
  <si>
    <t>3.1.5.5</t>
  </si>
  <si>
    <r>
      <t xml:space="preserve">Dobava in kompletna izdelava fasadne obloge na AB podlago vključno z lepljenjem, sidranjem in zaključnimi profili. Razred ognjeodpornosti (EN 13501-1) fasade: E, v sistemu B-s1, d0; navzemanje vode w24 ETAG 04 (vodovpojnost po 24 urah &lt; 0,5 kg/m2 ): ustreza; hidrotermalno obnašanje ETAG 04: odporen na hidrotermalne cikle, zmrzovanje / taljenje ETAG 04 (vodovpojnost po 24 urah &lt; 0,5kg/m2): odporen na zmrzovanje / taljenje; odpornost na udarce ETAG 04, razred 2, (npr. v JUBIZOL Strong). Za pritrdila topl. izolacije je predvidena (npr. Jubizol lepilo), sidra so predvidena Dvodelna plastična po celotni višini. 
Sestava konstrukcije </t>
    </r>
    <r>
      <rPr>
        <b/>
        <sz val="11"/>
        <rFont val="Arial"/>
        <family val="2"/>
        <charset val="238"/>
      </rPr>
      <t>(Z7) - požarni zid TR 2</t>
    </r>
    <r>
      <rPr>
        <sz val="11"/>
        <rFont val="Arial"/>
        <family val="2"/>
        <charset val="238"/>
      </rPr>
      <t xml:space="preserve">: 
~ marmorni akrilni omet po standardu SIST EN 15824 (npr. Kulirplast) z odtenkom po izboru pooblaščenega arhitekta
~ osnovni premaz, s  finim kremenčevim peskom polnjena vodna disperzija akrilnih veziv, odtenek podoben barvi ometa (Jub, Unigrund)
~ fasadna armirana mrežica, teža 160 g/m2 (npr. Jubizol fasadna mrežica)
~ osnovni omet,  deb. 0,5-1,5 cm, gostota 1,6 kg/dm3, paroprepustnost SIST EN 1015-19: koeficient µ (-) &lt;50, vrednost Sd (d = 3 mm) (m):  &lt;0,15, navzemanje vode w24 SIST EN 1015-18 (kg/m2min0,5): &lt;0,1
(razred W2) (npr. Jubizol strong fix)
~ ekspandirani polistiren </t>
    </r>
    <r>
      <rPr>
        <b/>
        <sz val="11"/>
        <rFont val="Arial"/>
        <family val="2"/>
        <charset val="238"/>
      </rPr>
      <t>20 cm</t>
    </r>
    <r>
      <rPr>
        <sz val="11"/>
        <rFont val="Arial"/>
        <family val="2"/>
        <charset val="238"/>
      </rPr>
      <t xml:space="preserve"> z dodatkom grafita, CE-kodna označba: EPS-EN 13163-L2-W2-T1-S2-P5-DS(N)2-DS(70,-)1-BS125-TR150-CS(10)80, npr. kot JUBIZOL EPS F Graphite - G1
~ lepilo,  deb. 0,6 cm, gostota 1,6 kg/dm3, paroprepustnost SIST EN 1015-19: koeficient µ (-) &lt;50, vrednost Sd (d = 3 mm) (m):  &lt;0,15, navzemanje vode w24 SIST EN 1015-18 (kg/m2min0,5): &lt;0,1
(razred W2) (npr. Jubizol strong fix)</t>
    </r>
  </si>
  <si>
    <t>~ betonska stena in notranja obdelava upoštevane v drugih postavkah!
~ lepilo,  deb. 0,6 cm, gostota 1,6 kg/dm3, paroprepustnost SIST EN 1015-19: koeficient µ (-) &lt;50, vrednost Sd (d = 3 mm) (m):  &lt;0,15, navzemanje vode w24 SIST EN 1015-18 (kg/m2min0,5): &lt;0,1
(razred W2) (npr. Jubizol strong fix)
~ fasadna armirana mrežica, teža 160 g/m2 (npr. Jubizol fasadna mrežica)
~ osnovni premaz, s  finim kremenčevim peskom polnjena vodna disperzija akrilnih veziv, odtenek podoben barvi ometa (Jub, Unigrund)
~ marmorni akrilni omet po standardu SIST EN 15824 (npr. Kulirplast) z odtenkom po izboru pooblaščenega arhitekta</t>
  </si>
  <si>
    <t>3.1.5.6</t>
  </si>
  <si>
    <r>
      <t xml:space="preserve">Dobava in kompletna izdelava toplotne in hidroizolacije temeljev na AB podlago vključno z lepljenjem. Razred ognjeodpornosti (EN 13501-1) fasade: E, v sistemu B-s1, d0; navzemanje vode w24 ETAG 04 (vodovpojnost po 24 urah &lt; 0,5 kg/m2 ): ustreza; hidrotermalno obnašanje ETAG 04: odporen na hidrotermalne cikle, zmrzovanje / taljenje ETAG 04 (vodovpojnost po 24 urah &lt; 0,5kg/m2): odporen na zmrzovanje / taljenje; odpornost na udarce ETAG 04, razred 2, (npr. v JUBIZOL Strong)
Sestava konstrukcije </t>
    </r>
    <r>
      <rPr>
        <b/>
        <sz val="11"/>
        <rFont val="Arial"/>
        <family val="2"/>
        <charset val="238"/>
      </rPr>
      <t>(Z8)</t>
    </r>
    <r>
      <rPr>
        <sz val="11"/>
        <rFont val="Arial"/>
        <family val="2"/>
        <charset val="238"/>
      </rPr>
      <t xml:space="preserve">:
~ čepasta folija iz polietilena visoke gostote je vodo nepropustna, odporna na kemikalije in pritisk (npr. kot Tefond Fondaline). Je odporna proti razpadanju, neoporečna za pitno vodo, vodonepropustna in odporna na kemikalije. Preizkušena po DIN - zahtevah in ima CE - certifikat. 
~ dvokomponentni elastični hidroizolacijski premaz, skladno s EN 14891:2012  (npr. Jub, Hydrosol superflex 2K)
~ fasadna armirana mrežica, teža 160 g/m2 (npr. Jubizol fasadna mrežica)
~ osnovni omet,  deb. 0,5-1,5 cm, gostota 1,6 kg/dm3, paroprepustnost SIST EN 1015-19: koeficient µ (-) &lt;50, vrednost Sd (d = 3 mm) (m):  &lt;0,15, navzemanje vode w24 SIST EN 1015-18 (kg/m2min0,5): &lt;0,1
(razred W2) (npr. Jubizol strong fix)
~ ekstrudiran polistiren </t>
    </r>
    <r>
      <rPr>
        <b/>
        <sz val="11"/>
        <rFont val="Arial"/>
        <family val="2"/>
        <charset val="238"/>
      </rPr>
      <t>20 cm</t>
    </r>
    <r>
      <rPr>
        <sz val="11"/>
        <rFont val="Arial"/>
        <family val="2"/>
        <charset val="238"/>
      </rPr>
      <t>, lepljen na podlago, CE-kodna označba: XPS-EN 13164-T1-CS(10/Y)300-WL(T)0,7-DS(70,-)WD(V)3, v skladu z SIST EN 13164, (npr. Fragmat XPS 300 NL)
~ lepilo,  deb. 0,6 cm, gostota 1,6 kg/dm3, paroprepustnost SIST EN 1015-19: koeficient µ (-) &lt;50, vrednost Sd (d = 3 mm) (m):  &lt;0,15, navzemanje vode w24 SIST EN 1015-18 (kg/m2min0,5): &lt;0,1
(razred W2) (npr. Jubizol strong fix)
~ polimer-bitumenska hidroizolacija 2x0,5cm (zajeto pod vertikalno hidroizolacijo)
Izolacija temeljev zgradbe s 110 kV stikališčem in zgradbe z 20 kV stikališčem.
~ na stiku z asfaltom: polimer-bitumenska hidroizolacija 3x0,5 cm v treh slojih (višina 1. sloja: 30 cm, 2. sloja: 20 cm, 3. sloja:10 cm, zgornji rob vseh slojev poravnan z asfaltom), na skupni dolžini 50 m</t>
    </r>
  </si>
  <si>
    <t>3.1.5.7</t>
  </si>
  <si>
    <r>
      <t xml:space="preserve">Dobava in kompletna izdelava toplotne izolacije temeljev na AB podlago vključno z lepljenjem. Razred ognjeodpornosti (EN 13501-1) fasade: E, v sistemu B-s1, d0; navzemanje vode w24 ETAG 04 (vodovpojnost po 24 urah &lt; 0,5 kg/m2 ): ustreza; hidrotermalno obnašanje ETAG 04: odporen na hidrotermalne cikle, zmrzovanje / taljenje ETAG 04 (vodovpojnost po 24 urah &lt; 0,5kg/m2): odporen na zmrzovanje / taljenje; odpornost na udarce ETAG 04, razred 2, (npr. v JUBIZOL Strong)
Sestava konstrukcije: 
~ ekstrudiran polistiren </t>
    </r>
    <r>
      <rPr>
        <b/>
        <sz val="11"/>
        <rFont val="Arial"/>
        <family val="2"/>
        <charset val="238"/>
      </rPr>
      <t>12 cm</t>
    </r>
    <r>
      <rPr>
        <sz val="11"/>
        <rFont val="Arial"/>
        <family val="2"/>
        <charset val="238"/>
      </rPr>
      <t>, lepljen na podlago, CE-kodna označba: XPS-EN 13164-T1-CS(10/Y)300-WL(T)0,7-DS(70,-)WD(V)3, v skladu z SIST EN 13164, (npr. Fragmat XPS 300 NL)
~ lepilo,  deb. 0,6 cm, gostota 1,6 kg/dm3, paroprepustnost SIST EN 1015-19: koeficient µ (-) &lt;50, vrednost Sd (d = 3 mm) (m):  &lt;0,15, navzemanje vode w24 SIST EN 1015-18 (kg/m2min0,5): &lt;0,1
(razred W2) (npr. Jubizol strong fix)
~ polimer-bitumenska hidroizolacija (zajeto pod vertikalno hidroizolacijo)
Izolacija temeljev proti zgradbi z 20 kV stikališčem.</t>
    </r>
  </si>
  <si>
    <t>3.1.5.8</t>
  </si>
  <si>
    <r>
      <t xml:space="preserve">Dobava in kompletna izdelava toplotne izolacije temeljev na AB podlago vključno  z lepljenjem. Razred ognjeodpornosti (EN 13501-1) fasade: E, v sistemu B-s1, d0; navzemanje vode w24 ETAG 04 (vodovpojnost po 24 urah &lt; 0,5 kg/m2 ): ustreza; hidrotermalno obnašanje ETAG 04: odporen na hidrotermalne cikle, zmrzovanje / taljenje ETAG 04 (vodovpojnost po 24 urah &lt; 0,5kg/m2): odporen na zmrzovanje / taljenje; odpornost na udarce ETAG 04, razred 2, (npr. v JUBIZOL Strong)
Sestava konstrukcije: 
~ ekstrudiran polistiren </t>
    </r>
    <r>
      <rPr>
        <b/>
        <sz val="11"/>
        <rFont val="Arial"/>
        <family val="2"/>
        <charset val="238"/>
      </rPr>
      <t>do 5 cm</t>
    </r>
    <r>
      <rPr>
        <sz val="11"/>
        <rFont val="Arial"/>
        <family val="2"/>
        <charset val="238"/>
      </rPr>
      <t>, lepljen na podlago, CE-kodna označba: XPS-EN 13164-T1-CS(10/Y)300-WL(T)0,7-DS(70,-)WD(V)3, v skladu z SIST EN 13164, (npr. Fragmat XPS 300 NL)
~ lepilo,  deb. 0,6 cm, gostota 1,6 kg/dm3, paroprepustnost SIST EN 1015-19: koeficient µ (-) &lt;50, vrednost Sd (d = 3 mm) (m):  &lt;0,15, navzemanje vode w24 SIST EN 1015-18 (kg/m2min0,5): &lt;0,1
(razred W2) (npr. Jubizol strong fix)
~ polimer-bitumenska hidroizolacija (zajeto pod vertikalno hidroizolacijo)
Izolacija temeljev proti zgradbi z 20 kV stikališčem.</t>
    </r>
  </si>
  <si>
    <t>3.1.5.9</t>
  </si>
  <si>
    <t>Dobava in izdelava oz. montaža dela fasade za zunanje okenske police v naslednji sestavi po navodilih dobavitelja (npr. JUB):
~ izvedba toplotnoizolacijska obloga z nagibom 
~ fleksibilni vogalnik iz perforirane trde plastike (npr. Jubizol) 
~ nizkoekspanzijska poliuretanska pena (npr. Termopur gun low expansion 750 ml)
~ ekspanzijski tesnilni trak (npr. Weber, 8653-15) 
~ polica iz naravnega kamna (zajeto v kamnoseških delih)
~ plutaste podložke deb. do 1 cm
~ trajno elastična lepilna masa (npr. TKK MS40) 
~ ekspanzijski tesnilni trak (npr. Weber, 8653-15) 
Podana je skupna širina vseh oken.</t>
  </si>
  <si>
    <t>3.1.5.10</t>
  </si>
  <si>
    <t>Dobava in vgradnja fasadnega dilatacijskega profila (npr. kot Weber, dilatacijski profil V- oblike). Plastičen profil z gibljivo zaplato (co-ekstrudiran) in zalepljeno stekleno mrežico. Alkalno odporna, svetla, bela barva, možnost premazovanja, odporen proti UV žarkom in ozonu, fiksen. Na stiku med novo in obstoječo zgradbo, kjer je dilatacija.</t>
  </si>
  <si>
    <t>SKUPAJ FASADERSKA DELA - GRADBENI DEL:</t>
  </si>
  <si>
    <t>SKUPAJ GRADBENA DELA:</t>
  </si>
  <si>
    <t>3.2</t>
  </si>
  <si>
    <t>ZGRADBA - OBRTNIŠKA DELA</t>
  </si>
  <si>
    <t>3.2.1</t>
  </si>
  <si>
    <t>KROVSKA DELA</t>
  </si>
  <si>
    <r>
      <t>Dela izvajati točno po določilih in navodilih dobavitelja kritine z upoštevanjem veljavnih tehničnih predpisov in standardov. Površina žlot, slemena in obrob se odšteje pri določitvi površine kritine, prav tako se odštejejo odprtine manjše od 1 m2. Za izvršitev krovskih in kleparskih del se uporabijo odri za fasado. Dela izvajati v skladu s pravilnikom varstva pri delu na višinah.
Naklon kritine znaša 8</t>
    </r>
    <r>
      <rPr>
        <sz val="8"/>
        <rFont val="Calibri"/>
        <family val="2"/>
      </rPr>
      <t>°.</t>
    </r>
  </si>
  <si>
    <t>3.2.1.1</t>
  </si>
  <si>
    <t>Dobava in montaža ognjevarnega strešnega panela iz izolirane profilirane pločevine deb. 200 mm (npr. Trimo Trebnje SNV 200/1000/ Power T). Zunanja (zgornja) trapezna profilirana pločevina je pocinkana (275g/m2 cinka v skladu z EN 10142 in EN 10147) in obarvana s poliester barvo debeline 25my. Vmesnega izolacijskega polnila iz konstrukcijske negorljive lamelirane mineralne volne razreda A1 po EN 13501-1 debeline (mm) 200. Trapezi so zapolnjeni z negorljivo mineralno volno. Notranje plitvo profilirane pločevine 0,6 mm. Notranja (spodnja) plitvo profilirana pločevina je pocinkana (275g/m2 cinka v skladu z EN 10142 in EN 10147) in obarvana s poliester barvo RAL 9002 debeline 15 my. Panel je z obeh strani zaščiten s PVC folijo, ki se v času montaže odstrani.
V ceni panela so vključeni nerjavni vijaki, kalote, podložke in EPDM tesnila. Paneli morajo biti certificirani in skladni s CE in EPAQ zahtevami. Kompletno z vsem pritrdilnim materialom, tesnili, zaključki, pomožnimi deli, prenosi in transportom (pokrivanje strehe in izvedba tipskih detajlov po specifikaciji proizvajalca kritine). Kritina v svetlo sivi barvi.</t>
  </si>
  <si>
    <t>3.2.1.2</t>
  </si>
  <si>
    <r>
      <t xml:space="preserve">Dobava in pokrivanje strehe s tipskimi linijskimi snegolovi dim. 75/64/45 mm (trikotni del) s pritrditvijo, </t>
    </r>
    <r>
      <rPr>
        <sz val="11"/>
        <rFont val="Arial"/>
        <family val="2"/>
        <charset val="238"/>
      </rPr>
      <t xml:space="preserve">z antikorozijsko zaščito, s stesnili EPDM 28/3X3 </t>
    </r>
    <r>
      <rPr>
        <sz val="11"/>
        <rFont val="Arial"/>
        <family val="2"/>
      </rPr>
      <t>(npr.: po TRIMO detajlu AA5/1 in AA5/1-K) v barvi kritine, kompletno z montažo in vsemi pomožnimi deli, prenosi in transportom (snegolovi, vijaki, tesnila, itd.).</t>
    </r>
  </si>
  <si>
    <t>3.2.1.3</t>
  </si>
  <si>
    <t>Izdelava delavniških načrtov za vse elemente strehe (kritina, ostrešje, obrobe, zaključki in ostalo).</t>
  </si>
  <si>
    <t>SKUPAJ KROVSKA DELA:</t>
  </si>
  <si>
    <t>3.2.2</t>
  </si>
  <si>
    <t>KLEPARSKA DELA</t>
  </si>
  <si>
    <r>
      <t>Dobava in montaža kleparskih elementov. Kleparski elementi so izdelani iz jeklene pločevine 0,6 mm (275 g/m</t>
    </r>
    <r>
      <rPr>
        <vertAlign val="superscript"/>
        <sz val="11"/>
        <rFont val="Arial"/>
        <family val="2"/>
      </rPr>
      <t>2</t>
    </r>
    <r>
      <rPr>
        <sz val="11"/>
        <rFont val="Arial"/>
        <family val="2"/>
      </rPr>
      <t xml:space="preserve"> cinka v skladu z EN 10142 in EN 10147), ki je prašno obarvana - gladka, sijaj. V ceni elementov je vključen pritrdilni in tesnilni material. Nevidna notranja stran pločevine je zaščitena z lakom debeline 5 </t>
    </r>
    <r>
      <rPr>
        <sz val="11"/>
        <rFont val="Calibri"/>
        <family val="2"/>
      </rPr>
      <t>µ</t>
    </r>
    <r>
      <rPr>
        <sz val="11"/>
        <rFont val="Arial"/>
        <family val="2"/>
      </rPr>
      <t>m in ni v RAL barvi.</t>
    </r>
  </si>
  <si>
    <t xml:space="preserve">V postavkah so navedeni tipski detajli dobavitelja Trimo, kjer je prikaza pritrditev na jekleno konstrukcijo. V ponudbenih cenah je upoštevati pritrjevanje v AB ali opečno konstrukcijo. </t>
  </si>
  <si>
    <t>3.2.2.1</t>
  </si>
  <si>
    <t>Dobava in izvedba kleparskih elementov prečne dilatacije s podaljševanjem strešne kritine. Izdelava dilatacije iz obrob res. do 50 cm, deb. 0,7 mm, antikorozijsko zaščiteno in prašno barvano. Podaljševanje panela do 300 mm. Vključno z dodatnimi obrobami, termoizolacijo deb. do 70 mm, dolžine do 150 mm. Vključno z vsem pritrdilnim in pomožnim materialom. Detajl po navodilu dobavitelja (npr. TRIMO). Med zgradbo 20 kV stikališča in 110 kV stikališča.</t>
  </si>
  <si>
    <t>3.2.2.2</t>
  </si>
  <si>
    <r>
      <t xml:space="preserve">Dobava, izdelava in montaža </t>
    </r>
    <r>
      <rPr>
        <sz val="11"/>
        <rFont val="Arial"/>
        <family val="2"/>
        <charset val="238"/>
      </rPr>
      <t>pocinkane</t>
    </r>
    <r>
      <rPr>
        <sz val="11"/>
        <rFont val="Arial"/>
        <family val="2"/>
      </rPr>
      <t xml:space="preserve"> podkonstrukcije (npr. po TRIMO detajlu), sidrana v AB ploščo, vključno s povezavami. Vključno z vsem pritrdilnim in pomožnim materialom. Vsa podkonstrukcija mora biti dodatno zaščitena z antikorozijsko zaščito. Izvajalec izdela </t>
    </r>
    <r>
      <rPr>
        <sz val="11"/>
        <rFont val="Arial"/>
        <family val="2"/>
        <charset val="238"/>
      </rPr>
      <t>delavniško dokumentacijo</t>
    </r>
    <r>
      <rPr>
        <sz val="11"/>
        <rFont val="Arial"/>
        <family val="2"/>
      </rPr>
      <t>, streha S1:</t>
    </r>
  </si>
  <si>
    <t>~ na AB podlagi: HMP2-A HOP U 106/35/3</t>
  </si>
  <si>
    <t>~ naležna konstr.: HMP-B HOP C 15/35/100/2, L=4000 mm</t>
  </si>
  <si>
    <t>3.2.2.3</t>
  </si>
  <si>
    <r>
      <t xml:space="preserve">Dobava, izdelava in montaža </t>
    </r>
    <r>
      <rPr>
        <sz val="11"/>
        <rFont val="Arial"/>
        <family val="2"/>
        <charset val="238"/>
      </rPr>
      <t>pocinkane</t>
    </r>
    <r>
      <rPr>
        <sz val="11"/>
        <rFont val="Arial"/>
        <family val="2"/>
      </rPr>
      <t xml:space="preserve"> podkonstrukcije (npr. po TRIMO detajlu), sidrana v AB ploščo, vključno s povezavami. Vključno z vsem pritrdilnim in pomožnim materialom. Izvajalec izdela </t>
    </r>
    <r>
      <rPr>
        <sz val="11"/>
        <rFont val="Arial"/>
        <family val="2"/>
        <charset val="238"/>
      </rPr>
      <t>delavniško dokumentacijo</t>
    </r>
    <r>
      <rPr>
        <sz val="11"/>
        <rFont val="Arial"/>
        <family val="2"/>
      </rPr>
      <t>, streha S2:</t>
    </r>
  </si>
  <si>
    <t>~ na AB podlagi: HMP2-A HOP U 106/75/3</t>
  </si>
  <si>
    <t>~ naležna konstr.: HMP-B HOP C 15/55/100/2, L=4000 mm</t>
  </si>
  <si>
    <t>3.2.2.4</t>
  </si>
  <si>
    <t xml:space="preserve">Dobava in vgradnja paroprepustne, vetrotesne, vodotesne sekundarne kritine za strme strehe (z naklonom min. 5°) narejene na osnovi prvovrstnega fleksibilnega polioefina (FPO), na robovih se toplozračno vari, in z nedrsečo površino za hitro in enostavno montažo CE deklarirano po EN 13859-1 (npr. SIKA, SARNAFIL MTS). Odpornost na prodiranje vode W1 (po EN 1928:2001). </t>
  </si>
  <si>
    <t>3.2.2.5</t>
  </si>
  <si>
    <t>Dobava in izvedba kleparskih elementov krajnega visečega žleba (npr. po TRIMO detajlu AA2/1, AA2/1-K1, AA2/1-K2, AA2/1-K3). Nerjavni nosilec visečega žleba, žleb zunanji, izlivni priključek, izlivna cev, nerjavni nosilec izlivne cevi maska visečega žleba, maska napušča notranja/zunanja. Vključno z vsem pritrdilnim in pomožnim materialom. Vse antikorozijsko zaščiteno in prašno barvano.</t>
  </si>
  <si>
    <t>~ horizontalni žleb (razvita širina) 330 mm</t>
  </si>
  <si>
    <t>~ vertikalna odtočna cev (premer) 120 mm</t>
  </si>
  <si>
    <t>~ število izlivnih priključkov v peskolove</t>
  </si>
  <si>
    <t>3.2.2.6</t>
  </si>
  <si>
    <r>
      <t>Dobava in izvedba kleparskih elementov čelnega zaključka (npr. po TRIMO detajlu AA6/2, AA6/2-K)</t>
    </r>
    <r>
      <rPr>
        <sz val="11"/>
        <rFont val="Arial"/>
        <family val="2"/>
        <charset val="238"/>
      </rPr>
      <t>, antikorozijsko zaščiteno.</t>
    </r>
    <r>
      <rPr>
        <sz val="11"/>
        <rFont val="Arial"/>
        <family val="2"/>
      </rPr>
      <t xml:space="preserve"> Vključno z vsem pritrdilnim in pomožnim materialom.</t>
    </r>
  </si>
  <si>
    <t>~ čelna obroba Fe 0,6 mm, podpora čelne obrobe Fe 2 mm</t>
  </si>
  <si>
    <t>3.2.2.7</t>
  </si>
  <si>
    <r>
      <t xml:space="preserve">Dobava in izvedba kleparskih elementov slemena enokapnice (npr. po TRIMO detajlu AA9/3 in AA9/3-K). Vključno z vsem pritrdilnim in pomožnim materialom. </t>
    </r>
    <r>
      <rPr>
        <sz val="11"/>
        <rFont val="Arial"/>
        <family val="2"/>
        <charset val="238"/>
      </rPr>
      <t>Antikorozijsko zaščiteno in prašno barvano.</t>
    </r>
  </si>
  <si>
    <t xml:space="preserve">~ slemenjak enokapnice II, vogalnik panela notranji, maska panela SNV termoizolacija, polnilo profila SNV negativ </t>
  </si>
  <si>
    <t>3.2.2.8</t>
  </si>
  <si>
    <r>
      <t>Dobava in izvedba kleparskih elementov okroglega preboja z EPDM manšeto (npr. po TRIMO detajlu AB4/1)</t>
    </r>
    <r>
      <rPr>
        <sz val="11"/>
        <rFont val="Arial"/>
        <family val="2"/>
        <charset val="238"/>
      </rPr>
      <t>, antikorozijsko zaščiteno.</t>
    </r>
    <r>
      <rPr>
        <sz val="11"/>
        <rFont val="Arial"/>
        <family val="2"/>
      </rPr>
      <t xml:space="preserve"> Vključno z vsem pritrdilnim in pomožnim materialom.</t>
    </r>
  </si>
  <si>
    <t>~ EPDM manšeta za okrogle preboje</t>
  </si>
  <si>
    <t>3.2.2.9</t>
  </si>
  <si>
    <t>Dobava in izvedba nestandardnih kleparskih elementov s pritrdilnim in tesnilnim materialom, požarne stene TR 1 in TR 2 vključno s podkonstrukcijo in izdelavo vseh zaključkov na nalomih in stiku z glavno streho, vse antikorozijsko zaščiteno in prašno barvano:</t>
  </si>
  <si>
    <t>~ horizontalna in vertikalna obroba deb. 0,7 mm, prašno barvano, horizontalne in vertikalne površine</t>
  </si>
  <si>
    <t>a1.</t>
  </si>
  <si>
    <t>~ r.š. do 1000 mm</t>
  </si>
  <si>
    <t>a2.</t>
  </si>
  <si>
    <t>~ r.š. do 1200 mm</t>
  </si>
  <si>
    <t>a3.</t>
  </si>
  <si>
    <t>~ r.š. do 1400 mm</t>
  </si>
  <si>
    <t xml:space="preserve">~ polimer-bitumenska hidroizolacija (npr. Izotekt, T4 plus). Trak se vgrajuje z varjenjem po celotni površini z 10 cm preklopom. Izdelek je v skladu s SIST EN 13707 spodnji sloj ali sloj pod težko zaščito. In s SIST 13969 za tip A in tip T ter s SIST 1031. </t>
  </si>
  <si>
    <t>~ AB plošče deb. 4 cm, d.100 cm, privijačene v AB, položene vzdolžno</t>
  </si>
  <si>
    <t>~ širina 30 cm</t>
  </si>
  <si>
    <t>~ širina 50 cm</t>
  </si>
  <si>
    <t>~ širina 70 cm</t>
  </si>
  <si>
    <t>3.2.2.10</t>
  </si>
  <si>
    <t>Dobava, izdelava in vgradnja praga iz: pohodne inox pločevine (solza) in podkonstrukcije, vse deb. 5 mm. Podkonstrukcija sestavljena iz inox pločevine r.š. do 450 mm, privarjeno na inox konzole. Konstrukcija je privijačena v AB oz. opečno konstrukcijo. Podkonstrukcija je v celoti skrita pod fasado. Na robovih pločevine ob fasadi ter AB konstrukciji je silikonska tesnilna masa (npr. MAPEI Mapesil LM 113, bela). Pohodna pločevina je v naklonu z odkapom.</t>
  </si>
  <si>
    <t>~ pohodna pločevina r.š. do 600 mm in podkonstrukcija dolžine 4500 mm, širine 540 mm, višine 200 mm. Podkonstrukcija sestavljena iz 17 konzol. 
Zunanji prag dvižnih vrat 110 kV stikališča.</t>
  </si>
  <si>
    <t>~ pohodna pločevina r.š. do 300 mm in podkonstrukcija dolžine 1100 mm, širine 540 mm, višine 200 mm. Podkonstrukcija sestavljena iz 5 konzol. 
Zunanji prag krilnih vrat 110 kV stikališča.</t>
  </si>
  <si>
    <t>~ pohodna pločevina r.š. do 300 mm in podkonstrukcija dolžine 2100 mm, širine 540 mm, višine 200 mm. Podkonstrukcija sestavljena iz 9 konzol. 
Zunanji prag krilnih vrat komandnega prostora in 20 kV stikališča.</t>
  </si>
  <si>
    <t>SKUPAJ KLEPARSKA DELA:</t>
  </si>
  <si>
    <t>3.2.3</t>
  </si>
  <si>
    <t>STAVBNO POHIŠTVO</t>
  </si>
  <si>
    <t>VRATA</t>
  </si>
  <si>
    <t>Opomba:
~ Vse mere pred izvedbo vrat kontrolirati na objektu in izvedbo prilagoditi dejanskemu stanju!
~ Upoštevati opise in opombe v shemah! 
~ Vsa vrata morajo biti mehansko odporna proti zvijanju, z ojačano konstrukcijo proti deformacijam.
V cenah vključiti:
~ Vrata ob stenah imajo talne ali stenske zaustavljalce.</t>
  </si>
  <si>
    <t>ZUNANJA PVC VRATA</t>
  </si>
  <si>
    <t>3.2.3.1</t>
  </si>
  <si>
    <t>Izdelava, dobava in montaža vrat po spodnjem opisu:</t>
  </si>
  <si>
    <t>Vsa vrata so opremljena s sistemsko ključavnico in s sistemskim ključem. Pri izdelavi ključavnic in ključev upoštevati kodno kartico, ki jo posreduje naročnik. 
Vrata skladna z EN 14351-1-2006+A1:2010,  EN1027, EN14351-1/4.6, EN12211, EN14609 / EN948, EN ISO 140-3 / EN ISO 717-1, ISO 10077 / EN ISO 12567-1/2</t>
  </si>
  <si>
    <r>
      <rPr>
        <b/>
        <sz val="11"/>
        <rFont val="Arial"/>
        <family val="2"/>
      </rPr>
      <t xml:space="preserve">Vrata V2, </t>
    </r>
    <r>
      <rPr>
        <sz val="11"/>
        <rFont val="Arial"/>
        <family val="2"/>
      </rPr>
      <t xml:space="preserve">pritličje. Vhodna niša.
~opis: enokrilna fasadna PVC vrata
~svetla mera: 90 x 200 cm 
~zidarska mera: 100 x 205 cm
~vgraditev: opečna stena
~podboj: PVC, objemni, širina 20 cm, svetlo siv, RAL 7035, na zunanji strani alu maska (alu clip), vroče prašno barvana RAL 7035, podboj ravno rezan z vratnim krilom
~krilo: PVC, svetlo siv, RAL 7035, na zunanji strani alu maska (alu clip), vroče prašno barvana RAL 7035, polnilo vroče prašno barvana v RAL 7035
~profil: PVC, 70/70 mm (okvir/krilo), število komor: 5, oblika: ravne linije (npr. Ancora d.o.o., Schuco Corona CT 70 Classic), jekleni ojačitveni profil, certifikat ISO 9001
~toplotna prehodnost vrat: Ud= 0,89 W/m2K
~toplotna prehodnost steklo: Ug= 0,6 W/m2K
~zvočna izolativnost: Rw=36 dB
~zasteklitev: izolacijsko dvoslojno varnostno (kaljeno) steklo z varnostnimi oznakami v sestavi 6ESG/16/44.2VSG, varnostno steklo (1x dim. 70/80 cm), satinirano (neprosojno), certifikat IFT Rosenheim
~okovje: 3D, vidno, večtočkovno zaklepanje (npr. Winkhaus, D45)
~tečaji: masivni (3x)
~kljuka: ALU obojestrasnka kljuka (npr. Hoppe, Liverpool F1 za cilinder)
~ključavnica: cilindrična, sistem generalnega ključa (po navodilih investitorja)
~špaleta: obdelana kot kontaktna tankoslojna fasada
~oprema: alu nizek prag (prekinjen toplotni most), notranji žlebom za odvod morebitne vode, samozapiralo, RAL montaža, avtomatsko samozapiralo s tračnico (npr. GEZE, TS 2000), troje tesnil v sivi barvi (EPDM tesnila), 1x nogica za zaustavitev krila. </t>
    </r>
  </si>
  <si>
    <r>
      <rPr>
        <b/>
        <sz val="11"/>
        <rFont val="Arial"/>
        <family val="2"/>
      </rPr>
      <t>Vrata V3</t>
    </r>
    <r>
      <rPr>
        <sz val="11"/>
        <rFont val="Arial"/>
        <family val="2"/>
      </rPr>
      <t xml:space="preserve">, pritličje. Kabelski jašek 20 kV stikališča.
~opis: enokrilna fasadna PVC vrata
~svetla mera: 80 x 205 cm
~zidarska mera: 90 x 210 cm
~vgraditev: opečna stena
~podboj: PVC, objemni, širina 30 cm, svetlo siv, RAL 7035, na zunanji strani alu maska (alu clip), vroče prašno barvana RAL 7035, podboj ravno rezan z vratnim krilom
~krilo: PVC, svetlo siv, RAL 7035, na zunanji strani alu maska (alu clip), vroče prašno barvana RAL 7035, polnilo vroče prašno barvana v RAL 7035
~profil: PVC, 70/70 mm (okvir/krilo), število komor: 5, oblika: ravne linije (npr. Ancora d.o.o., Schuco Corona CT 70 Classic), jekleni ojačitveni profil, certifikat ISO 9001
~toplotna prehodnost vrat: Ud= 0,89 W/m2K
~toplotna prehodnost steklo: /
~zvočna izolativnost: Rw=36 dB
~zasteklitev: /
~okovje: 3D, vidno, večtočkovno zaklepanje (npr. Winkhaus, D45)
~tečaji: masivni (3x)
~kljuka: ALU obojestrasnka kljuka (npr. Hoppe, Liverpool F1 za cilinder)
~ključavnica: cilindrična, sistem generalnega ključa (po navodilih investitorja)
~špaleta: obdelana kot kontaktna tankoslojna fasada
~oprema: alu nizek prag (prekinjen toplotni most), notranji žlebom za odvod morebitne vode, samozapiralo, RAL montaža, avtomatsko samozapiralo s tračnico (npr. GEZE, TS 2000), troje tesnil v sivi barvi (EPDM tesnila), 1x nogica za zaustavitev krila. </t>
    </r>
  </si>
  <si>
    <r>
      <rPr>
        <b/>
        <sz val="11"/>
        <rFont val="Arial"/>
        <family val="2"/>
      </rPr>
      <t>Vrata V4</t>
    </r>
    <r>
      <rPr>
        <sz val="11"/>
        <rFont val="Arial"/>
        <family val="2"/>
      </rPr>
      <t>, pritličje. Prostor TR LR1 in TR LR 2.
~opis: enokrilna fasadna PVC vrata
~svetla mera: 115 x 215 cm
~zidarska mera: 125 x 220 cm
~vgraditev: opečna stena</t>
    </r>
  </si>
  <si>
    <t>~podboj: PVC, objemni, širina 30 cm, svetlo siv, RAL 7035, na zunanji strani alu maska (alu clip), vroče prašno barvana RAL 7035, podboj ravno rezan z vratnim krilom
~krilo: PVC, svetlo siv, RAL 7035, na zunanji strani alu maska (alu clip), vroče prašno barvana RAL 7035, polnilo vroče prašno barvana v RAL 7035
~profil: PVC, 70/70 mm (okvir/krilo), število komor: 5, oblika: ravne linije (npr. Ancora d.o.o., Schuco Corona CT 70 Classic), jekleni ojačitveni profil, certifikat ISO 9001
~toplotna prehodnost vrat: Ud= 0,89 W/m2K
~toplotna prehodnost steklo: /
~zvočna izolativnost: Rw=36 dB
~zasteklitev: /
~okovje: 3D, vidno, večtočkovno zaklepanje (npr. Winkhaus, D45)
~tečaji: masivni (3x)
~kljuka: ALU obojestrasnka kljuka (npr. Hoppe, Liverpool F1 za cilinder)
~ključavnica: cilindrična, sistem generalnega ključa (po navodilih investitorja)
~špaleta: obdelana kot kontaktna tankoslojna fasada
~oprema: alu nizek prag (prekinjen toplotni most), notranji žlebom za odvod morebitne vode, samozapiralo, RAL montaža, avtomatsko samozapiralo s tračnico (npr. GEZE, TS 2000), troje tesnil v sivi barvi (EPDM tesnila), 1x nogica za zaustavitev krila. 
~rešetke: vrata z vgrajenima zaščitnima prašnobarvanima rešetkama z mrežicama proti insektom. Zaščitna mrežica 12/12/1 mm, pritrjene na rešetko na notranji strani, z vsem pritrdilnim in tesnilnim materialom. 
a. 1x dvojna (proti vremenskim vplivom) zunanja vratna rešetka AZR-3, dim. 900/700 mm sp. rob= +10 cm
b. 1x dvojna (proti vremenskim vplivom) odvodna dvojna (proti vremenskim vplivom) zunanja vratna rešetka AZR-3, dim. 900/700 mm zg. rob= -10 cm pod vrhom vrat, v enakem barvnem odtenku kot vratno krilo.
c. notranja površina odprtine za rešetke vodotesno obložena z alu pločevino.</t>
  </si>
  <si>
    <r>
      <rPr>
        <b/>
        <sz val="11"/>
        <rFont val="Arial"/>
        <family val="2"/>
      </rPr>
      <t xml:space="preserve">Vrata V6, </t>
    </r>
    <r>
      <rPr>
        <sz val="11"/>
        <rFont val="Arial"/>
        <family val="2"/>
      </rPr>
      <t xml:space="preserve">pritličje. Glavni vhod (PT).
~opis: dvokrilna fasadna PVC vrata
~svetla mera: 190 x 255 cm
~zidarska mera: 200 x 260 cm
~vgraditev: opečna stena
~podboj: PVC, objemni, širina 20 cm, svetlo siv, RAL 7035, na zunanji strani alu maska (alu clip), vroče prašno barvana RAL 7035, podboj ravno rezan z vratnim krilom
~krilo: PVC, svetlo siv, RAL 7035, na zunanji strani alu maska (alu clip), vroče prašno barvana RAL 7035, polnilo vroče prašno barvana v RAL 7035
~profil: PVC, 70/70 mm (okvir/krilo), število komor: 5, oblika: ravne linije (npr. Ancora d.o.o., Schuco Corona CT 70 Classic), jekleni ojačitveni profil, certifikat ISO 9001
~toplotna prehodnost vrat: Ud= 0,89 W/m2K
~toplotna prehodnost steklo: Ug= 0,6 W/m2K
~zvočna izolativnost: Rw=36 dB
~zasteklitev: izolacijsko dvoslojno varnostno (kaljeno) steklo z varnostnimi oznakami v sestavi 6ESG/16/44.2VSG, varnostno steklo (2x dim. 75/135 cm), prosojno steklo, certifikat IFT Rosenheim
~okovje: 3D, vidno, večtočkovno zaklepanje (npr. Winkhaus, D45)
~tečaji: masivni (3x)
~kljuka: ALU obojestrasnka kljuka (npr. Hoppe, Liverpool F1 za cilinder)
~ključavnica: aktivno krilo: cilindrična, sistem generalnega ključa (po navodilih investitorja), neaktivno krilo: mehanizem z zapahom zgoraj in spodaj
~špaleta: obdelana kot kontaktna tankoslojna fasada
~oprema: alu nizek prag (prekinjen toplotni most), notranji žlebom za odvod morebitne vode, samozapiralo; tesnilne gume v sivi barvi, RAL montaža, avtomatsko samozapiralo s tračnico (npr. GEZE, TS 2000), troje tesnil v sivi barvi (EPDM tesnila), 2x nogica za zaustavitev krila. </t>
    </r>
  </si>
  <si>
    <r>
      <rPr>
        <b/>
        <sz val="11"/>
        <rFont val="Arial"/>
        <family val="2"/>
      </rPr>
      <t>Vrata V12</t>
    </r>
    <r>
      <rPr>
        <sz val="11"/>
        <rFont val="Arial"/>
        <family val="2"/>
      </rPr>
      <t xml:space="preserve">, pritličje. 110 kV stikališče
~opis: enokrilna fasadna PVC vrata
~svetla mera: 100 x 200 cm
~zidarska mera: 110 x 205 cm
~vgraditev: AB stena
~podboj: PVC, neobjemni, svetlo siv, RAL 7035, na zunanji strani alu maska (alu clip), vroče prašno barvana RAL 7035, podboj ravno rezan z vratnim krilom
~krilo: PVC, svetlo siv, RAL 7035, na zunanji strani alu maska (alu clip), vroče prašno barvana RAL 7035, polnilo vroče prašno barvana v RAL 7035
~profil: PVC, 70/70 mm (okvir/krilo), število komor: 5, oblika: ravne linije (npr. Ancora d.o.o., Schuco Corona CT 70 Classic), jekleni ojačitveni profil, certifikat ISO 9001
~toplotna prehodnost vrat: Ud= 0,89 W/m2K
~toplotna prehodnost steklo: /
~zvočna izolativnost: Rw=36 dB
~zasteklitev: /
~okovje: 3D, vidno, večtočkovno zaklepanje (npr. Winkhaus, D45)
~tečaji: masivni (3x)
~kljuka: ALU obojestrasnka kljuka (npr. Hoppe, Liverpool F1 za cilinder)
~ključavnica: cilindrična, sistem generalnega ključa (po navodilih investitorja)
~špaleta: obdelana kot kontaktna tankoslojna fasada
~oprema: alu nizek prag (prekinjen toplotni most), notranji žlebom za odvod morebitne vode, samozapiralo, RAL montaža, avtomatsko samozapiralo s tračnico (npr. GEZE, TS 2000), troje tesnil v sivi barvi (EPDM tesnila), 1x nogica za zaustavitev krila (višina praga 15 cm). </t>
    </r>
  </si>
  <si>
    <t>NOTRANJA LESENA VRATA</t>
  </si>
  <si>
    <t>3.2.3.2</t>
  </si>
  <si>
    <t>Dodatne zahteve:
Vrata skladna s SIST EN 1121, SIST EN 12219 (npr. Lip Bled)</t>
  </si>
  <si>
    <r>
      <rPr>
        <b/>
        <sz val="11"/>
        <rFont val="Arial"/>
        <family val="2"/>
      </rPr>
      <t>Vrata V8</t>
    </r>
    <r>
      <rPr>
        <sz val="11"/>
        <rFont val="Arial"/>
        <family val="2"/>
      </rPr>
      <t>, pritličje. Skladišče. 
~opis: enokrilna, lesena, ravno rezana notranja vrata
~svetla mera: 100 x 200 cm
~zidarska mera: 110 x 205 cm
~vgraditev: AB stena
~podboj: jeklen, pocinkan in vroče prašno barvan RAL 1014 (barva bež); 2x objemni širina 30 cm, 1x (delno objemni, širina 20 cm (zaradi dilatacije)), dvodelni suhomontažni podboj kot BOS 15ZBsd 
~okovje: 3D skrita kot Tectus TE 510 3D
~krilo: leseno-ravno rezano, finalna obloga laminat, bež barva po izbiri arhitekta
~ognjeodpornost: /
~zvočna izolativnost: 27 dB
~zasteklitev: /
~kljuka: medeninasta garnitura z rozetami (npr: Hoppe, Los Angeles, F41R)
~ključavnica: cilindrična, sistem generalnega ključa (po navodilih investitorja)
~oprema: tesnilna guma</t>
    </r>
  </si>
  <si>
    <r>
      <rPr>
        <b/>
        <sz val="11"/>
        <rFont val="Arial"/>
        <family val="2"/>
      </rPr>
      <t>Vrata V9</t>
    </r>
    <r>
      <rPr>
        <sz val="11"/>
        <rFont val="Arial"/>
        <family val="2"/>
      </rPr>
      <t>, pritličje. Sanitarije.
~opis: enokrilna, lesena, ravno rezana notranja vrata
~svetla mera: 80 x 200 cm
~zidarska mera: 90 x 205 cm
~vgraditev: AB stena
~podboj: jeklen, pocinkan in vroče prašno barvan RAL 1014 (barva bež); delno objemni, širina 20 cm (zaradi dilatacije), dvodelni suhomontažni podboj kot BOS 15ZBsd 
~okovje: 3D skrita kot Tectus TE 510 3D
~krilo: leseno-ravno rezano, finalna obloga laminat, bež barva po izbiri arhitekta
~ognjeodpornost: /
~zvočna izolativnost: 27 dB
~zasteklitev: /
~kljuka: medeninasta garnitura z rozetami (npr.: Hoppe, Los Angeles, F41R)
~ključavnica: cilindrična, sistem generalnega ključa (po navodilih investitorja)
~oprema: vratna rešetka alu dim. 425 x 125 mm (npr. IMP Klima, tip AR-4/P), tesnilna guma</t>
    </r>
  </si>
  <si>
    <r>
      <rPr>
        <b/>
        <sz val="11"/>
        <rFont val="Arial"/>
        <family val="2"/>
      </rPr>
      <t>Vrata V10</t>
    </r>
    <r>
      <rPr>
        <sz val="11"/>
        <rFont val="Arial"/>
        <family val="2"/>
      </rPr>
      <t>, pritličje. Sanitarije.
~opis: enokrilna, lesena, ravno rezana notranja vrata
~svetla mera: 70 x 200 cm
~zidarska mera: 80 x 205 cm
~vgraditev: stena iz mavčnokartonskih plošč
~podboj: jeklen, pocinkan in vroče prašno barvan RAL 1014 (barva bež); delno objemni, širina 20 cm (zaradi dilatacije), dvodelni suhomontažni podboj kot BOS 15ZBsd 
~okovje: 3D skrita kot Tectus TE 510 3D
~krilo: leseno-ravno rezano, finalna obloga laminat, bež barva po izbiri arhitekta
~ognjeodpornost: /
~zvočna izolativnost: 27 dB
~zasteklitev: /
~kljuka: medeninasta garnitura z rozetami (npr.: Hoppe, Los Angeles, F41R)
~ključavnica: metuljček 
~oprema: spodnji rob spodrezan 2 cm (zračenje), tesnilna guma</t>
    </r>
  </si>
  <si>
    <r>
      <rPr>
        <b/>
        <sz val="11"/>
        <rFont val="Arial"/>
        <family val="2"/>
      </rPr>
      <t>Vrata V14</t>
    </r>
    <r>
      <rPr>
        <sz val="11"/>
        <rFont val="Arial"/>
        <family val="2"/>
      </rPr>
      <t>, nadstropje. Komandni prostor.
~opis: dvokrilna, lesena, ravno rezana notranja vrata
~svetla mera: 150 x 205 cm
~zidarska mera: 160 x 210 cm
~vgraditev: opečna stena
~podboj: jeklen, pocinkan in vroče prašno barvan RAL 1014 (barva bež); delno objemni, širina 20 cm (zaradi dilatacije), dvodelni suhomontažni podboj kot BOS 15ZBsd 
~okovje: 3D skrita kot Tectus TE 510 3D
~krilo: leseno-ravno rezano, finalna obloga laminat, bež barva po izbiri arhitekta
~ognjeodpornost: /
~zvočna izolativnost: 27 dB
~zasteklitev: steklo z varnostnimi oznakami v sestavi 6ESG/16/44.2VSG, varnostno steklo dim. 2x 50/80 cm.
~kljuka: medeninasta garnitura z rozetami (npr.: Hoppe, Los Angeles, F41R)
~ključavnica: aktivno krilo: cilindrična, sistem generalnega ključa (po navodilih investitorja), neaktivno krilo: mehanizem z zapahom zgoraj in spodaj
~oprema: tesnilna guma</t>
    </r>
  </si>
  <si>
    <t>ZUNANJA ALU VRATA</t>
  </si>
  <si>
    <t>3.2.3.3</t>
  </si>
  <si>
    <t>Vsa vrata morajo biti ozemljena. Vključiti naslednje:
~ kovinski podboji s predpripravljenimi izpusti za ozemljitve
~ kovinski podboj in vratno krilo povezana z ozemljilnim kablom
~ pri vgradnji upoštevati ustreznost tehnologije ozemljevanja
Vrata skladna z UNI EN 573, UNI EN 755-2, DIN EN 755 T2, DIN EN 573 T3, UNI EN 12020-2, EN 1026, EN 12207, EN 1027, EN 12208, EN 12211, EN 12210, EN 20140-3, EN ISO 140-3 in EN ISO 717-1</t>
  </si>
  <si>
    <r>
      <rPr>
        <b/>
        <sz val="11"/>
        <rFont val="Arial"/>
        <family val="2"/>
      </rPr>
      <t>Vrata V5</t>
    </r>
    <r>
      <rPr>
        <sz val="11"/>
        <rFont val="Arial"/>
        <family val="2"/>
      </rPr>
      <t>, Kabelski prostor 20 kV stikališča (PT) in 20 kV stikališče (1.N) 
~opis: dvokrilna izolativna fasadna, vroče prašno barvana aluminijasta vrata
~svetla mera: 200 x 255 cm
~zidarska mera: 210 x 260 cm
~vgraditev: opečna stena
~podboj: alu, prekinjen toplotni most, vroče prašno barvan RAL 7035, ravno rezan z vratnim krilom
~krilo: 80 mm termo ločeni profili s 70 mm polnilom, prekinjen toplotni most,  vroče prašno barvano RAL 7035
~toplotna prehodnost vrat: Ud= 1,1 W/m2K
~toplotna prehodnost steklo: Ug= 0,6 W/m2K
~zvočna izolativnost: Rw=36 dB
~zasteklitev: 2x dim. 80/135 cm:
a. izolacijsko dvoslojno varnostno (kaljeno) steklo z varnostnimi oznakami v sestavi 6ESG/16/44.2VSG, varnostno steklo, satinirano (neprosojno), certifikat IFT Rosenheim (vrata v PT)
b. steklo 4-14-4 SATINATO (neprosojno)-14-4 Ug=0,6 W/m2K TGI črni (vrata v NAD)
~okovje: 3D, vidno, večtočkovno zaklepanje (npr. Winkhaus, D45)
~tečaji: masivni (3x)
~kljuka: ALU obojestranska kljuka (npr. Hoppe, Liverpool F1 za cilinder)
~ključavnica: cilindrična, sistem generalnega ključa (po navodilih investitorja)
~špaleta: obdelana kot kontaktna tankoslojna fasada
~oprema: alu nizek prag (prekinjen toplotni most), notranji žlebom za odvod morebitne vode, samozapiralo; tesnilne gume v sivi barvi, RAL montaža, avtomatsko samozapiralo s tračnico (npr. GEZE, TS 2000), troje tesnil v sivi barvi (EPDM tesnila), 2x nogica za zaustavitev krila (vrata v PT), 2x ročica na višini praga za zaustavitev krila (vrata v NAD). 
~rešetke: vrata z vgrajenima zaščitnima prašnobarvanima rešetkama z mrežicama proti insektom (samo vrata v PT). Zaščitna mrežica 12/12/1 mm, pritrjene na rešetko na notranji strani, z vsem pritrdilnim in tesnilnim materialom: a. 2x dvojni (proti vremenskim vplivom) zunanji vratni rešetki AZR-3 800/800 mm sp. rob= +10 cm; b. notranja površina odprtine za rešetke vodotesno obložena z alu pločevino.</t>
    </r>
  </si>
  <si>
    <r>
      <rPr>
        <b/>
        <sz val="11"/>
        <rFont val="Arial"/>
        <family val="2"/>
      </rPr>
      <t>Vrata V15,</t>
    </r>
    <r>
      <rPr>
        <sz val="11"/>
        <rFont val="Arial"/>
        <family val="2"/>
      </rPr>
      <t xml:space="preserve"> Komandni prostor - montažni vhod (1.N)
~opis: dvokrilna izolativna fasadna, vroče prašno barvana aluminijasta vrata
~svetla mera: 200 x 245 cm
~zidarska mera: 210 x 250 cm
~vgraditev: opečna stena
~podboj: alu, prekinjen toplotni most, vroče prašno barvan RAL 7035, ravno rezan z vratnim krilom
~krilo: 80 mm termo ločeni profili s 70 mm polnilom, prekinjen toplotni most, vroče prašno barvano RAL 7035
~toplotna prehodnost vrat: Ud= 1,1 W/m2K
~toplotna prehodnost steklo: Ug= 0,6 W/m2K
~zvočna izolativnost: Rw=36 dB
~zasteklitev: 2x dim. 80/40 cm, steklo 4-14-4 -14-4 Ug=0,6 W/m2K TGI črni, reflektivno steklo 
~okovje: 3D, vidno, večtočkovno zaklepanje (npr. Winkhaus, D45)
~tečaji: masivni (3x)
~kljuka: ALU obojestranska kljuka (npr. Hoppe, Liverpool F1 za cilinder)
~ključavnica: cilindrična, sistem generalnega ključa (po navodilih investitorja)
~špaleta: obdelana kot kontaktna tankoslojna fasada
~oprema: alu nizek prag (prekinjen toplotni most), notranji žlebom za odvod morebitne vode, samozapiralo; tesnilne gume v sivi barvi, RAL montaža, avtomatsko samozapiralo s tračnico (npr. GEZE, TS 2000), troje tesnil v sivi barvi (EPDM tesnila), 2x ročica na višini praga za zaustavitev krila </t>
    </r>
  </si>
  <si>
    <t>POŽARNA LESENA VRATA</t>
  </si>
  <si>
    <t>3.2.3.4</t>
  </si>
  <si>
    <t>Vsa vrata morajo biti ozemljena. Vključiti naslednje:
~ kovinski podboji s predpripravljenimi izpusti za ozemljitve
~ pri vgradnji upoštevati ustreznost tehnologije ozemljevanja
~ tesnitev med oknom in steno izvesti s protipožarnimi tesnili 
Vrata skladna z EN 1634-1, EN 1364-1, EN 13501-2, EN 1191, EN 1627, EN 1634-3, EN 13501-2, EN 14600, EN 1191, SIST EN 1121, SIST EN 12219, EN ISO 10140-1, EN ISO 10140-2,
EN ISO 717-1, DIN 4109 (npr. Lip bled)</t>
  </si>
  <si>
    <r>
      <rPr>
        <b/>
        <sz val="11"/>
        <rFont val="Arial"/>
        <family val="2"/>
      </rPr>
      <t>Vrata V1P</t>
    </r>
    <r>
      <rPr>
        <sz val="11"/>
        <rFont val="Arial"/>
        <family val="2"/>
      </rPr>
      <t>, klet. Vrata v kabelskem prostoru 110 kV stikališča. 
~opis: enokrilna, lesena, ravno rezana notranja vrata
~svetla mera: 100 x 200 cm
~zidarska mera: 110 x 205 cm
~vgraditev: AB stena
~podboj: jeklen, pocinkan in vroče prašno barvan RAL 1014 (barva bež); objemni, širina zidu 30 cm, dvodelni suhomontažni podboj kot BOS 15ZBsd 
~okovje: 3D skrita kot Tectus TE 510 3D
~krilo: leseno-ravno rezano, finalna obloga laminat, bež barva po izbiri arhitekta
~ognjeodpornost: EI-30 C
~zvočna izolativnost: 27 dB
~kljuka: medeninasta garnitura z rozetami (npr.: Hoppe, Los Angeles, F41R)
~ključavnica: cilindrična, sistem generalnega ključa (po navodilih investitorja)
~oprema: avtomatsko samozapiralo s tračnico (npr. GEZE, TS 2000), ognjevarna tesnila</t>
    </r>
  </si>
  <si>
    <r>
      <rPr>
        <b/>
        <sz val="11"/>
        <rFont val="Arial"/>
        <family val="2"/>
      </rPr>
      <t>Vrata V7P</t>
    </r>
    <r>
      <rPr>
        <sz val="11"/>
        <rFont val="Arial"/>
        <family val="2"/>
      </rPr>
      <t>, pritličje. Vrata v AKU prostoru.
~opis: enokrilna, lesena, ravno rezana notranja vrata
~svetla mera: 80 x 200 cm
~zidarska mera: 90 x 205 cm
~vgraditev: opečna stena
~podboj: jeklen, pocinkan in vroče prašno barvan RAL 1014 (barva bež); objemni, dvodelni suhomontažni podboj kot BOS 15ZBsd 
~okovje: 3D skrita kot Tectus TE 510 3D
~krilo: leseno-ravno rezano, finalna obloga laminat, bež barva po izbiri arhitekta
~ognjeodpornost: EI-30 C
~zvočna izolativnost: 27 dB
~kljuka: medeninasta garnitura z rozetami (npr.: Hoppe, Los Angeles, F41R)
~ključavnica: cilindrična, sistem generalnega ključa (po navodilih investitorja)
~oprema: avtomatsko samozapiralo s tračnico (npr. GEZE, TS 2000), ognjevarna tesnila</t>
    </r>
  </si>
  <si>
    <r>
      <rPr>
        <b/>
        <sz val="11"/>
        <rFont val="Arial"/>
        <family val="2"/>
      </rPr>
      <t>Vrata V7P</t>
    </r>
    <r>
      <rPr>
        <sz val="11"/>
        <rFont val="Arial"/>
        <family val="2"/>
      </rPr>
      <t>, vrata v kabelskem prostoru 20 kV stikališča (PT) in 20 kV stikališču (1.N).
~opis: enokrilna, lesena, ravno rezana notranja vrata
~svetla mera: 80 x 200 cm
~zidarska mera: 90 x 205 cm
~vgraditev: opečna stena
~podboj: jeklen, pocinkan in vroče prašno barvan RAL 1014 (barva bež); objemni, dvodelni suhomontažni podboj kot BOS 15ZBsd 
~okovje: 3D skrita kot Tectus TE 510 3D
~krilo: leseno-ravno rezano, finalna obloga laminat, bež barva po izbiri arhitekta
~ognjeodpornost: EI-30 C
~zvočna izolativnost: 27 dB
~kljuka: medeninasta garnitura z rozetami (npr.: Hoppe, Los Angeles, F41R)
~ključavnica: cilindrična, sistem generalnega ključa (po navodilih investitorja), kovinska bunka na zunanji strani prostora, naletna kljuka na notranji strani prostora. Vrata so opremljena z električno ključavnico s sistemom kontrole pristopa in z naletno kljuko z deblokado ključavnice (vse dobavi dobavitelj vrat). Vrata s kontrolo pristopa morajo biti opremljena s: hidravličnim avtomatskim samozapiralom, notranjo ključavnico z vzvodom, bunko na strani, kjer je čitalno mesto, naletno kljuko v primeru požara, prenosnikom toka (za ključavnico / prijemnik) na dvokrilnih vratih 
~oprema: avtomatsko samozapiralo s tračnico (npr. GEZE, TS 2000), ognjevarna tesnila</t>
    </r>
  </si>
  <si>
    <r>
      <rPr>
        <b/>
        <sz val="11"/>
        <rFont val="Arial"/>
        <family val="2"/>
      </rPr>
      <t>Vrata V8P</t>
    </r>
    <r>
      <rPr>
        <sz val="11"/>
        <rFont val="Arial"/>
        <family val="2"/>
      </rPr>
      <t>, pritličje. Prostor lastne rabe in prostor 110 kV stikališče.
~opis: enokrilna, lesena, ravno rezana notranja vrata
~svetla mera: 100 x 200 cm
~zidarska mera: 110 x 205 cm
~vgraditev: AB stena
~podboj: jeklen, pocinkan in vroče prašno barvan RAL 1014 (barva bež); objemni, dvodelni suhomontažni podboj kot BOS 15ZBsd 
~okovje: 3D skrita kot Tectus TE 510 3D
~krilo: leseno-ravno rezano, finalna obloga laminat, bež barva po izbiri arhitekta
~ognjeodpornost: EI-30 C
~zvočna izolativnost: 27 dB
~kljuka: medeninasta garnitura z rozetami (npr.: Hoppe, Los Angeles, F41R)
~ključavnica: cilindrična, sistem generalnega ključa (po navodilih investitorja)
~oprema: avtomatsko samozapiralo s tračnico (npr. GEZE, TS 2000), ognjevarna tesnila</t>
    </r>
  </si>
  <si>
    <r>
      <rPr>
        <b/>
        <sz val="11"/>
        <rFont val="Arial"/>
        <family val="2"/>
      </rPr>
      <t>Vrata V13P</t>
    </r>
    <r>
      <rPr>
        <sz val="11"/>
        <rFont val="Arial"/>
        <family val="2"/>
      </rPr>
      <t>, pritličje. Kab. jašek
~opis: dvokrilna, lesena, ravno rezana notranja vrata
~svetla mera: 140 x 245 cm
~zidarska mera: 150 x 250 cm
~vgraditev: AB stena
~podboj: jeklen, pocinkan in vroče prašno barvan RAL 1014 (barva bež); objemni, dvodelni suhomontažni podboj kot BOS 15ZBsd 
~okovje: 3D skrita kot Tectus TE 510 3D
~krilo: leseno-ravno rezano, finalna obloga laminat, bež barva po izbiri arhitekta
~ognjeodpornost: EI-30 C
~zvočna izolativnost: 27 dB
~kljuka: medeninasta garnitura z rozetami (npr.: Hoppe, Los Angeles, F41R)
~ključavnica: cilindrična, sistem generalnega ključa (po navodilih investitorja)
~oprema: avtomatsko samozapiralo s tračnico (npr. GEZE, TS 2000), ognjevarna tesnila</t>
    </r>
  </si>
  <si>
    <t>SEKCIJSKA DVIŽNA VRATA</t>
  </si>
  <si>
    <t>3.2.3.5</t>
  </si>
  <si>
    <t>Izdelava, dobava in montaža vrat po spodnjem opisu:
Vsa vrata morajo biti ozemljena. Vključiti naslednje:
~ vodila in nosilna konstrukcija s predpripravljenimi izpusti za ozemljitve
~ pri vgradnji upoštevati ustreznost tehnologije ozemljevanja</t>
  </si>
  <si>
    <r>
      <rPr>
        <b/>
        <sz val="11"/>
        <rFont val="Arial"/>
        <family val="2"/>
      </rPr>
      <t>Vrata V11</t>
    </r>
    <r>
      <rPr>
        <sz val="11"/>
        <rFont val="Arial"/>
        <family val="2"/>
      </rPr>
      <t xml:space="preserve">, pritličje, 110 kV stikališče.
~opis: sekcijska zunanja vrata (npr. Zorman d.o.o., industrijska vrata CRAWFORD tip 1042P)
~svetla mera: 450 x 450 cm
~zidarska mera: 450 x 450 cm
~vgraditev: AB stena
~paneli: sendvič panel iz jeklene pločevine z vmesno poliuretansko peno (brez CFC), višina panela je 545 mm (spodnja tesnilna guma je O-oblike, katera omogoča boljše tesnjenje in deluje kot blažilec), prašno barvano, nestandardna RAL 7035
~toplotna prehodnost: deb. 42 mm; Ud= 1,10 W/m2K po normi: CEN pr EN 12428
~toplotna prehodnost steklo: /
~odpornost na obremenitve zaradi vetra: 700 N/m2 po normi: pr EN 12424 class 3 (za vrata do 4 x 3,31m)
~zvočna izolativnost: Rw=25 dB po EN ISO 10140-2
~zasteklitev: /
~kljuka: /
~vrata: /
~upravljanje: avtomatsko preko krmilne omarice, varovanje avtomatike na dotik (pnevmatsko stikalo v spodnji tesnilni gumi), preklop na ročno preko vrvi enofazni pogon CDM9-950; 230V; 370W, 50/60Hz, IP55 hitrost odpiranja - 25m/s, zapiranje 0,25 m/s
~vodila: SL- standardna (min. 500 mm preklade) - torzijske vzmeti nad vrati (na prekladi)
~življenjska doba vzmeti: 20.000 ciklov
~oprema: vodila HL 3300 mm- povišan sistem vodenja vrat po prekladi, dodatne ojačitve za vetrno odpornost do 180 km/h, široki zaključki panelov, vsi paneli z enim 80 mm nosilcem, tesnilna guma
~varnost: zaščita proti ujetju prstov med segmenti, varovalo proti lomu vzmeti
~vrata skladna z EN12424, EN12425, EN12426, EN12428, ISO 10140-2, EN12453 in EN12604 </t>
    </r>
  </si>
  <si>
    <t>OKNA</t>
  </si>
  <si>
    <t>Vse mere pred izvedbo oken kontrolirati na objektu in izvedbo prilagoditi dejanskemu stanju!</t>
  </si>
  <si>
    <t>PVC OKNA</t>
  </si>
  <si>
    <t>3.2.3.6</t>
  </si>
  <si>
    <t>Izdelava, dobava in montaža oken po spodnjem opisu:</t>
  </si>
  <si>
    <t>Statična ojačitev s konvencionalnimi jeklenimi ojačitvami, s tremi ravni tesnjenja, z EPDM tesnili. 
Izolacijska stekla so lepljena v okenska krila (statika). Upoštevati je potrebno zidarsko popravilo notranjih špalet obstoječih odprtin.
Dodatne zahteve:
Okna skladna s SIST EN 14351-1:2006 + A1:2010, EN1027, EN14351-1/4.6, EN12211, EN948, EN ISO 140-3 / EN ISO 717-1, ISO 10077 / EN ISO 12567-1/2, EN1026</t>
  </si>
  <si>
    <r>
      <rPr>
        <b/>
        <sz val="11"/>
        <rFont val="Arial"/>
        <family val="2"/>
      </rPr>
      <t>Okno O1</t>
    </r>
    <r>
      <rPr>
        <sz val="11"/>
        <rFont val="Arial"/>
        <family val="2"/>
      </rPr>
      <t xml:space="preserve"> 
~opis: enodelno okno iz PVC profilov 
~zidarska mera: 60 x 120 cm
~vgraditev: AB stena
~okvir: PVC, svetlo siv, RAL 7035, na zunanji strani alu maska (alu clip), vroče prašno barvana RAL 7035
~profil: PVC, 82/82 mm (okvir/krilo), število komor: 7, oblika: ravne linije (npr. Ancora d.o.o., SCHUCO LIVING 82 MD)
~zasteklitev: troslojno, izolacijsko 4-14-4 (satinirano-neprosojno)-14-4 TGI črni, (okno v PT - 1x neprosojno, okni v NAD - 2x prosojno)
~odpiranje: kombinirano
~parapet: 100 cm
~zunanja in notranja polica: kamnita (zajeto v kamnoseških delih)
~špaleta: obdelna kot fasadna površina
~toplotna prehodnost steklo: Ug= 0,6 W/m2K
~toplotna prehodnost celota: Uw= 0,72 W/m2K
~zvočne zahteve: 36 dB
~ognjeodpornost: /
~oprema: tesnilne gume v sivi barvi; vgradnja po RAL smernicah
~kljuka: alu kljuka, obdelava F1 (npr. Hoppe, Pololiva Luxembourg secustik)
~okovje: kovinsko okvje, vidno, osemkotni varnostni zaporni element, obdelava F9 (npr. Winkhaus, ActivPilot)</t>
    </r>
  </si>
  <si>
    <r>
      <rPr>
        <b/>
        <sz val="11"/>
        <rFont val="Arial"/>
        <family val="2"/>
      </rPr>
      <t xml:space="preserve">Okno O2 </t>
    </r>
    <r>
      <rPr>
        <sz val="11"/>
        <rFont val="Arial"/>
        <family val="2"/>
      </rPr>
      <t xml:space="preserve">
~opis: enodelno okno iz PVC profilov 
~zidarska mera: 110 x 120 cm
~vgraditev: AB in opečna stena
~okvir: PVC, svetlo siv, RAL 7035, na zunanji strani alu maska (alu clip), vroče prašno barvana RAL 7035
~profil: PVC, 82/82 mm (okvir/krilo), število komor: 7, oblika: ravne linije (npr. Ancora d.o.o., SCHUCO LIVING 82 MD)
~zasteklitev: troslojno, izolcijsko 4-14-4-14-4 TGI črni, prosojno
~odpiranje: kombinirano
~parapet: 100 cm
~zunanja in notranja polica: kamita (zajeto v kamnoseških delih)
~špaleta: obdelna kot fasadna površina
~toplotna prehodnost steklo: Ug= 0,6 W/m2K
~toplotna prehodnost celota: Uw= 0,72 W/m2K
~zvočne zahteve: 36 dB
~ognjeodpornost: /
~oprema: tesnilne gume v sivi barvi; vgradnja po RAL smernicah
~kljuka: alu kljuka, obdelava F1 (npr. Hoppe, Pololiva Luxembourg secustik)
~okovje: kovinsko okvje, vidno, osemkotni varnostni zaporni element, obdelava F9 (npr. Winkhaus, ActivPilot)</t>
    </r>
  </si>
  <si>
    <r>
      <rPr>
        <b/>
        <sz val="11"/>
        <rFont val="Arial"/>
        <family val="2"/>
      </rPr>
      <t xml:space="preserve">Okno O3 </t>
    </r>
    <r>
      <rPr>
        <sz val="11"/>
        <rFont val="Arial"/>
        <family val="2"/>
      </rPr>
      <t xml:space="preserve">
~opis: enodelno okno iz PVC profilov 
~zidarska mera: 120 x 120 cm
~vgraditev: opečna stena
~okvir: PVC, svetlo siv, RAL 7035, na zunanji strani alu maska (alu clip), vroče prašno barvana RAL 7035
~profil: PVC, 82/82 mm (okvir/krilo), število komor: 7, oblika: ravne linije (npr. Ancora d.o.o., SCHUCO LIVING 82 MD)
~zasteklitev: troslojno, izolacijsko 4-14-4-14-4 TGI črni, prosojno
~odpiranje: kombinirano
~parapet: 100 cm
~zunanja in notranja polica: kamnita (zajeto v kamnoseških delih)
~špaleta: obdelana kot fasadna površina
~toplotna prehodnost steklo: Ug= 0,6 W/m2K
~toplotna prehodnost celota: Uw= 0,72 W/m2K
~zvočne zahteve: 36 dB
~ognjeodpornost: /
~oprema: tesnilne gume v sivi barvi; vgradnja po RAL smernicah
~kljuka: alu kljuka, obdelava F1 (npr. Hoppe, Pololiva Luxembourg secustik)
~okovje: kovinsko okvje, vidno, osemkotni varnostni zaporni element, obdelava F9 (npr. Winkhaus, ActivPilot)</t>
    </r>
  </si>
  <si>
    <r>
      <rPr>
        <b/>
        <sz val="11"/>
        <rFont val="Arial"/>
        <family val="2"/>
      </rPr>
      <t xml:space="preserve">Okno O4 </t>
    </r>
    <r>
      <rPr>
        <sz val="11"/>
        <rFont val="Arial"/>
        <family val="2"/>
      </rPr>
      <t xml:space="preserve">
~opis: dvodelno okno iz PVC profilov 
~zidarska mera: 150 x 260 cm
~vgraditev: opečna stena
~okvir: PVC, svetlo siv, RAL 7035, na zunanji strani alu maska (alu clip), vroče prašno barvana RAL 7035, s horizontalno prečko
~profil: PVC, 82/82 mm (okvir/krilo), število komor: 7, oblika: ravne linije (npr. Ancora d.o.o., SCHUCO LIVING 82 MD)
~zasteklitev: troslojno, izolacijsko 4-14-4-14-4 TGI črni, prosojno
~odpiranje: kombinirano
~parapet: 30 cm
~zunanja in notranja polica: kamnita (zajeto v kamnoseških delih)
~špaleta: obdelana kot fasadna površina
~toplotna prehodnost steklo: Ug= 0,6 W/m2K
~toplotna prehodnost celota: Uw= 0,72 W/m2K
~zvočne zahteve: 36 dB
~ognjeodpornost: /
~oprema: tesnilne gume v sivi barvi; vgradnja po RAL smernicah
~kljuka: alu kljuka, obdelava F1 (npr. Hoppe, Pololiva Luxembourg secustik)
~okovje: kovinsko okovje, vidno, osemkotni varnostni zaporni element, obdelava F9 (npr. Winkhaus, ActivPilot)</t>
    </r>
  </si>
  <si>
    <r>
      <rPr>
        <b/>
        <sz val="11"/>
        <rFont val="Arial"/>
        <family val="2"/>
      </rPr>
      <t xml:space="preserve">Okno O6 </t>
    </r>
    <r>
      <rPr>
        <sz val="11"/>
        <rFont val="Arial"/>
        <family val="2"/>
      </rPr>
      <t xml:space="preserve">
~opis: dvodelno okno iz PVC profilov 
~zidarska mera: 200 x 120 cm
~vgraditev: AB stena
~okvir: PVC, svetlo siv, RAL 7035, na zunanji strani alu maska (alu clip), vroče prašno barvana RAL 7035, z vertikalno prečko
~profil: PVC, 82/82 mm (okvir/krilo), število komor: 7, oblika: ravne linije (npr. Ancora d.o.o., SCHUCO LIVING 82 MD)
~zasteklitev: troslojno, izolacijsko 4-14-4-14-4 TGI črni, prosojno
~odpiranje: 1x kombinirano, 1x horizontalna os
~parapet: 330 cm
~zunanja in notranja polica: kamnita (zajeto v kamnoseških delih)
~špaleta: obdelana kot fasadna površina
~toplotna prehodnost steklo: Ug= 0,6 W/m2K
~toplotna prehodnost celota: Uw= 0,72 W/m2K
~zvočne zahteve: 36 dB
~ognjeodpornost: /
~oprema: mehanizem za odpiranje s podaljšano ročico (1x, samo del okna ob dvižnih vratih); tesnilne gume v sivi barvi; vgradnja po RAL smernicah
~kljuka: alu kljuka, obdelava F1 (npr. Hoppe, Pololiva Luxembourg secustik)
~okovje: kovinsko okovje, vidno, osemkotni varnostni zaporni element, obdelava F9 (npr. Winkhaus, ActivPilot)</t>
    </r>
  </si>
  <si>
    <t>POŽARNO OKNO</t>
  </si>
  <si>
    <t>3.2.3.7</t>
  </si>
  <si>
    <t>Okno mora biti ozemljena. Vključiti naslednje:
~ kovinski okvir s predpripravljenimi izpustom za ozemljitve
~ pri vgradnji upoštevati ustreznost tehnologije ozemljevanja
~ tesnitev med oknom in steno izvesti s protipožarnimi tesnili
Okno skladno z UNI EN 573, UNI EN 755-2, DIN EN 755 T2, DIN EN 573 T3, UNI EN 12020-2, EN 1026, EN 12207, EN 1027, EN 12208, EN 12211, EN 12210, EN 20140-3, EN ISO 140-3 in EN ISO 717-1</t>
  </si>
  <si>
    <r>
      <rPr>
        <b/>
        <sz val="11"/>
        <rFont val="Arial"/>
        <family val="2"/>
      </rPr>
      <t>Okno O5</t>
    </r>
    <r>
      <rPr>
        <sz val="11"/>
        <rFont val="Arial"/>
        <family val="2"/>
      </rPr>
      <t xml:space="preserve">
~opis: enodelno fiksno požarno okno iz ALU profilov 
~zidarska mera: 200 x 120 cm
~vgraditev: AB stena
~okvir: ALU, svetlo siv, vroče prašno barvana RAL 7035
~profil: PVC, 52/52 mm (okvir), število komor: 7, oblika: ravne linije (npr. Ancora d.o.o., NEWTEC 52)
~zasteklitev: ALU profil EI 60, prosojno
~odpiranje: /
~parapet: 100 cm
~notranja polica: kamnita (zajeto v kamnoseških delih) - polica v kom. prostoru, vgradnja okna do roba stene
~špaleta: obdelana kot notranja ometana površina
~toplotna prehodnost steklo: /
~toplotna prehodnost celota: /
~zvočne zahteve: 36 dB
~ognjeodpornost: EI 60
~oprema: požarno odporne tesnilne gume v sivi barvi; vgradnja po RAL smernicah
~kljuka: /
~okovje: /</t>
    </r>
  </si>
  <si>
    <t>GIBLJIVI BRISOLEJI</t>
  </si>
  <si>
    <t>3.2.3.8</t>
  </si>
  <si>
    <t xml:space="preserve">Dobava in montaža gibljivih alu brisolejev, lamela senčila širine 207 mm (npr. sistem ALUK FRS, tip K 687), vertikalni nosilec lamel Alu 40x50x3 mm (npr. sistem ALUK FRS) in podkonstrukcijo v fasadi, premična palica elektromotornega pogona, elektro motor,  upravljanje elektromotorja, barva brisolejev RAL 7035. Vključno z izvedbo el. instalacij do notranjega komandnega stikala. Z vsem pomožnim in pritrdilnim materialom. Vsa nosilna konstrukcija brislejev mora biti zemljena. </t>
  </si>
  <si>
    <t>~ dim. 110 x 120 cm (za okno O2), parapet 100 cm
gibljivi zunanji brisolej z motornim pogonom (samo spreminjanje kota)</t>
  </si>
  <si>
    <t>~ dim. 120 x 120 cm (za okno O3), parapet 100 cm
gibljivi zunanji brisolej z motornim pogonom (samo spreminjanje kota)</t>
  </si>
  <si>
    <t>NEPREMIČNI BRISOLEJI</t>
  </si>
  <si>
    <t>3.2.3.9</t>
  </si>
  <si>
    <t xml:space="preserve">Dobava in montaža fiksnih alu brisolejev, lamela senčila širine 207 mm (npr. sistem ALUK FRS, tip K 672), z možnostjo ročnega spreminjanja naklona posameznih lamel, vertikalni nosilec lamel Alu 50x90x3 mm, zaokrožen (npr. sistem ALUK FRS, tip K 695) in podkonstrukcijo v fasadi, barva RAL 7035. Z vsem pomožnim in pritrdilnim materialom. Vsa nosilna konstrukcija brislejev morajo biti ozemljene. </t>
  </si>
  <si>
    <t>~ dim. 200 x 120 cm (za okno O6), parapet na višini 330 cm
s fiksnim zunanjim brisolejem, ločen od okna</t>
  </si>
  <si>
    <t>KOMARNIKI</t>
  </si>
  <si>
    <t>3.2.3.10</t>
  </si>
  <si>
    <t>Dobava in vgradnja notranjih fiksnih snemljivih komarnikov. Mreža fiberglas UV stabilna, zadrži tudi najmanjše insekte ter do 90 % cvetnega prahu (npr. Senčila, Transpatec mikro), okvir sive barve (enako kot okna) z vsem pomožnim in pritrdilnim materialom:</t>
  </si>
  <si>
    <t>~ dim. 60 x 120 cm (za okno O1)</t>
  </si>
  <si>
    <t>~ dim. 110 x 120 cm (za okno O2)</t>
  </si>
  <si>
    <t>~ dim. 120 x 120 cm (za okno O3)</t>
  </si>
  <si>
    <t>~ dim. 150 x 260 cm (za okno O4)</t>
  </si>
  <si>
    <t>~ dim. 200 x 120 cm, (za okno O6 -110 kV stikališča)</t>
  </si>
  <si>
    <t>SKUPAJ STAVBNO POHIŠTVO:</t>
  </si>
  <si>
    <t>3.2.4</t>
  </si>
  <si>
    <t>KLJUČAVNIČARSKA DELA</t>
  </si>
  <si>
    <t>OPOMBA: 
Vsi ključavničarski izdelki morajo biti zaščiteni proti koroziji (razen inox) - pocinkani ali z vsaj enim temeljnim premazom. Vsi kovinski elementi morajo imeti pripravljeni s predpripravljenimi izpusti za ozemljitve in biti ozemeljena.</t>
  </si>
  <si>
    <t>3.2.4.1</t>
  </si>
  <si>
    <t>Izdelava, dobava in montaža notranje inox stopniščne ograje ali ročaja. Kompletno z vsem inox spojnim in pritrdilnim materialom;</t>
  </si>
  <si>
    <t>~ notranja stopniščna ograja, vsi deli ograje inox, vse površine matirane, ograja višine 100 cm, stebrički inox mat fi 40 mm, privarjeni na ploščo 100x100x10 mm, privijačena v stransko ploskev stopniščne rame, ročaji - cevi fi 45 mm, pod ročajem 5x horizontalne vmesne palice fi 10 mm, na medsebojni razdalji 12 cm. Vključno z vsem pomožnim in pritrdilnim materialom.</t>
  </si>
  <si>
    <t>Ravne ograje:</t>
  </si>
  <si>
    <t xml:space="preserve">~ ograja dim. 123 x 100 cm, na 2 stebričkih. </t>
  </si>
  <si>
    <t xml:space="preserve">~ ograja dim. 15 x 100 cm, na 2 stebričkih. </t>
  </si>
  <si>
    <t>Poševne ograje:</t>
  </si>
  <si>
    <t xml:space="preserve">~ ograja dim. 227 x 100 cm, na 3 stebričkih. </t>
  </si>
  <si>
    <t>~ stopniščni ročaj inox fi 45 mm ob stopnišču, površina matirana, ročaji na koncih zakrivljeni. Ročaj montirani na konzole. Konzole iz ukrivljene palice fi 30 mm, privajene na ploščici fi 80 mm deb. 8 mm, obdelava površine mat, 3x privijačeno v AB zid. Vključno z vsem pritrdilnim in pomožnim materialom.
Ročaji na stopnišču.</t>
  </si>
  <si>
    <t>b1.</t>
  </si>
  <si>
    <t>~ ročaj dim. 227 cm, na 2 konzolah. V kleti.</t>
  </si>
  <si>
    <t>~ demontažna notranja lesena ograja, mat površina, dim. 210 x 50 cm, zgornji rob ročaja na višini 115 cm nad tlemi zaradi dostopa do kljuke. 
- 2x ročaj Ø 60 mm, lepljen les, prebarvan v barvi vrat, pritrjen v U profil 
- 2 x inox U profil dim. 60/60 cm višine 50 cm s štirimi luknjami za demontažo.
- 4x inox nasadilni vijaki, pritrjeni v zid
vključno z vsem pomožnim in pritrdilnim materialom. Dolžina ograje 210 m. Vrata V15 - Komandni prostor (1.N) in 20 kV stikališču.</t>
  </si>
  <si>
    <t>3.2.4.2</t>
  </si>
  <si>
    <t>Izdelava, dobava in montaža droga za GPS anteno, inox cev Ø 75 mm, 3x ukrivljena, inox rozeta na fasadi, kompletno z vsem pritrdilnim materialom za pritrditev na fasado. Antena poteka od dvojnega poda v kom. prostoru.</t>
  </si>
  <si>
    <t>SKUPAJ KLJUČAVNIČARSKA DELA:</t>
  </si>
  <si>
    <t>3.2.5</t>
  </si>
  <si>
    <t>SPUŠČENI STROPOVI</t>
  </si>
  <si>
    <t>Dobava in montaža spuščenega stropa iz mineralnih plošč, s tipsko kovinsko podkonstrukcijo, strop na višini do 330 cm (npr. Armstrong, tip stropa Sahara 60/60/1,5 cm, podkonstrukcija z robnim detajlom Board), višina obešanja do 150 cm. Požarna odpornost: euroclass A2-s1, d0, standard EN 13501-1, toplotna prehodnost po EN 12667 &amp; ISO 8301: λ = 0.060 W/m K, teža: 3.5 - 3.9 kg/m2 (Board), relativna vlažnost: 95%. Z robnim detajlom (npr. Armstrong, Board sistem) in sistemsko podkonstrukcijo (npr. Prelude 24). Strop na hodniku v pritličju, v komandnem prostoru in TK prostoru (1.N). Strop v hodniku v nadstropju ostane obstoječ.</t>
  </si>
  <si>
    <t>SKUPAJ SPUŠČENI STROPOVI:</t>
  </si>
  <si>
    <t>3.2.6</t>
  </si>
  <si>
    <t>KAMNOSEŠKA DELA</t>
  </si>
  <si>
    <t>3.2.6.1</t>
  </si>
  <si>
    <t xml:space="preserve">Dobava in vgradnja notranjih kamnitih okenskih polic iz poliranega granita (npr. Bianco Sardo) deb. 2 cm, z zaobljenim robom. Širina polic do 30 cm oz. 3 cm od roba notr. stene, po širini 2-3 cm v zidu. </t>
  </si>
  <si>
    <t>~ police za okno O1 - dim. police 66 x 30 cm</t>
  </si>
  <si>
    <t>~ police za okno O2 - dim. police 116 x 30 cm</t>
  </si>
  <si>
    <t>~ police za okno O3 - dim. police 126 x 30 cm</t>
  </si>
  <si>
    <t>~ police za okno O4 - dim. police 156 x 30 cm</t>
  </si>
  <si>
    <t>~ police za okno O5 - dim. police 156 x 30 cm (polica v komandnem prostoru)</t>
  </si>
  <si>
    <r>
      <t xml:space="preserve">~ police za okno O6 - dim. police </t>
    </r>
    <r>
      <rPr>
        <sz val="11"/>
        <rFont val="Arial"/>
        <family val="2"/>
        <charset val="238"/>
      </rPr>
      <t>206 x 30 cm</t>
    </r>
  </si>
  <si>
    <t>4.2.6.2</t>
  </si>
  <si>
    <t xml:space="preserve">Dobava in vgradnja zunanjih kamnitih okenskih polic iz poliranega granita (npr. Bianco Sardo) deb. 3 cm, z odkapnim robom spodaj in s stranskima utoroma zgoraj levo in desno ob fasadi. Širina polic do 30 cm oz. 3 cm od roba fasade, po širini 2-3 cm v fasadi. </t>
  </si>
  <si>
    <t>~ police za okno O1 - dim. police 66 x 25 cm</t>
  </si>
  <si>
    <t>~ police za okno O2 - dim. police 116 x 25 cm</t>
  </si>
  <si>
    <t>~ police za okno O3 - dim. police 126 x 25 cm</t>
  </si>
  <si>
    <t>~ police za okno O4 - dim. police 156 x 25 cm</t>
  </si>
  <si>
    <r>
      <t xml:space="preserve">~ police za okno O6 - dim. police </t>
    </r>
    <r>
      <rPr>
        <sz val="11"/>
        <rFont val="Arial"/>
        <family val="2"/>
        <charset val="238"/>
      </rPr>
      <t>206 x 25 cm</t>
    </r>
  </si>
  <si>
    <t>3.2.6.3</t>
  </si>
  <si>
    <t xml:space="preserve">Dobava in vgradnja žganega tonalita deb. 3 cm, z odkapnim robom, v lepilu na betonsko podlago ali predhodno pripravljeno izravnano površino. Vključno z izdelavo obrobe viš. 10 cm. Tlak v obeh vhodnih nišah. Celotni tlak ali prag v TR LR 1 in TR LR 2. </t>
  </si>
  <si>
    <t>SKUPAJ KAMNOSEŠKA DELA:</t>
  </si>
  <si>
    <t>3.2.7</t>
  </si>
  <si>
    <t>KERAMIČARSKA DELA</t>
  </si>
  <si>
    <t>Podane so skupne dolžine, ki jih je treba prilagoditi glede na dejansko stanje.
Obvezna uporaba materialov skladno s spodnjimi standardi:
Keramične ploščice, skladno s SIST EN 14411
Lepila za ploščice, skladno s SIST EN 12004 
Fugirne mase, skladno s SIST EN 13888 
Dodatni elementi – tesnilne mase, skladno s SIST EN ISO 11600 
Dodatni elementi – vodonepropustni materiali, skladno s SIST EN 14891</t>
  </si>
  <si>
    <t>3.2.7.1</t>
  </si>
  <si>
    <t xml:space="preserve">Dobava in polaganje granitogres in keramičnih ploščic vključno z lepilom, fugirno maso in ostalim pomožnim materialom (orodje, distančniki, amortizacija…), kot sledi: čiščenje površine, brušenje in sesanje, nanos primer emulzije, lepljenje keramične obloge z dvokomponentnim, visoko zmogljivim lepilom (čela) in cementno podlogo (tlak), pranje, čiščenje in fugiranje keramike z visoko zmogljivo, cementno odporno fugirno maso z modificiranimi polimeri za fuge širine do 8 mm v izbrani barvi z dodatki za vodoodbojnost (DropEffect®). Talne ploščice s protizdrsno strukturo R10. Debelina ploščic min. 10 mm. </t>
  </si>
  <si>
    <t xml:space="preserve">~ obloga tal, dim. 60 x 60 cm iz granitogresa (npr. Floor Gres, Industrial, Chromtech/1.0). </t>
  </si>
  <si>
    <t>~ stenske obrobe iz tipskih granitogres elementov, viš. 8 cm (npr. Floor Gres, Industrial, Chromtech/1.0)</t>
  </si>
  <si>
    <t>3.2.7.2</t>
  </si>
  <si>
    <t>Nabava, dobava in izvedba obloge sten sanitarnih prostorov s keramičnimi ploščicami. Stenska obloga do stropa. Izvedba obloge iz keramičnih ploščic lepljenih s cementnim lepilom na podlago. Delovni stiki se predvidijo po načrtu polaganja s potrditvijo nadzornika. Vsa dela in preddela vključno z izravnavo tal, fugiranjem in silikoniranjem vogalnih fug s silikonsko fugirno maso v barvi fugirne mase in z vsem potrebnim materialom.</t>
  </si>
  <si>
    <t>~ obloga sten s keramičnimi ploščicami do stropa v lepilu na pripravljeno podlago. Ploščice dim. 60 x 30 cm (npr. Floor Gres, Industrial, Ivory, obdelava soft). Sanitarije.</t>
  </si>
  <si>
    <t>~ obloga špalet pri oknih</t>
  </si>
  <si>
    <t>3.2.7.3</t>
  </si>
  <si>
    <t>Dobava in vgradnja dilatacijskih profilov iz medenine v tlake.</t>
  </si>
  <si>
    <t>3.2.7.4</t>
  </si>
  <si>
    <t>Dobava in vgradnja vgradnih inox zaključnih pravokotnih letvic dim. 8 mm, na vogalih, do stropa. Podana je celotna dolžina vseh kosov. Sanitarije.</t>
  </si>
  <si>
    <t>3.2.7.5</t>
  </si>
  <si>
    <t xml:space="preserve">Dobava in polaganje talne zaokrožnice iz PVC obloge kot v obstoječem delu h=8 cm, komplet s podložno polkrožno PVC letvijo.
110 kV stikališče </t>
  </si>
  <si>
    <t>3.2.7.6</t>
  </si>
  <si>
    <t xml:space="preserve">Dobava in montaža kislinoodpornih granitogres ploščic v kislinoodporno dvokomponentno maso vključno s kislinoodpornim stičenjem, fugirno maso in stensko oblogo. S protizdrsno strukturo R10 debeline min. 20 mm v lepilu, vključno s stičenjem, širina fug 8 mm (kislinoodporne). Pravokotno polaganje. Vključno z dobavo in vgradnjo z vsem pritrdilnim in pomožnim materialom, npr. Floor Gres, Industrial. 
AKU prostor. </t>
  </si>
  <si>
    <t>~ obloga tal, dim. 60/60 cm</t>
  </si>
  <si>
    <t>~ obloga sten do stropa z lepljenjem na pripravljeno podlago, dim. 60/60 cm</t>
  </si>
  <si>
    <t xml:space="preserve">Dobava in vgradnja vgradnih inox zaključnih pravokotnih letvic dim. 8 mm, na vogalih, do stropa. Podana je celotna dolžina vseh kosov. </t>
  </si>
  <si>
    <t>3.2.7.7</t>
  </si>
  <si>
    <t>Dobava in polaganje stopnic z granitogres ploščic skupaj s stroškom za lepilo, fugirno maso in ostali pomožni material (orodje, distančniki, amortizacija…), kot sledi: čiščenje površine, brušenje in sesanje, nanos primer emulzije, lepljenje keramične obloge z dvokomponentnim, visoko zmogljivim lepilom (čela) in cementno podlogo (tlak), pranje, čiščenje in fugiranje keramike z visoko zmogljivo, cementno odporno fugirno maso z modificiranimi polimeri za fuge širine do 8 mm v izbrani barvi z dodatki za vodoodbojnost (DropEffect®). Granitogres ploščice s protizdrsno strukturo R10 (npr. Floor Gres, Industrial, Chromtech/1.0). 
Stopnišče:</t>
  </si>
  <si>
    <t>~ nastopne ploske širine do 28 cm</t>
  </si>
  <si>
    <t>~ stopniščni profil širine 30 mm iz nerjavečega aluminija s sintetičnim protizdrsnim vložkom. Vložek je vstavljen v profil, ki pa ga je mogoče zamenjati v primeru poškodbe ali obrabe. (npr. PROFILITEC, STAIRTEC FSF - A* , tip FSF 125 A32 (temno bež RAL 1019) - H= 12,5 mm). Dolžina kosa do 120 cm.</t>
  </si>
  <si>
    <t xml:space="preserve">~ zrcalne ploskve višine 17,5 cm </t>
  </si>
  <si>
    <t>~ stenske obrobe stopnic iz tipskih granitogres elementov, viš. 8 cm</t>
  </si>
  <si>
    <t>3.2.7.8</t>
  </si>
  <si>
    <t>Dobava in kitanje dilatacijske fuge z trajno elastičnim kitom širine 2 mm.</t>
  </si>
  <si>
    <t>SKUPAJ KERAMIČARSKA DELA:</t>
  </si>
  <si>
    <t>3.2.8</t>
  </si>
  <si>
    <t>SUHOMONTAŽNA DELA</t>
  </si>
  <si>
    <t>3.2.8.1</t>
  </si>
  <si>
    <t>Dobava in montaža začasne predelne stene (provizorij) iz sistema vodoodpornih mavčnih plošč na podkonstrukciji (npr. Knauf Insulation W111) obloga iz vodoodpornih impregnacijskih plošč, 2 x 12,5 mm plošča na eni strani, enojna podkonstrukcija. Stena pritrjena v tla in strop. Mavčne plošče po standardih Önorm B 3410 in EN 520. Začasna predelna stena predvidena za zaščito komandnega prostora po odstranitvi nekdanje zgradbe 10 kV in 35 kV stikališča.</t>
  </si>
  <si>
    <t>3.2.8.2</t>
  </si>
  <si>
    <t>Dobava in montaža predelne stene z dvojno nosilno kovinsko konstrukcijo, izolacijski sloj toplotne izolacije skladno s sistemom in kovinsko nosilno konstrukcijo z vsemi spojnimi in ojačitvenimi elementi. Vključena obloga instalacijskih cevi:</t>
  </si>
  <si>
    <t>~ sistem mavčnih plošč d= 205 mm (npr. Knauf Insulation W115) obloga iz vodoodpornih impregnacijskih plošč, 2 x 12,5 mm plošča na vsaki strani (skupaj 4 sloji), EI 90 min, dvojna podkonstrukcija - dvoslojna obloga. Stena pritrjena v tla, stene in strop - z ojačitvami. Mavčne plošče po standardih Önorm B 3410 in EN 520.</t>
  </si>
  <si>
    <t>3.2.8.3</t>
  </si>
  <si>
    <t>Kitanje, bandažiranje in brušenje mavčnokartonskih ometanih površin ter medsebojnih stikov. 
Podana je površina vseh vidnih površin predelnih sten.</t>
  </si>
  <si>
    <t>3.2.8.4</t>
  </si>
  <si>
    <t>Dobava in montaža tipskih montažnih kovinskih ojačitvenih okvirjev za vrata dim. do 70 x 200 cm (svetla mera).</t>
  </si>
  <si>
    <t>SKUPAJ SUHOMONTAŽNA DELA:</t>
  </si>
  <si>
    <t>3.2.9</t>
  </si>
  <si>
    <t>SLIKARSKO - PLESKARSKA DELA</t>
  </si>
  <si>
    <t>3.2.9.1</t>
  </si>
  <si>
    <t xml:space="preserve">Slikanje notranjih ometanih in betonskih površin z disperzijsko barvo (npr. JUPOL Classic), v svetlih tonih, ter pripravo podlage (impregniranje strojnih apneno cementnih ometov sten, popolna izravnava s kitanjem in brušenjem, izdelava prednamaza z emulzijo (npr. AKRIL EMULZIJO (AKRIL EMULZIJA : voda = 1 : 1, poraba 90 – 100 g/m2) ter trikrat slikanje). Za zahtevnejše in manj kvalitetne podlage uporabiti (npr. JUKOLPRIMER (JUKOLPRIMER : voda = 1 : 1, poraba 90 – 100 ml/m2).
Lastnosti disperzijske barve:
Gostota (kg/dm3): ~1,65, vsebnost lahko hlapnih organskih snovi HOS (VOC) (g/l): &lt;1, pokrivnost: razred 3 pri izdatnosti 10 m2/l , sijaj: mat, koeficient µ: &lt;100, vrednost Sd (d = 100 µm) (m): &lt;0,03 razred I (visoka paroprepustnost). Skladno s EN 13300 in EN ISO 7783-2. </t>
  </si>
  <si>
    <t>~ Stene, slikanje do vidnega stropa. Vsi prostori razen kabelski prostor in 20 kV stikališče.</t>
  </si>
  <si>
    <t>~ Strop. Vsi prostori razen kabelski prostor in 20 kV stikališče in stropovi s spuščenim stropom.</t>
  </si>
  <si>
    <t>~ Okenske in vratne špalete.</t>
  </si>
  <si>
    <t>3.2.9.2</t>
  </si>
  <si>
    <t>Slikanje notranjih ometanih in montažnih površin s pralno barvo lateks mat (npr. JUPOL Latex semi matt), v svetlih tonih, s pripravo podlage (impregniranje strojnih apneno cementnih ometov sten, izdelava prednamaza z emulzijo (npr. AKRIL EMULZIJO (AKRIL EMULZIJA : voda = 1 : 1, poraba 90 – 100 g/m2), izravnava in brušenje po predpisih) in trikrat slikanje). Za zahtevnejše in manj kvalitetne podlage uporabiti (npr. JUKOLPRIMER (JUKOLPRIMER : voda = 1 : 1, poraba 90 – 100 ml/m2). 
Lastnosti pralne barve:
Gostota (kg/dm3): ~1,42, vsebnost lahko hlapnih organskih snovi HOS (VOC) (g/l): &lt;1, odpornost na mokro drgnjenje: odporen, razred 1; pokrivnost: razred 2 pri izdatnosti 7,0 m2/l, sijaj : polmat, paroprepustnost: vrednost Sd (d = 100 µm) (m): &lt;0,30 razred II (srednja paroprepustnost), oprijem na standardno podlago (MPa): 0,5. Skladno s EN 13300, EN ISO 7783-2 in EN ISO 4624. 
Slikanje stopnišča zgradbe 110 kV stikališča in obeh hodnikov zgradbe 20 kV stikališča do višine 2 m.</t>
  </si>
  <si>
    <t>3.2.9.3</t>
  </si>
  <si>
    <t>Priprava podlage iz železa ali jekla: Odstranitev korozijskih nanosov mehansko (ročno ali strojno) z žično krtačo ali z brusnim papirjem zrnavosti P-080, P100 ali P-120. 
Ograja obstoječega stopnišča v zgradbi 20 kV stikališča. Podana je teža ograje.</t>
  </si>
  <si>
    <t>3.2.9.4</t>
  </si>
  <si>
    <t>Slikanje notranjih kovinskih elementov z dekorativno antikorozijsko barvo za kovino (npr. JUBIN Metal). 
Lastnosti barve:
Gostota (kg/dm3): ~1,28, ~1,40 (barvni odtenki z »metalik efektom«), vsebnost lahko hlapnih organskih snovi HOS (VOC) (g/l): &lt;60. Glavne sestavine: akrilatno vezivo, kalcitna in magnezijsilikatna polnila, titanov dioksid, asociativno gostilo, zaviralci korozije, voda.
Obstoječa ograja stopnišča zgradbe 20 kV stikališča. Podana je teža ograje.</t>
  </si>
  <si>
    <t>SKUPAJ SLIKARSKO - PLESKARSKA DELA:</t>
  </si>
  <si>
    <t>3.2.10</t>
  </si>
  <si>
    <t>3.2.10.1</t>
  </si>
  <si>
    <t>Priprava osnovne podlage (betona ali estriha), impregnacija, brezprašno diamantno brušenje, nanos izravnalne mase za doseganje podlage za izvedbo finalnih lakov in premazov.
Vključno z dobavo, premazom in vsemi deli za pripravo podlage: Podlaga mora biti trdna, nosilna, suha, nerazpokana, čista ter brez madežev, ki poslabšajo oprijem (umazanija, mast, olje). Odstranitev vseh snovi, ki zmanjšujejo oprijem, ali nesprijete plasti, npr. ločevalne snovi, nesprijete ostanke lepil in izravnalnih mas, ostanke tlakov in premazov s krtačenjem, brušenjem, rezkanjem ali z intenzivnim brušenjem z brusilnim strojem. Izvedba diamantnega brezprašnega brušenja betonskih površin (tlaki) do odstranitve obstoječih poškodovanih premazov vključno z grobo izravnavo. Tolarenca brušenja do ±0,1 mm. Vključno s temeljitim sesanjem vseh ostankov in prahu s podlage. 
Dobava in prednamaz z univerzalnim disperzijskim predpremazom brez topil, za vpojne podlage (npr. UZIN PE 360). Predpremaz mora biti dobro presušen. Upoštevanje tehničnih listov za izdelke. 
Dobava in izvedba poravnave podlage z mehansko visoko odporno cementno izravnalno maso (fino-prašnata, samorazlivna cementna masa), sestava: specialni cementi, mineralni dodatki, polivinil acetatni ko-polimer, dodatka za razlivnost (npr. UZIN NC 160), v trdnostnem razredu (C40 / F10) po DIN EN 13813 in DIN 12 529. Na predhodno izvedeni penetracijsko vezni predpremaz UZIN PE360. Poraba 1,4kg/m2/za vsak mm nanosa. Debelina nanosa 1-10 mm.</t>
  </si>
  <si>
    <t>Dvojni pod in 110 kV stikališče</t>
  </si>
  <si>
    <t>3.2.10.2</t>
  </si>
  <si>
    <t>Dobava in izdelava samorazlivne dvokomponentne elektrostatične disipativne epoksi talne obloge deb. do 2 mm na betonsko konstrukcijo, skladno s EN 1504-2: 2004 in EN 13813, električna upornost &lt; 10⁹ Ohm,  (npr. Sikafloor-235 ESD). Komplet z brušenjem AB ploščo, nanos temeljnega veznega sloja z epoksidom, izravnava površine z epoksidom, nalepitev odvodnih bakrenih trakov, nanos elektro prevodnega sloja z epoksidom, zaključni samorazlivni antistatični nanos z epoksidom deb. 3 mm v barvi po izbiri pooblaščenega arhitekta. Dvojni pod (Lastna raba, komandni in TK prostor) in 110 kV stikališče.</t>
  </si>
  <si>
    <t>3.2.10.3</t>
  </si>
  <si>
    <t>Dobava in montaža tehničnega dvignjenega poda kot (npr. Kingspan FDEB1) končne višine 40 cm in 53 cm, skladno z ISO 14025 and EN 15804, z disipativno PVC finalno oblogo (npr. Polyfloor Finesse SD, dekor 5060 Flaxen), električne upornosti 10⁶-10⁸ Ohm, skladno s IEC 61340-5-1, ki vključuje naslednje karakteristike:
~ plošče s spodnje strani oplaščene z galvanizirano jekleno pločevino
~ jedro iz iverne plošče visoke gostote
~ dimenzija plošče 600 x 600 x 31 mm
~ teža sistema 36 kg/m2
~ nosilnost dvojnega poda 10 kN/m2
~ točkovna obremenitev 4 kN
~ robovi plošč so zaključeni z ABS robnim trakom, ki zagotavlja zaščito roba jedra iverne plošče in finalne obloge
~ požarni razred Bfl-s1
Montaža na nastavljive kovinske nogice, lepljenje na poliuretansko lepilo, zaključnimi kapicami ter prečnimi podporniki vijačeni na nogice.
V ceno je potrebno vključiti sponke za ozemljitev (po navodilih naročnika mora biti ozemljena vsaka 4-ta nogica) ter dobavo ročk za dvig dvojnega poda s stenskim držalom na klik (1 ročka za vsak prostor - skupaj 3).
V prostoru lastne rabe, komandnem in TK prostor.</t>
  </si>
  <si>
    <t>3.2.10.4</t>
  </si>
  <si>
    <t>Izdelava, dobava in montaža antistatičnega cokla dvojnega poda v višini 10 cm iz gumijaste obloge, v enakem odtenku kot guma dvojnega poda. V prostoru lastne rabe, komandnem in TK prostor.</t>
  </si>
  <si>
    <t>Poliestrske rešetke</t>
  </si>
  <si>
    <t>3.2.10.5</t>
  </si>
  <si>
    <t>Dobava in izdelava zaščitnega protiprašnega epoksidnega premaza (finalno lakiranje): poraba 0,7 kg/m2, vključno z izravnavo površine (npr. Sikafloor-264) po EN 13813:2002. Premaz za tla in sten do h=35 cm. Pod poliestrskimi rešetkami: Kabelski prostor 110 kV stikališča - tlak v naklonu.</t>
  </si>
  <si>
    <t>3.2.10.6</t>
  </si>
  <si>
    <t>Izdelava, dobava in montaža pohodnih rešetk iz armiranega poliestra (npr. dim. 100/100/40 mm). Raster mreže (mm): 38 x 38, debelina (mm): 38, debelina konstrukcije mreže (mm): 5/7, teža (kg/m2): 18, barva: RAL 7004, površina je zaščitena proti drsenju (R10-V10 po standardih DIN), (npr. M.M. s.r.l., Tip pokrova SCH38/38). Vključno z izdelavo in montažo stojk iz arm. poliestra, višina 30 cm. Vključno z dobavo in izdelavo kotnikov 40 x 40 x 5 mm po obodu dolžine 50 m. Kompletno z vsem spojnim in pritrdilnim materialom, obdelavo prehodov kablov skozi pod, ter finalno obdelavo. Vključno z izdelavo odprtin (cca. 30 kom) za kable.
Kabelski prostor 110 kV stikališča.</t>
  </si>
  <si>
    <t>PVC tlaki, hodnik (1.N)</t>
  </si>
  <si>
    <t>3.2.10.7</t>
  </si>
  <si>
    <t>Dobava in montaža PVC robnih lepilnih trakov, dim. 50/15 mm (npr. WLS 50/15). Barvno usklajen z PVC talno oblogo. Trakovi ob PVC talnih oblogah in v 110 kV stikališču.</t>
  </si>
  <si>
    <t>3.2.10.8</t>
  </si>
  <si>
    <t>Dobava in montaža PVC talnih oblog deb. 2,5 mm, v trakovih dimenzije 90 x 30 cm (npr. Thermofix, Pearl Sandstone, 15418-1), na predhodno izravnano in obrušeno podlago s specialnim disperzijskim lepilom z veliko lepilno močjo UZIN KE 2000 S. Talna obloga mora po kvaliteti ustrezati naslednjim zahtevam: debelina obrabnega sloja 0,8 mm (anti-scratch), ognjeodpornost po EN 13501-1 – Bfls1; odpornost proti bakterijam po EN 846; protizdrsnost po DIN 51130 – R10; dimenzijska stabilnost po EN 434 - 0,25%; odpornost na pritisk po EN 433 &lt; 0,1 mm; primerna za visoko frekventne prostore, za visoke obremenitve. Položeno prečno na prostor.
Hodnik v nadstropju.</t>
  </si>
  <si>
    <t>Ostalo</t>
  </si>
  <si>
    <t>3.2.10.9</t>
  </si>
  <si>
    <t>Dobava, izdelava in vgradnja inox predpražnika z zbiralno posodo in okvirjem (npr. Emco, zbiralna posoda za umazanijo 5017 AL). Lovilna korita, za povečan sprejem umazanije. Vključno z vsem pomožnim in pritrdilnim materialom.</t>
  </si>
  <si>
    <t xml:space="preserve">~ inox predpražnika dim. 180 x 70 x 3,0 cm. Vzporedne reže s tremi prečkami. Glavni vhod - zunanji predpražnik. Dobava z odtočnim elementom in navezavo odtočno cev. Teža inox do 30 kg. Cev zajeta v poglavju meteorne kanalizacije. </t>
  </si>
  <si>
    <t xml:space="preserve">~ zunanjega predpražnika dim. 120 x 70 x 2,2 cm z valovito gumo na ALU letvicah, teža 16,5 kg/m2, 5 mm distančniki iz gume, okrepljeni nosilni profili iz torzijsko trdnega aluminija, z izolacijo Premium proti pohodnemu zvoku na spodnji strani, protizdrsna lastnost R 11 po DIN (npr. Emco Marshall, 522 PS Outdoor, antracit). Zadnji vhod - zunanji predpražnik. Dobava z odtočnim elementom in navezavo odtočno cev. Cev zajeta v poglavju meteorne kanalizacije. </t>
  </si>
  <si>
    <t xml:space="preserve">~ vgradnja notranjega predpražnika dim. 160 x 70 x 2,2 cm z valovito gumo na ALU letvicah, teža 16,5 kg/m2, 5 mm distančniki iz gume, okrepljeni nosilni profili iz torzijsko trdnega aluminija, z izolacijo Premium proti pohodnemu zvoku na spodnji strani, protizdrsna lastnost R 11 po DIN (npr. Emco Marshall, 522 PS Outdoor, antracit). Glavni vhod - notranji predpražnik. Brez povezave na meteorno kanalizacijo. </t>
  </si>
  <si>
    <t>3.2.10.10</t>
  </si>
  <si>
    <t>Izdelava, dobava in montaža pohodnih rešetk iz armiranega poliestra (npr. dim. 100/100/40 mm). Raster mreže (mm): 38 x 38, debelina (mm): 38, debelina konstrukcije mreže (mm): 5/7, teža (kg/m2): 18, barva: RAL 7004, površina je zaščitena proti drsenju (R10-V10 po standardih DIN), (npr. M.M. s.r.l., Tip pokrova SCH38/38). Vključno z izdelavo in montažo stojk iz arm. poliestra, do višine 40 cm. Vključno z izdelavo kotnikov po obodu dolžine 50 m. Kompletno z vsem spojnim in pritrdilnim materialom, obdelavo prehodov kablov skozi pod, ter finalno obdelavo. Vključno z izdelavo odprtin po montaži kablov. Kabelski prostor 110 kV stikališča.</t>
  </si>
  <si>
    <t>SKUPAJ TLAKARSKA DELA:</t>
  </si>
  <si>
    <t>3.2.11</t>
  </si>
  <si>
    <t>MIZARSKA DELA</t>
  </si>
  <si>
    <t>3.2.11.1</t>
  </si>
  <si>
    <t>Dobava, izdelava in montaža lesenih desk iz masivnega lesa (bukev) z zaokroženimi robovi, vključno z vsem pomožnim in pritrdilnim materialom. Deske dolžine do 300 cm, višine do 30 cm in debeline 3 cm.
Lesena ograja stopnišča 20 kV stikališča.</t>
  </si>
  <si>
    <t>3.2.11.2</t>
  </si>
  <si>
    <t>Slikanje s prosojnim premazom za les (npr. JUBIN Lasur), 1x barvanje.
Lastnosti disperzijske barve:
Gostota (kg/dm3): ~1,05, vsebnost lahko hlapnih organskih snovi HOS (VOC) (g/l): &lt;22. Okvirna oziroma povprečna poraba za enoslojni nanos: 60 – 80 ml/m2, odvisno od vpojnosti in hrapavosti podlage. Skladno s EN 71-3 in EN71-9. 
Lesena ograja stopnišča 20 kV stikališča. Podano je število kosov lesenih desk iz prejšnje postavke.</t>
  </si>
  <si>
    <t>SKUPAJ MIZARSKA DELA:</t>
  </si>
  <si>
    <t>SKUPAJ OBRTNIŠKA DELA:</t>
  </si>
  <si>
    <t>ZUNANJE KABELSKE POVEZAVE</t>
  </si>
  <si>
    <t xml:space="preserve">KABLOVOD S KABELSKIMI JAŠKI EKJ N1, EKJ N2, EKJ N3, EKJ N4 IN EKJ N5 TER KINETI OB TEMELJU TR 1 IN TR 2 </t>
  </si>
  <si>
    <t>4.1</t>
  </si>
  <si>
    <t>Opomba:
~ Izkop jarkov in gradbenih jam za kabelske cevi in elektro kabelske jaške.
~ Kanalizacija je obbetonirana s črpnim betonom, ki mora zapolniti ves prostor okoli cevi.</t>
  </si>
  <si>
    <t>Za izvedbo temeljenja je potrebno zagotoviti suho in varovano gradbeno jamo. 
Pri izkopnih delih se predvidi začasna zaščita izkopnih brežin - izvedba v začasnem naklonu 1:1 (45°).</t>
  </si>
  <si>
    <t>4.1.1</t>
  </si>
  <si>
    <t>~ v terenu IV. ktg, globine od 2 m</t>
  </si>
  <si>
    <t>4.1.2</t>
  </si>
  <si>
    <t>Kombinirani izkop (50,00 % strojno - 50,00 % ročno) z nakladanjem na prevozna sredstva in odvoz na stalno deponijo. Upoštevati naklon brežin 1:1, oziroma varovanje izkopanih jarkov in ostala navodila geomehanika:</t>
  </si>
  <si>
    <t>4.1.3</t>
  </si>
  <si>
    <t>4.1.4</t>
  </si>
  <si>
    <t>4.1.5</t>
  </si>
  <si>
    <t>Dobava in izdelava plasti v naslednji sestavi, vključno z razgrinjanjem, utrjevanjem in valjanjem.
Površina se utrdi z minimalnim 30 cm nasutjem.
Zgoščenost materiala 98 % po standardnem Proctorjevem postopku; v plasteh (20 - 30 cm). 
Utrditev tampona na končni višini platoja znaša Ev2 &gt;= 80 MPa (pod kinetama). 
Utrditev tampona na končni višini platoja znaša Ev2 &gt;= 60 MPa (pod kabelskimi jaški in kabelsko kanalizacijo).
Sestava:</t>
  </si>
  <si>
    <t>~ greda (karbonatni drobljenec - prevladujoča apnenčasta struktura - standard TSC 06.100:2003 (zmrzlinsko odporni material) - granulacija spodnjih slojev 32 / 125 oz. 32 / 64 mm (greda), delež glin do 10 %, v debelini 60 cm (pod kinetama)</t>
  </si>
  <si>
    <t>~ greda (karbonatni drobljenec - prevladujoča apnenčasta struktura - standard TSC 06.100:2003 (zmrzlinsko odporni material) - granulacija spodnjih slojev 32 / 125 oz. 32 / 64 mm (greda), delež glin do 10 %, v debelini 30 cm (pod kabelskimi jaški in kabelsko kanalizacijo)</t>
  </si>
  <si>
    <t>4.1.6</t>
  </si>
  <si>
    <t>4.1.7</t>
  </si>
  <si>
    <t>Prevoz odvečnega izkopanega materiala z vsemi deli na deponiji. Podane so količinah v raščenem stanju: prevoz na stalno deponijo. Upoštevati vsa potrebna dela in stroške v zvezi z deponiranjem.</t>
  </si>
  <si>
    <t>4.1.8</t>
  </si>
  <si>
    <t>Dobava in zasipanje z materialom (karbonatni drobljenec, granulacija 32/64 mm), z uvaljanje in komprimiranje do predpisane trdnosti Mv= 80 MPa. Tampon 30 cm.</t>
  </si>
  <si>
    <t>4.2</t>
  </si>
  <si>
    <t>KABELSKI JAŠKI</t>
  </si>
  <si>
    <t>4.2.1</t>
  </si>
  <si>
    <r>
      <t xml:space="preserve">Kompletna izdelava, dobava in postavitev elektro kabelskega jaška </t>
    </r>
    <r>
      <rPr>
        <b/>
        <sz val="11"/>
        <rFont val="Arial"/>
        <family val="2"/>
        <charset val="238"/>
      </rPr>
      <t>EKJ N1</t>
    </r>
    <r>
      <rPr>
        <sz val="11"/>
        <rFont val="Arial"/>
        <family val="2"/>
        <charset val="238"/>
      </rPr>
      <t xml:space="preserve"> vel. 230 cm x 200 cm x 240 cm bruto. Navedena količina je za 1 kabelski jašek! 
Sestava:</t>
    </r>
  </si>
  <si>
    <r>
      <t xml:space="preserve">~ podložni beton </t>
    </r>
    <r>
      <rPr>
        <sz val="11"/>
        <rFont val="Arial"/>
        <family val="2"/>
      </rPr>
      <t xml:space="preserve">C12/15 X0 Cl 0,1 Dmax 16 S1, </t>
    </r>
    <r>
      <rPr>
        <sz val="11"/>
        <rFont val="Arial"/>
        <family val="2"/>
        <charset val="238"/>
      </rPr>
      <t>deb. 10 cm</t>
    </r>
  </si>
  <si>
    <r>
      <t xml:space="preserve">~ konstrukcijski beton </t>
    </r>
    <r>
      <rPr>
        <sz val="11"/>
        <rFont val="Arial"/>
        <family val="2"/>
      </rPr>
      <t>C30/37 XC4+XS1+XF1 Cl 0,2 Dmax 16 S4 PV-II</t>
    </r>
    <r>
      <rPr>
        <sz val="11"/>
        <rFont val="Arial"/>
        <family val="2"/>
        <charset val="238"/>
      </rPr>
      <t>, zmrzlinsko odporen, vidna površina: navadna obdelava VB1.</t>
    </r>
  </si>
  <si>
    <t>~ armatura S500 B, premera do fi 12 mm</t>
  </si>
  <si>
    <t>~ Inox trak 30 x 3 mm za izpuste (1 m) ozemljitev, varjeno na armaturno mrežo</t>
  </si>
  <si>
    <r>
      <t xml:space="preserve">~ naklonski beton </t>
    </r>
    <r>
      <rPr>
        <sz val="11"/>
        <rFont val="Arial"/>
        <family val="2"/>
      </rPr>
      <t>C20/25 XC1 Cl 0,2 Dmax 8 S1</t>
    </r>
    <r>
      <rPr>
        <sz val="11"/>
        <rFont val="Arial"/>
        <family val="2"/>
        <charset val="238"/>
      </rPr>
      <t>, deb. od 5 do 10 cm</t>
    </r>
  </si>
  <si>
    <t xml:space="preserve">~ Izdelava, montaža, demontaža in čiščenje opaža ravnih armiranobetonskih sten. Izdelava s prenosom materiala do mesta vgradnje, opaženjem, čiščenjem lesa in vsemi pomožnimi deli. V ceni vključen dvostranski opaž in opaž odprtin v stenah za priključek kabelskih blokov. Nad terenom vidni beton, vključno z namestitvijo trikotnih letev 15 mm za vidne betone. </t>
  </si>
  <si>
    <t>~ Zagladitev zgornje vidne površine v naklonu proti robu, brušenje, negovanje in zaščita površin. Obdelava vidnih površin: enostavna obdelava VB2.</t>
  </si>
  <si>
    <t>~ Izdelava, montaža, demontaža in čiščenje opaža ravnih armiranobetonskih plošč, višina podpiranja do 3,0 m. Izdelava s prenosom materiala do mesta vgradnje, opaženjem, čiščenjem lesa in vsemi pomožnimi deli. Opaž plošče nad jaškom in opaž odprtin v plošči za vstopne odprtine.</t>
  </si>
  <si>
    <t>j.</t>
  </si>
  <si>
    <t>~ Zapolnitev prehodov kabelskih blokov vel. do 1,0 m2 skozi stene jaška. Vstavljanje plute ali EPS deb. 1 cm v opaž pred betoniranjem.</t>
  </si>
  <si>
    <t>k.</t>
  </si>
  <si>
    <r>
      <t xml:space="preserve">~ Obojestranska zatesnitev stika </t>
    </r>
    <r>
      <rPr>
        <sz val="11"/>
        <rFont val="Arial"/>
        <family val="2"/>
      </rPr>
      <t xml:space="preserve">z akrilnimi nabrekajočimi profili za tesnjenje stikov iz akrilnega polimera (npr. Sikaswell ali podobno), </t>
    </r>
    <r>
      <rPr>
        <sz val="11"/>
        <rFont val="Arial"/>
        <family val="2"/>
        <charset val="238"/>
      </rPr>
      <t xml:space="preserve">za kabelske cevi do fi 125 mm. </t>
    </r>
  </si>
  <si>
    <t>l.</t>
  </si>
  <si>
    <t>~ Jeklena lestev dim. 200 cm x 50 cm iz okroglih mat inox, nastopne palice iz profilov fi 30 mm, okvir iz kvadratnih profilov 40/40 mm, privijačena v AB steno, vključno z vsem pomožnim materialom.</t>
  </si>
  <si>
    <t>m.</t>
  </si>
  <si>
    <t xml:space="preserve">~ Enojni kanalski pokrov in okvir 600 mm x 600 mm, litoželezni, nodularna izvedba (ductile), nosilnost 400 kN, vložek (EPDM), 2x zaklep, po standardu SIST EN 124-2-2015 in po detajlu dobavitelja (npr. Livar, art. 504). Kanalski pokrov ima integrirane kotnike pri tečajih, ki varujejo neželen padec pokrova v jašek pri odpiranju in zapiranju. </t>
  </si>
  <si>
    <t>n.</t>
  </si>
  <si>
    <t>~ Dobava in polaganje drenaže v dnu tamponskega sloja v območju kletne etaže: polovično perforirane dvoslojne drenažne cevi PEHD DN250 mm dolžine do 150 cm, polaganje na peščeno posteljico, zasip z drenažnim materialom fi 22-38 mm; količina do 5 m3. Drenažni material je ovit z geotekstilom s sledečimi lastnostmi: natezna trdnost (vzd.) [EN ISO 10319] : 9.5 kN/m, natezna trdnost (preč.) [EN ISO 10319] : 9.5 kN/m, odpornost na prebod (CBR-test) [EN ISO 12236] : 1500 N, vodoprepustnost skozi ravnino (Δh = 50 mm) [EN ISO 11058] : 115 l/m²s (npr. kot TenCate Polyfelt TS 20). Polaganje geotekstila: širina 4 m ali 8 m, prekrivanje 20 %. Površina geotekstila 10 m2. Cev za ponikanje.</t>
  </si>
  <si>
    <t>4.2.2</t>
  </si>
  <si>
    <r>
      <t xml:space="preserve">Kompletna izdelava, dobava in postavitev elektro kabelskega jaška </t>
    </r>
    <r>
      <rPr>
        <b/>
        <sz val="11"/>
        <rFont val="Arial"/>
        <family val="2"/>
        <charset val="238"/>
      </rPr>
      <t xml:space="preserve">EKJ N2 </t>
    </r>
    <r>
      <rPr>
        <sz val="11"/>
        <rFont val="Arial"/>
        <family val="2"/>
        <charset val="238"/>
      </rPr>
      <t>vel. 200 cm x 200 cm x 240 cm bruto. Navedena količina je za 1 kabelski jašek!
Sestava:</t>
    </r>
  </si>
  <si>
    <r>
      <t xml:space="preserve">~ podložni beton </t>
    </r>
    <r>
      <rPr>
        <sz val="11"/>
        <rFont val="Arial"/>
        <family val="2"/>
      </rPr>
      <t>C12/15 X0 Cl 0,1 Dmax 16 S1,</t>
    </r>
    <r>
      <rPr>
        <sz val="11"/>
        <rFont val="Arial"/>
        <family val="2"/>
        <charset val="238"/>
      </rPr>
      <t xml:space="preserve"> deb. 10 cm</t>
    </r>
  </si>
  <si>
    <r>
      <t>~ konstrukcijski beton C30/37 XC4+XS1+XF1 Cl 0,2 Dmax 16 S4 PV-II</t>
    </r>
    <r>
      <rPr>
        <sz val="11"/>
        <rFont val="Arial"/>
        <family val="2"/>
        <charset val="238"/>
      </rPr>
      <t>, zmrzlinsko odporen, vidna površina: navadna obdelava VB1.</t>
    </r>
  </si>
  <si>
    <t>~ Inox trak 30 x 3 mm za izpuste (1 m) ozemljitev varjeno na armaturno mrežo</t>
  </si>
  <si>
    <t>~ Zapolnitev prehodov kabelskih blokov vel. do 1,0 m2 skozi stene jaška, z betonom. Vstavljanje plute ali EPS deb. 1 cm v opaž pred betoniranjem.</t>
  </si>
  <si>
    <r>
      <t>~ Obojestranska zatesnitev stika z akrilnimi nabrekajočimi profili za tesnjenje stikov iz akrilnega polimera (npr. Sikaswell ali podobno),</t>
    </r>
    <r>
      <rPr>
        <sz val="11"/>
        <rFont val="Arial"/>
        <family val="2"/>
        <charset val="238"/>
      </rPr>
      <t xml:space="preserve"> za kabelske cevi do fi 125 mm.</t>
    </r>
  </si>
  <si>
    <t>4.2.3</t>
  </si>
  <si>
    <r>
      <t xml:space="preserve">Kompletna izdelava, dobava in postavitev elektro kabelskega jaška </t>
    </r>
    <r>
      <rPr>
        <b/>
        <sz val="11"/>
        <rFont val="Arial"/>
        <family val="2"/>
        <charset val="238"/>
      </rPr>
      <t xml:space="preserve">EKJ N3 </t>
    </r>
    <r>
      <rPr>
        <sz val="11"/>
        <rFont val="Arial"/>
        <family val="2"/>
        <charset val="238"/>
      </rPr>
      <t>vel. 250 cm x 250 cm x 240 cm bruto. Navedena količina je za 1 kabelski jašek!
Sestava:</t>
    </r>
  </si>
  <si>
    <r>
      <t>~ podložni beton</t>
    </r>
    <r>
      <rPr>
        <sz val="11"/>
        <rFont val="Arial"/>
        <family val="2"/>
      </rPr>
      <t xml:space="preserve"> C12/15 X0 Cl 0,1 Dmax 16 S1,</t>
    </r>
    <r>
      <rPr>
        <sz val="11"/>
        <rFont val="Arial"/>
        <family val="2"/>
        <charset val="238"/>
      </rPr>
      <t xml:space="preserve"> deb. 10 cm</t>
    </r>
  </si>
  <si>
    <r>
      <t xml:space="preserve">~ </t>
    </r>
    <r>
      <rPr>
        <sz val="11"/>
        <rFont val="Arial"/>
        <family val="2"/>
      </rPr>
      <t>konstrukcijski beton C30/37 XC4+XS1+XF1 Cl 0,2 Dmax 16 S4 PV-II</t>
    </r>
    <r>
      <rPr>
        <sz val="11"/>
        <rFont val="Arial"/>
        <family val="2"/>
        <charset val="238"/>
      </rPr>
      <t>, zmrzlinsko odporen, vidna površina: navadna obdelava VB1.</t>
    </r>
  </si>
  <si>
    <t xml:space="preserve">~ Izdelava, montaža, demontaža in čiščenje opaža ravnih armiranobetonskih sten. Izdelava s prenosom materiala do mesta vgradnje, opaženjem, čiščenjem lesa in vsemi pomožnimi deli. V ceni vključen dvostranski opaž in opaž odprtin v stenah za priključek kabelskih blokov. </t>
  </si>
  <si>
    <t xml:space="preserve">~ Enojni kanalski pokrov in okvir 600 mm x 600 mm, litoželezni, nodularna izvedba (ductile), nosilnost 400 kN, vložek (EPDM), 2x zaklep, z dvojnim simetričnim zaklepom in dodatno varovan z vijakom, po standardu SIST EN 124-2-2015 in po detajlu dobavitelja (npr. Livar, art. 504). Kanalski pokrov ima integrirane kotnike pri tečajih, ki varujejo neželen padec pokrova v jašek pri odpiranju in zapiranju. </t>
  </si>
  <si>
    <t>4.2.4</t>
  </si>
  <si>
    <r>
      <t xml:space="preserve">Kompletna izdelava, dobava in postavitev elektro kabelskega jaška </t>
    </r>
    <r>
      <rPr>
        <b/>
        <sz val="11"/>
        <rFont val="Arial"/>
        <family val="2"/>
        <charset val="238"/>
      </rPr>
      <t xml:space="preserve">EKJ N4 </t>
    </r>
    <r>
      <rPr>
        <sz val="11"/>
        <rFont val="Arial"/>
        <family val="2"/>
        <charset val="238"/>
      </rPr>
      <t>vel. 250 cm x 250 cm x 240 cm bruto. Navedena količina je za 1 kabelski jašek!
Sestava:</t>
    </r>
  </si>
  <si>
    <r>
      <t xml:space="preserve">~ Obojestranska zatesnitev stika z akrilnimi nabrekajočimi profili za tesnjenje stikov iz akrilnega polimera (npr. Sikaswell ali podobno), </t>
    </r>
    <r>
      <rPr>
        <sz val="11"/>
        <rFont val="Arial"/>
        <family val="2"/>
        <charset val="238"/>
      </rPr>
      <t>za kabelske cevi do fi 125 mm.</t>
    </r>
  </si>
  <si>
    <t>4.2.5</t>
  </si>
  <si>
    <r>
      <t xml:space="preserve">Kompletna izdelava, dobava in postavitev elektro kabelskega jaška </t>
    </r>
    <r>
      <rPr>
        <b/>
        <sz val="11"/>
        <rFont val="Arial"/>
        <family val="2"/>
        <charset val="238"/>
      </rPr>
      <t xml:space="preserve">EKJ N5 </t>
    </r>
    <r>
      <rPr>
        <sz val="11"/>
        <rFont val="Arial"/>
        <family val="2"/>
        <charset val="238"/>
      </rPr>
      <t>vel. 330 cm x 225 cm x 300 cm bruto. Navedena količina je za 1 kabelski jašek!
Sestava:</t>
    </r>
  </si>
  <si>
    <r>
      <t>~ naklonski beton</t>
    </r>
    <r>
      <rPr>
        <sz val="11"/>
        <rFont val="Arial"/>
        <family val="2"/>
      </rPr>
      <t xml:space="preserve"> C20/25 XC1 Cl 0,2 Dmax 8 S1</t>
    </r>
    <r>
      <rPr>
        <sz val="11"/>
        <rFont val="Arial"/>
        <family val="2"/>
        <charset val="238"/>
      </rPr>
      <t>, deb. od 5 do 10 cm</t>
    </r>
  </si>
  <si>
    <t>~ Zapolnitev prehodov kabelskih blokov vel. do 1 m2 skozi stene jaška, z betonom. Vstavljanje plute ali EPS deb. 1 cm v opaž pred betoniranjem.</t>
  </si>
  <si>
    <r>
      <t>~ Obojestranska zatesnitev stika z akrilnimi nabrekajočimi profili za tesnjenje stikov iz akrilnega polimera (npr. Sikaswell ali podobno),</t>
    </r>
    <r>
      <rPr>
        <sz val="11"/>
        <rFont val="Arial"/>
        <family val="2"/>
        <charset val="238"/>
      </rPr>
      <t xml:space="preserve"> za kabelske cevi do fi 160 mm.</t>
    </r>
  </si>
  <si>
    <t>~ Začasna zatesnitev kabelskih cevi s PVC pokrovi do izgradnje 110 kV KBV. Cevi 6 x PE DN 160 mm, 5 x PEHD dvojček 2x DN 50 mm.</t>
  </si>
  <si>
    <t>~ Jeklena lestev dim. 100 cm x 50 cm iz okroglih mat inox, nastopne palice iz profilov fi 30 mm, okvir iz kvadratnih profilov 40/40 mm, privijačena v AB steno, vključno z vsem pomožnim materialom.</t>
  </si>
  <si>
    <r>
      <t>~ Dvojni kanalski pokrov in okvir 600 mm x 1250 mm (podolgovati), litoželezni, nodularna izvedba (ductile), nosilnost 400 kN, pokrova vijačena, snemljiva prečka, tesnjenje, protihrupna EPDM guma, po standardu SIST EN 124-2-2015 in po detajlu dobavitelja</t>
    </r>
    <r>
      <rPr>
        <sz val="11"/>
        <rFont val="Arial"/>
        <family val="2"/>
      </rPr>
      <t xml:space="preserve"> (npr. Livar, art. 812A)</t>
    </r>
    <r>
      <rPr>
        <sz val="11"/>
        <rFont val="Arial"/>
        <family val="2"/>
        <charset val="238"/>
      </rPr>
      <t xml:space="preserve">. Dvojni okvir vsebuje snemljivo prečko za širok dostop v revizijsko odprtino ter integrirane kotnike pri tečajih, ki varujejo neželen padec pokrova v jašek pri odpiranju in zapiranju. </t>
    </r>
  </si>
  <si>
    <t>4.2.6</t>
  </si>
  <si>
    <t>Kompletno rušenje AB vratu in LTŽ pokrova z okvirjem, vključno z zemeljskimi deli. Vrat jaška do višine 100 cm. Predvideno rušenje, v kolikor obstoječi dostop v jašek zaradi novih kablov ne bo mogoč.
Jašek EKJ OB2</t>
  </si>
  <si>
    <t>4.2.7</t>
  </si>
  <si>
    <t>Kompletna izdelava AB vratu kabelskega jaška, vključno z opažnimi, betonskimi in zemeljskimi deli. Vrat do višine 100 cm. Stene debeline do 20 cm. Vključno z dobavo in vgradnjo LTŽ pokrova dim. 600 mm x 600 mm, nodularna izvedba (ductile), nosilnost 400 kN, po standardu SIST EN 124-2-2015 in po detajlu dobavitelja.
Jašek EKJ OB2</t>
  </si>
  <si>
    <t xml:space="preserve">Kineti ob temelju TR 1 in TR 2 </t>
  </si>
  <si>
    <t>4.2.8</t>
  </si>
  <si>
    <t>Kompletna izdelava, dobava in postavitev kabelske kinete dim. 100 x 900 x 115 cm (ŠxDxG) ob temelju TR 1 in kinete dim. 100 x 900 x 180 cm (ŠxDxG) ob temelju TR 2. Navedena količina je za 2 kineti!
Sestava:</t>
  </si>
  <si>
    <r>
      <t xml:space="preserve">~ podložni beton </t>
    </r>
    <r>
      <rPr>
        <sz val="11"/>
        <rFont val="Arial"/>
        <family val="2"/>
      </rPr>
      <t>C12/15 X0 Cl 0,1 Dmax 16 S1</t>
    </r>
    <r>
      <rPr>
        <sz val="11"/>
        <rFont val="Arial"/>
        <family val="2"/>
        <charset val="238"/>
      </rPr>
      <t>, deb. 10 cm</t>
    </r>
  </si>
  <si>
    <t>~ konstrukcijski beton C30/37 XC4+XS1+XF1 Cl 0,2 Dmax 16 S4 PV-II, zmrzlinsko odporen, vidna površina: navadna obdelava VB1.</t>
  </si>
  <si>
    <t>~ armatura S500 B, premera nad fi 12 mm</t>
  </si>
  <si>
    <t>~ toplotno izolacijski elementi (npr. Isokorb, T Tip QL-VV4-REI120-H200-L250-1.0) po celotni dolžini. Vsi elementi vgrajeni skupaj. Kineta ob TR 1.</t>
  </si>
  <si>
    <t>~ Zapolnitev prehodov kabelskih blokov vel. do 1,0 m2 skozi stene kinete, z vodotesnim betonom. Vstavljanje plute ali EPS deb. 1 cm v opaž pred betoniranjem.</t>
  </si>
  <si>
    <r>
      <t xml:space="preserve">~ Obojestranska zatesnitev stika z akrilnimi nabrekajočimi profili za tesnjenje stikov iz akrilnega polimera (npr. Sikaswell ali podobno), </t>
    </r>
    <r>
      <rPr>
        <sz val="11"/>
        <rFont val="Arial"/>
        <family val="2"/>
        <charset val="238"/>
      </rPr>
      <t>za kabelske cevi do fi 160 mm.</t>
    </r>
  </si>
  <si>
    <r>
      <t xml:space="preserve">~ Jeklena lestev dim. 100 cm x 50 cm iz okroglih mat inox, nastopne palice iz profilov fi 30 mm, okvir iz kvadratnih profilov 40/40 mm, privijačena v AB steno, vključno z vsem pomožnim materialom.
</t>
    </r>
    <r>
      <rPr>
        <sz val="11"/>
        <rFont val="Arial"/>
        <family val="2"/>
      </rPr>
      <t>Kineta ob TR 2.</t>
    </r>
  </si>
  <si>
    <t>~ Dobava in polaganje drenaže v dnu tamponskega sloja v območju kletne etaže: polovično perforirane dvoslojne drenažne cevi PEHD DN250 mm dolžine do 150 cm, polaganje na peščeno posteljico, zasip z drenažnim materialom fi 22-38 mm; količina do 5 m3. Drenažni material je ovit z geotekstilom s sledečimi lastnostmi: natezna trdnost (vzd.) [EN ISO 10319] : 9.5 kN/m, natezna trdnost (preč.) [EN ISO 10319] : 9.5 kN/m, odpornost na prebod (CBR-test) [EN ISO 12236] : 1500 N, vodoprepustnost skozi ravnino (Δh = 50 mm) [EN ISO 11058] : 115 l/m²s (npr. kot TenCate Polyfelt TS 20). Polaganje geotekstila: širina 4 m ali 8 m, prekrivanje 20 %. Površina geotekstila 10 m2. Cev za ponikanje. 
Kineta ob TR 2.</t>
  </si>
  <si>
    <t>4.2.9</t>
  </si>
  <si>
    <t>Kompletna dobava in izvedba delovnih stikov bele kadi. Dobava in vgradnja (na stiku plošča-stena) inox pločevine deb. 2 mm ali (npr. Strato bituflex pločevine) širina 150 mm, z nanosom vgrajena na armaturo min. 3 cm v zaščitni plasti betona ali alternativno nabrekajoči trak na osnovi natrijevega bentonita in sintetičnega kavčuka za tesnjenje stikov v betonu, formuliran tako, da ima zakasnjeno delovanje (npr. Bentorub + 25x20mm) (delovni stik kinete).</t>
  </si>
  <si>
    <t>Stiki kinete</t>
  </si>
  <si>
    <t>4.2.10</t>
  </si>
  <si>
    <t>Izdelava, dobava in montaža pohodnih pokrovov dim. 100 x 50 cm iz armiranega poliestra nosilnost 200 kg / m2, na kineto dim. 100 x 900 (ŠxD). Raster mreže (mm): 38 x 38, debelina (mm): 42, debelina pokrova (mm): 3, debelina konstrukcije mreže (mm): 5/7, teža (kg/m2): 25, barva: RAL 7004, površina je zaščitena proti drsenju (R10-V10 po standardih DIN), (npr. M.M. s.r.l., Tip pokrova SCH38/38C_IFR). Vključno z dobavo in vgradnjo poliestrskih kotnih profilov 40 x 40 x 5 mm, sidranih v AB ali jekleno konstrukcijo dolžine do 40 m. Vključno z izdelavo odprtin za kable (10 kosov do površine 0,3 m2). Vključno z vsem s pocinkanim pritrdilnim in pomožnim materialom. 
Vse v sivi barvi. Kineta ob TR 1 in TR 2.</t>
  </si>
  <si>
    <t>4.2.11</t>
  </si>
  <si>
    <t>Dobava, izdelava in vgradnja vroče cinkane podkonstrukcije za montažo pohodnih poliestrskih pokrovov. Konstrukcija iz L kotnika 250 mm x 250 mm, deb. 5 mm, s privarjenimi ojačitvenimi rebri dim. 237,5 mm x 237,5 mm, deb. 5 mm. Vključno z vsem pocinkanim pritrdilnim in pomožnim materialom. Konstrukcija ob kineti za TR2 in delno ob kineti za TR 1. Skupna dolžina celotne konstrukcije znaša 11 m.</t>
  </si>
  <si>
    <t>SKUPAJ KABELSKI JAŠKI:</t>
  </si>
  <si>
    <t>4.3</t>
  </si>
  <si>
    <t>CEVNI KABELSKI RAZVODI</t>
  </si>
  <si>
    <t xml:space="preserve">Kabelske cevi so obbetonirane. Polaganje in stikovanje cevi po navodilih proizvajalca cevi, med distančnike. Distančnike izdelati po meri ali iz lesenih moralov ali iz armaturnih palic. </t>
  </si>
  <si>
    <t>Dobava in vgradnja kabelskih cevi (npr. Totrapipes):
~ PE cevi deb. stene 10,0 mm iz PE 100, za delovni tlak do 16 bar, debelina stene od 10,0 do 11,1 mm, notranji premer: 90 mm, masa cevi 3,19 kg/m, črne cevi z modro črto - za vodovod, po standardu SIST EN 805/2000 in SIST EN 12201-2
~ PEHD za kabelsko kanalizacijo, po standardu SIST EN ISO 61386-24
~ PEHD 2 x DN 50 mm za kabelsko kanalizacijo (dvojček), po standardu SIST EN ISO 61386-24</t>
  </si>
  <si>
    <t>Izbrane cevi in način polaganja upoštevati v cenah!</t>
  </si>
  <si>
    <t>V cenah vključno rezanje in prilagoditev obstoječih cevi in navezava na nove kabelske jaške z vsem tesnilnim in pomožnim materialom.</t>
  </si>
  <si>
    <t>4.3.1</t>
  </si>
  <si>
    <r>
      <t xml:space="preserve">Prerez </t>
    </r>
    <r>
      <rPr>
        <b/>
        <sz val="11"/>
        <rFont val="Arial"/>
        <family val="2"/>
      </rPr>
      <t xml:space="preserve">KK1, KK2, KK7 </t>
    </r>
    <r>
      <rPr>
        <sz val="11"/>
        <rFont val="Arial"/>
        <family val="2"/>
      </rPr>
      <t>so prerezi obstoječe kabelske kanalizacije.</t>
    </r>
  </si>
  <si>
    <t>Predvideno je obbetoniranje obstoječih cevi.</t>
  </si>
  <si>
    <t>~ Izdelava, montaža, demontaža in čiščenje opaža ravnih armiranobetonskih sten. Izdelava s prenosom materiala do mesta vgradnje, opaženjem, čiščenjem lesa in vsemi pomožnimi deli. V ceni vključen enostranski opaž z podpiranjem.</t>
  </si>
  <si>
    <t>~ obbetoniranje kablovoda s črpnim betonom C30/37 XC4+XS1+XF1 Cl 0,2 Dmax16 S4, min. debeline 15 cm na obodom cevi. V ceni je zajeto natančno podbetoniranje in obbetoniranje cevi po projektiranih karakterističnih prerezih ter vsa dodatna in zaščitna dela. Pazljivo utrjevanje črpnega betona z vibriranjem za zapolnitev celotnega oboda cevi. Izvedba betona brez lunkerjev.</t>
  </si>
  <si>
    <t>~ opozorilni trak (elektrika)</t>
  </si>
  <si>
    <t>4.3.2</t>
  </si>
  <si>
    <t>Kompletna dobava in vgrajevanje cevi 4 x PE DN 125 mm (prerez KK3). Vključno z dobavo in izdelavo vseh spojev.
Sestava:</t>
  </si>
  <si>
    <t>~ PE 100 cevi fi 110 mm, polaganje v distančnike</t>
  </si>
  <si>
    <t xml:space="preserve">~ ozemljitvena vrv Cu 95 mm² </t>
  </si>
  <si>
    <t>4.3.3</t>
  </si>
  <si>
    <t>Kompletna dobava in vgrajevanje cevi 9 x PE DN 110 mm (prerez KK4). Vključno z dobavo in izdelavo vseh spojev.
Sestava:</t>
  </si>
  <si>
    <t>~ PE 100 cevi DN 110 mm, polaganje v distančnike</t>
  </si>
  <si>
    <t>4.3.4</t>
  </si>
  <si>
    <t>Kompletna dobava in vgrajevanje cevi 1 x PE DN 125 mm (prerez KK5). Vključno z dobavo in izdelavo vseh spojev.
Sestava:</t>
  </si>
  <si>
    <t>~ PE 100 cevi DN 125 mm, polaganje v distančnike
Vključno z navezavo na obstoječe cevi s spojnim in pomožnim materialom.</t>
  </si>
  <si>
    <t>4.3.5</t>
  </si>
  <si>
    <t>Kompletna dobava in vgrajevanje cevi 2 x 5 PE DN 125 mm (prerez KK6); Vključno z dobavo in izdelavo vseh spojev.
Sestava:</t>
  </si>
  <si>
    <t>~ PE 100 cevi DN 125 mm, polaganje v distančnike</t>
  </si>
  <si>
    <t>4.3.6</t>
  </si>
  <si>
    <r>
      <t>Kompletna dobava in vgrajevanje cevi 18 x PE DN 125 mm, 1x PEHD DN 90 mm, 1x PEHD DN 50 mm (</t>
    </r>
    <r>
      <rPr>
        <b/>
        <sz val="11"/>
        <rFont val="Arial"/>
        <family val="2"/>
      </rPr>
      <t>prerez KK8</t>
    </r>
    <r>
      <rPr>
        <sz val="11"/>
        <rFont val="Arial"/>
        <family val="2"/>
      </rPr>
      <t>). Vključno z dobavo in izdelavo vseh spojev.
Sestava:</t>
    </r>
  </si>
  <si>
    <t>~ PE 100 cevi fi 125 mm, polaganje v distančnike (upoštevano v drugi postavki: 1x PEHD DN 90 mm, 1x PEHD DN 50 mm - kontrola pristopa in ograjna vrata)</t>
  </si>
  <si>
    <t>4.3.7</t>
  </si>
  <si>
    <t>Kompletna dobava in vgrajevanje cevi 3 x PE DN 160 mm (prerez KK9, KK10). Vključno z dobavo in izdelavo vseh spojev.
Sestava:</t>
  </si>
  <si>
    <t>~ PE 100 cevi DN 160 mm, polaganje v distančnike</t>
  </si>
  <si>
    <t>4.3.8</t>
  </si>
  <si>
    <r>
      <t xml:space="preserve">Kompletna dobava in vgrajevanje cevi 3 x PE DN 160 mm </t>
    </r>
    <r>
      <rPr>
        <b/>
        <sz val="11"/>
        <rFont val="Arial"/>
        <family val="2"/>
      </rPr>
      <t>(prerez KK11, KK12)</t>
    </r>
    <r>
      <rPr>
        <sz val="11"/>
        <rFont val="Arial"/>
        <family val="2"/>
      </rPr>
      <t>. Vključno z dobavo in izdelavo vseh spojev.
Sestava:</t>
    </r>
  </si>
  <si>
    <t>~ obbetoniranje kablovoda črpnim betonom C30/37 XC4+XS1+XF1 Cl 0,2 Dmax16 S4, min. debeline 15 cm na obodom cevi. V ceni je zajeto natančno podbetoniranje in obbetoniranje cevi po projektiranih karakterističnih prerezih ter vsa dodatna in zaščitna dela. Pazljivo utrjevanje črpnega betona z vibriranjem za zapolnitev celotnega oboda cevi. Izvedba betona brez lunkerjev.</t>
  </si>
  <si>
    <t>4.3.9</t>
  </si>
  <si>
    <r>
      <t xml:space="preserve">Kompletna dobava in vgrajevanje cevi 6 x PE DN 160 mm, 5 x PEHD dvojček 2x DN 50 mm </t>
    </r>
    <r>
      <rPr>
        <b/>
        <sz val="11"/>
        <rFont val="Arial"/>
        <family val="2"/>
      </rPr>
      <t>(prerez KK13, KK13a, KK14)</t>
    </r>
    <r>
      <rPr>
        <sz val="11"/>
        <rFont val="Arial"/>
        <family val="2"/>
      </rPr>
      <t>. Vključno z dobavo in izdelavo vseh spojev. 110 kV KBV.
Sestava:</t>
    </r>
  </si>
  <si>
    <t>~ PEHD dvojček 2x DN 50 mm, polaganje v distančnike, fleksibilne</t>
  </si>
  <si>
    <t>~ opozorilni trak (elektrika, optika)</t>
  </si>
  <si>
    <t>4.3.10</t>
  </si>
  <si>
    <r>
      <t xml:space="preserve">Kompletna dobava in vgrajevanje cevi PEHD DN 160 mm </t>
    </r>
    <r>
      <rPr>
        <b/>
        <sz val="11"/>
        <rFont val="Arial"/>
        <family val="2"/>
      </rPr>
      <t>(prerez KK15)</t>
    </r>
    <r>
      <rPr>
        <sz val="11"/>
        <rFont val="Arial"/>
        <family val="2"/>
      </rPr>
      <t>. Vključno z dobavo in izdelavo vseh spojev.
Sestava:</t>
    </r>
  </si>
  <si>
    <t>~ PEHD cevi DN 110 mm, polaganje v distančnike, fleksibilne</t>
  </si>
  <si>
    <t>4.3.11</t>
  </si>
  <si>
    <r>
      <t xml:space="preserve">Kompletna dobava in vgrajevanje cevi 2 x PEHD DN 160 mm </t>
    </r>
    <r>
      <rPr>
        <b/>
        <sz val="11"/>
        <rFont val="Arial"/>
        <family val="2"/>
      </rPr>
      <t>(prerez KK16, KK17)</t>
    </r>
    <r>
      <rPr>
        <sz val="11"/>
        <rFont val="Arial"/>
        <family val="2"/>
      </rPr>
      <t>. Vključno z dobavo in izdelavo vseh spojev. 
Cevi za Petersenovo dušilko. Dušilka s temeljem ni predmet tega DZR.
Sestava:</t>
    </r>
  </si>
  <si>
    <t>~ PEHD cevi DN 160 mm, polaganje v distančnike, fleksibilne</t>
  </si>
  <si>
    <t>4.3.12</t>
  </si>
  <si>
    <t>Varovanje in izvedba križanj novih kabelskih blokov z obstoječimi komunalnimi vodi, ki potekajo nad kabelskim blokom in do 50 cm pod kabelskimi bloki. Izvedba križanj po navodilu projektanta posameznega komunalnega voda in ugotovitvi dejanskega stanja na licu mesta, z upoštevanjem odmikov in potrebnih prilagoditev trase na mestih križanj.</t>
  </si>
  <si>
    <t>4.3.13</t>
  </si>
  <si>
    <t xml:space="preserve">Izdelava prebojev do 1 m2, debeline stene do 30 cm, v obstoječih kabelskih jaških. </t>
  </si>
  <si>
    <t>4.3.14</t>
  </si>
  <si>
    <t>Razna nepredvidena dela in rušenja za prehod kabelskih cevi v obstoječi objekt. KV delavec.</t>
  </si>
  <si>
    <t>SKUPAJ CEVNI KABELSKI RAZVODI:</t>
  </si>
  <si>
    <t>SKUPAJ ZUNANJE KABELSKE POVEZAVE:</t>
  </si>
  <si>
    <t xml:space="preserve">TEMELJA TRANSFORMATORJEV </t>
  </si>
  <si>
    <t>5.1</t>
  </si>
  <si>
    <t>Opombe:
~ podane so količine za 2 temelja!
~ v popisu za temelje transformatorjev so upoštevana tudi zemeljska dela za zaščitne stene!</t>
  </si>
  <si>
    <t>5.1.1</t>
  </si>
  <si>
    <t>5.1.1.2</t>
  </si>
  <si>
    <t>5.1.3</t>
  </si>
  <si>
    <t>5.1.4</t>
  </si>
  <si>
    <t>Dobava in izdelava plasti v naslednji sestavi, vključno z razgrinjanjem, utrjevanjem in valjanjem.
Zgoščenost materiala 98 % po standardnem Proctorjevem postopku; v plasteh (20 - 30 cm). Utrditev tampona na končni višini platoja znaša Ev2 &gt;= 80 MPa.
Sestava:</t>
  </si>
  <si>
    <t>5.1.1.5</t>
  </si>
  <si>
    <t>5.2</t>
  </si>
  <si>
    <t>5.2.1</t>
  </si>
  <si>
    <t>Dobava, izdelava in montaža armature iz betonskega jekla S500 B, premera do 12 mm.</t>
  </si>
  <si>
    <t>5.2.2</t>
  </si>
  <si>
    <t>Dobava, rezanje, polaganje in vezanje armature iz armaturnih mrež S500 B.</t>
  </si>
  <si>
    <t>5.2.3</t>
  </si>
  <si>
    <t>5.2.4</t>
  </si>
  <si>
    <t xml:space="preserve">Dobava in vgrajevanje podložnega betona C12/15 X0 Cl 0,1 Dmax 16 S1, deb. 10 cm </t>
  </si>
  <si>
    <t>5.2.5</t>
  </si>
  <si>
    <t xml:space="preserve">Dobava in vgrajevanje betona v armirane konstrukcije z vsemi pomožnimi deli in prenosi do mesta vgraditve.
~ beton C30/37 XC4+XS1+XF1 Cl 0,2 Dmax 16 S4 PV-II, odpornost proti mrazu. </t>
  </si>
  <si>
    <t>5.2.6</t>
  </si>
  <si>
    <t>Dobava in vgrajevanje naklonski beton C20/25 XC1 Cl 0,2 Dmax 8 S1, deb. od 5 do 10 cm</t>
  </si>
  <si>
    <t>5.2.7</t>
  </si>
  <si>
    <t>Izdelava delovnih stikov med temeljno ploščo in stenami lovilne sklede v vodotesni izvedbi (npr. premaz z lepilom TEKAFIX in tesnilni trak TEKATRAK nabrekajoči N 2010, TKK Srpenica ali SIKASWELL). Podana je dolžina stikov.</t>
  </si>
  <si>
    <t>5.2.8</t>
  </si>
  <si>
    <t>Kompletna dobava in izvedba delovnih stikov bele kadi. Dobava in vgradnja (na stiku plošča-stena) inox pločevine deb. 2 mm ali (npr. Strato bituflex pločevine) širina 150 mm, z nanosom vgrajena na armaturo min. 3 cm v zaščitni plasti betona ali alternativno nabrekajoči trak na osnovi natrijevega bentonita in sintetičnega kavčuka za tesnjenje stikov v betonu, formuliran tako, da ima zakasnjeno delovanje (npr. Bentorub + 25x20mm) (delovni stik temelj TR 1 in TR 2).</t>
  </si>
  <si>
    <t>5.2.9</t>
  </si>
  <si>
    <t>Izdelava preizkusa vodotesnosti armiranobetonskih konstrukcij s poročilom pooblaščene organizacije.</t>
  </si>
  <si>
    <t>5.3</t>
  </si>
  <si>
    <t>5.3.1</t>
  </si>
  <si>
    <t>Dobava in vgradnja horizontalne hidroizolacija pod temeljno ploščo:
~ priprava površine podložnega betona (zagladitev ali brušenje)
~ hladni bitumenski premaz 0,3 kg/m2
~ polimer-bitumenska hidroizolacija (npr. Izotekt, T4 plus). Trak se vgrajuje z varjenjem po celotni površini z 10 cm preklopom. 
V ceni upoštevati ves pomožni in pritrdilni material in izvedbo robnih zaključkov v skladu z navodili proizvajalca (prehod horizontalne hidroizolacije v vertikalno je izveden z vložkom HDPE folije).</t>
  </si>
  <si>
    <t>5.3.2</t>
  </si>
  <si>
    <t>Dobava in vgradnja vertikalne hidroizolacije sten oljnih skled proti terenu:
~ priprava vertikalnih betonskih površin (brušenje)
~ hladni bitumenski premaz 0,3 kg/m2
~ polimer-bitumenska hidroizolacija (npr. Izotekt, T4 plus). Trak se vgrajuje z varjenjem po celotni površini z 10 cm preklopom. 
~ zaščita hidroizolacije: npr. ekstrudiran polistiren deb. 4 cm, plošče točkovno zalepljene z akrilnim lepilom
Upoštevati ves pomožni, pritrdilni in zaključni material. Izvedba po navodilih proizvajalca.</t>
  </si>
  <si>
    <t>5.3.3</t>
  </si>
  <si>
    <t xml:space="preserve">Dobava in izvedba tesnjenja cevi s nabrekajočim tesnilnim trakom (npr. SIKA) in z vsemi pomožnimi deli in materialom. Meteorna kanalizacija. </t>
  </si>
  <si>
    <t>5.3.4</t>
  </si>
  <si>
    <t>Vodotesni in oljetesen premaz s disperzijska dvokomponentna epoksi barva (kot je Mapei Mapecoat W ali Sikafloor 2530W ali Kemapox Final 6500 Aqua ali Jub Epoksil) v dveh nanosih do višine 100 cm nad dnom, vogali in koti predhodno zaobljeni s cementno malto. Osnovni premaz: z razredčeno barvo, vode je dodano do 10%.
Priprava podlage: površina betonske plošče je ravno zbrušena ali speskana (fino hrapava), odstranjena je cementna skorja, površina je odprašena in razmaščena. Upoštevati ustrezno pripravo površin po navodilu proizvajalca premaza! Večslojna aplikacija deb.0,3 mm.
Premaz oljne sklede TR.</t>
  </si>
  <si>
    <t>5.3.5</t>
  </si>
  <si>
    <t>Brušenje betonskih površin na stikih opaža in manjša popravila s cementno malto: površine lovilnih skled.</t>
  </si>
  <si>
    <t>5.4</t>
  </si>
  <si>
    <t>5.4.1</t>
  </si>
  <si>
    <t>Opaž roba temeljne plošče, opaženje, razopaženje in čiščenje opaža:
~ opaž za nevidne betonske površine.</t>
  </si>
  <si>
    <t>5.4.2</t>
  </si>
  <si>
    <t>Opaž pasovnih temeljev TR; opaženje, razopaženje in čiščenje:
~ opaž za vidne betonske površine.</t>
  </si>
  <si>
    <t>5.4.3</t>
  </si>
  <si>
    <t>Opaž sten oljnih skled; opaženje, razopaženje in čiščenje: oljne sklede s podpiranjem višine do 1,50 m:
~ opaž za nevidne betonske površine, s trikotnimi letvicami na vidnih robovih.</t>
  </si>
  <si>
    <t>5.4.4</t>
  </si>
  <si>
    <t>Opaž manjših odprtin in raznih manjših elementov z enkratno uporabo lesa.</t>
  </si>
  <si>
    <t>5.5</t>
  </si>
  <si>
    <t>Ključavničarski izdelki so antikorozijsko zaščiteni skladno s standardom EN ISO 1461.</t>
  </si>
  <si>
    <t>5.5.1</t>
  </si>
  <si>
    <t>Izdelava, dobava in montaža jeklenih pocinkanih rešetk za prodec v lovilni skledi transformatorja, raster 30x30 mm, višine 50 mm, vključno z nosilnimi L profili dim. 150x100x10 mm, ki so sidrani v AB steno, z vsem pritrdilnim in vijačnim materialom, z vsemi prenosi in transporti materiala do mesta montaže. Izdelava po načrtu.
~ vel. 150 x 160 cm: 20 kosov
~ vel.150 x 100 cm: 10 kos</t>
  </si>
  <si>
    <t>5.5.2</t>
  </si>
  <si>
    <t>Izdelava, dobava in montaža jeklenih pocinkanih rešetk za dostop do omarice transformatorja, nad lovilno skledo transformatorja, raster 30x30 mm, višine 30 mm, vključno z nosilnimi L profili, ki so sidrani v AB steno, z vsem pritrdilnim in vijačnim materialom, z vsemi prenosi in transporti materiala do mesta montaže. Izdelava po načrtu.
Rešetke ob transformatorju TR 1 in TR 2 za dostop do el. omare transformatorja.</t>
  </si>
  <si>
    <t>5.5.3</t>
  </si>
  <si>
    <t xml:space="preserve">Dobava in vgradnja prodca nazivne frakcija 32/64 mm z nasutjem na rešetke lovilne sklede TR. </t>
  </si>
  <si>
    <t>SKUPAJ TEMELJA TRANSFORMATORJEV:</t>
  </si>
  <si>
    <t>NOTRANJA OPREMA</t>
  </si>
  <si>
    <r>
      <rPr>
        <b/>
        <sz val="11"/>
        <rFont val="Arial"/>
        <family val="2"/>
        <charset val="238"/>
      </rPr>
      <t>SPLOŠNI OPIS</t>
    </r>
    <r>
      <rPr>
        <sz val="11"/>
        <rFont val="Arial"/>
        <family val="2"/>
        <charset val="238"/>
      </rPr>
      <t xml:space="preserve">
~ v projektu predvidena oprema in materiali so obvezno izhodišče. Vse spremembe morajo biti usklajene z investitorjem in projektantom.
~ popis vključuje nabavo, dostavo in montažo opreme z vsem pritrdilnim in pomožnim materialom:
~ korpusi (telo) in fronte (ličnice) omar so izdelani iz iverala
~ vmesne police v zaprtih omarah so iz iverala, prestavljive na 5 cm
~ vmesne vidne police so fiksne, izdelane iz iverala, z ABS zaključkom
~ kuhinjski elementi (korpusi, predali, police) so izdelani iz iverala, ostali deli (ličnice in pult) so izdelani iz iverice (obloga laminat - ultrapas)
~ vse mize, izdelane po naročilu, imajo zgodnje plošče iz iverice (obloga laminat - ultrapas)
~ vsi zaključki so izvedeni z ABS polkrožnim nalimkom
~ vsi izpostavljeni elementi pohištva morajo biti izvedeni s polkrožnimi masivnimi zaključki (zaobljeni robovi)
~ vsa stekla in ogledala morajo biti iz nelomljivega varnostnega stekla
~ vsi eventualni prekrivni PVC čepi morajo biti prilepljeni na vijak
~ vsi predali morajo imeti kovinska vodila
~ vsi stenski regali morajo biti dovolj močno izvedeni in pritrjeni v steno tako, da je možno v njih hraniti težje predmete (velika teža) 
~ za vse vgrajene materiale je potrebno investitorju predložiti izjave o skladnosti.</t>
    </r>
  </si>
  <si>
    <r>
      <rPr>
        <b/>
        <sz val="11"/>
        <rFont val="Arial"/>
        <family val="2"/>
        <charset val="238"/>
      </rPr>
      <t>ENOTNE CENE MORAJO VSEBOVATI:</t>
    </r>
    <r>
      <rPr>
        <sz val="11"/>
        <rFont val="Arial"/>
        <family val="2"/>
        <charset val="238"/>
      </rPr>
      <t xml:space="preserve">
~ vsa potrebna pripravljalna dela in čiščenje podlog
~ merjenje na objektu
~ vse potrebne transporte do mesta vgrajevanja
~ usklajevanje z osnovnim načrtom 
~ ves potreben glavni, pomožni, nerjaveči pritrdilni in vezni material
~ izdelavo vseh potrebnih zaključkov
~ vsa potrebna pomožna sredstva za vgrajevanje na objektu kot so lestve in podobno
~ terminsko usklajevanje del z ostalimi izvajalci na objektu
~ popravilo eventualno povzročene škode ostalim izvajalcem na gradbišču
~ čiščenje prostorov in odvoz odpadnega materiala na stalno deponijo in plačilo takse
~ zaščita izdelkov pred poškodbami do predaje naročniku del
~ vsa dela in ukrepe po določilih zakona o varstvu pri delu </t>
    </r>
  </si>
  <si>
    <t>6.1</t>
  </si>
  <si>
    <t xml:space="preserve">HODNIK </t>
  </si>
  <si>
    <t>6.1.1</t>
  </si>
  <si>
    <t xml:space="preserve">~ stenska vitrina QUIPO, drsna vrata, dim (VxŠxG) 99 x 120 x 5,5 cm 15 (3 x 5) x DIN A4, kovinska zadnja stena (npr. Kaiser+Kraft, št. artikla 757620 49), komplet pisala, magnetki, čistilo in gobica. </t>
  </si>
  <si>
    <t>6.1.2</t>
  </si>
  <si>
    <t>~ stojalo za dežnike, višina 610 mm (npr. Kaiser+Kraft, št. artikla 507527 49)</t>
  </si>
  <si>
    <t>6.1.3</t>
  </si>
  <si>
    <t>~ omara s krilnimi vrati in z oknom, dim. 1000 x 400 x 2000 mm (ŠxGxV), jeklena omara, lakiranje prednjih stranic signalno modra RAL 5005, zaklepanje s cilindrično ključavnico (npr. Garant, št. artikla 949503 2000).</t>
  </si>
  <si>
    <t>6.1.4</t>
  </si>
  <si>
    <t>~ omarica za čistila dim. 2000 x 750 x 550 mm (VxŠxG), jeklena omara, viseče ohišje za čistila ŠxGxV 453 x 368 x 1120 mm, ohišje svetlo sivo RAL 7035, vrata signalno modra RAL 5005, prašnata barva (npr. Garant, št. artikla 987000 750/P).</t>
  </si>
  <si>
    <t>6.1.5</t>
  </si>
  <si>
    <t>~ milnik 0,5 L, bel, plastičen (Tork, Elevation, S2)</t>
  </si>
  <si>
    <t>6.1.6</t>
  </si>
  <si>
    <t>~ podajalnik brisač, zloženk (Tork)</t>
  </si>
  <si>
    <t>6.1.7</t>
  </si>
  <si>
    <t>~ kopalniško ogledalo z LED svetilko, 800 x 600 x 30 mm (VxŠxG), LED svetlika za ogledamo, ogledalo sestavljeno iz osrednjega dela ogledala, pasu stekla z led svetlobo ob strani in ob robu stransko ogledalo. Ogledalo z zaobljenim robom, (npr. ALFA 60 OALF60).</t>
  </si>
  <si>
    <t>6.2</t>
  </si>
  <si>
    <t>SANITARIJE (prostor 0.5)</t>
  </si>
  <si>
    <t>6.2.1</t>
  </si>
  <si>
    <t>~ stenski obešalnik, dim. ŠxV 950x190 mm, 6 vrhnjih in 12 posameznih kljukic iz tehnopolimera, profil iz jeklene cevi, praškasto lakiran v aluminijasto srebrni barvi (npr. Kaiser+Kraft, št. artikla 615825 49)</t>
  </si>
  <si>
    <t>6.2.2</t>
  </si>
  <si>
    <t>~ stenska omarica z dvema predaloma in keramičnim umivalnikom dim. ŠxGxV 80x45x56 cm (npr. Aqua Rodos Venice 80, bela VEN80BS), vtičnico in armatura za umivalnik z zgornjim delom sifona (npr. Armal, Art. 58-3910-090, Ident. 516263).</t>
  </si>
  <si>
    <t>6.2.3</t>
  </si>
  <si>
    <t>~ kopalniško ogledalo z LED svetilko, 700 x 800x 30 mm (VxŠxG), LED svetlika za ogledamo, ogledalo sestavljeno iz osrednjega dela ogledala, pasu stekla z led svetlobo ob strani in ob robu stransko ogledalo. Ogledalo z zaobljenim robom (npr. OMEGA 80 OOME80).</t>
  </si>
  <si>
    <t>6.2.4</t>
  </si>
  <si>
    <t>~ pregradna stena za pisoar, dim. ŠxVxG 400 x 700 x 100 mm. Material: Keramika. V kompletu s pritrdilnim materialom (npr. Geberit, Selnova)</t>
  </si>
  <si>
    <t>6.2.5</t>
  </si>
  <si>
    <t>Vsa spodnja oprema je npr. od proizvajalca Tork:</t>
  </si>
  <si>
    <t>6.2.6</t>
  </si>
  <si>
    <t xml:space="preserve">~ podajalnik papirnatih brisač, zloženk (Tork, Matic, Elevation, bel, senzorski - brez dotika, H1). </t>
  </si>
  <si>
    <t>6.2.7</t>
  </si>
  <si>
    <t xml:space="preserve">~ podajalnik toaletnega papirja za role COMPACT Elevation, bel (Tork, T6). </t>
  </si>
  <si>
    <t>6.2.8</t>
  </si>
  <si>
    <t xml:space="preserve">~ milnik 0,5 L, bel, plastičen (Tork, Elevation, S2). </t>
  </si>
  <si>
    <t>6.2.9</t>
  </si>
  <si>
    <t>~ podajalnik WC sednih oblog, bel (Tork, V1)</t>
  </si>
  <si>
    <t>6.2.10</t>
  </si>
  <si>
    <t>~ WC metlica, prostostoječa (Tork ali usklajeno z ostalo opremo (kot npr. Cut WC metlica, Koin, CUT805)</t>
  </si>
  <si>
    <t>6.2.11</t>
  </si>
  <si>
    <t>~ koš za odpadke s pokrovom 12l, iz nerjavečega jekla, in-12l x out-14l (npr. KOIN, št. artikla 8033)</t>
  </si>
  <si>
    <t>6.2.12</t>
  </si>
  <si>
    <t>~ osvežilec prostorov, avtomatski, Dozer parfuma Airoma (Tork) z dodatnim sprejem</t>
  </si>
  <si>
    <t>6.3</t>
  </si>
  <si>
    <t xml:space="preserve">KOMANDNI PROSTOR (prostor 1.01) </t>
  </si>
  <si>
    <t>6.3.1</t>
  </si>
  <si>
    <t>~ komandni pult dim. 320 x 100 x 75 cm, 2x fiksen predalnik 40 x 75 x 75 cm s tremi predali, 1x fiksna omarica 60 x 75 x 75 za 2 računalnika, vse alu kljuke; Pult; obdelava laminat - ultrapas; ostalo iveral; ličnice, zadnja zaščita pulta in zadnja ploskev korpusa fiksnega predalnika iz perforirane pločevine (po načrtu).
Cokel: mat ALU</t>
  </si>
  <si>
    <t>6.3.2</t>
  </si>
  <si>
    <t>~ stol, vrtljiv, z naslonjalom, moder (npr. Kaiser+Kraft, št. artikla 505 618-FP) in kolesa za mehko podlago (dvojni pod)</t>
  </si>
  <si>
    <t>6.3.3</t>
  </si>
  <si>
    <t>~ visoka omara za dokumentacijo dim. 100 x 40 x 186+73 cm, iveral, ličnice (laminat - ultrapas), 6 po višini nastavljivih polic (po načrtu)</t>
  </si>
  <si>
    <t>6.3.4</t>
  </si>
  <si>
    <t>~ omarica za ključe, 21 kljukic, korpus in vrata svetlo siva, VxŠxG 350 x 270 x 80 mm (npr. Kaiser+Kraft, št. Artikla 922560 49)</t>
  </si>
  <si>
    <t>6.3.5</t>
  </si>
  <si>
    <t>~ stenski obešalnik, dim. ŠxV 950 x 190 mm, 6 vrhnjih in 12 posameznih kljukic iz tehnopolimera, profil iz jeklene cevi, praškasto lakiran v aluminijasto srebrni barvi (npr. Kaiser+Kraft, št. artikla 615825 49)</t>
  </si>
  <si>
    <t>6.3.6</t>
  </si>
  <si>
    <t>6.3.7</t>
  </si>
  <si>
    <t>~ zložljiva lestev s stopnicami, vzpenjanje z ene strani, z odlagalno posodo, za lažjo uporabo (npr. Kaiser+Kraft, št. artikla 920327 49)</t>
  </si>
  <si>
    <t>6.3.8</t>
  </si>
  <si>
    <t>~ bela tabla, dim. 1500 x 1000 mm (npr. Kaiser+Kraft, št. artikla 476055 49), komplet pisala, magnetki in gobica.</t>
  </si>
  <si>
    <t>6.4</t>
  </si>
  <si>
    <t xml:space="preserve">TK PROSTOR (prostor 1.02) </t>
  </si>
  <si>
    <t>6.4.1</t>
  </si>
  <si>
    <t>~ komandni pult dim. 160 x 100 x 75 cm, 1x fiksen predalnik 40 x 75 x 75 cm s tremi predali, 1x fiksna omarica 30 x 60 x 75 za 1 računalnika, vse alu kljuke; Pult; obdelava laminat - ultrapas; ostalo iveral; ličnice, zadnja zaščita pulta in zadnja ploskev korpusa fiksnega predalnika iz perforirane pločevine (po načrtu).
Cokel: mat ALU</t>
  </si>
  <si>
    <t>6.4.2</t>
  </si>
  <si>
    <t>6.4.3</t>
  </si>
  <si>
    <t>6.4.4</t>
  </si>
  <si>
    <t>~ omarica za ključe, 21 kljukic, korpus in vrata svetlo siva, VxŠxG 350 x 270 x 80 mm (npr. Kaiser+Kraft, št. artikla 454063 49)</t>
  </si>
  <si>
    <t>6.4.5</t>
  </si>
  <si>
    <t>6.4.6</t>
  </si>
  <si>
    <t>~ koš za odpadke s pokrovom 14l, iz nerjavečega jekla, in-12l x out-14l (npr. KOIN, št. artikla 8033)</t>
  </si>
  <si>
    <t>6.4.7</t>
  </si>
  <si>
    <t>6.4.8</t>
  </si>
  <si>
    <t>6.5</t>
  </si>
  <si>
    <t>OZNAKE PROSTOROV</t>
  </si>
  <si>
    <t xml:space="preserve">Oznake izdelati v skladu z grafično podobo družbe ELES in Elektro Primorska!
Vključno z vsem pomožnim in pritrdilnim materialom. </t>
  </si>
  <si>
    <t>6.5.1</t>
  </si>
  <si>
    <t>~ Dobava in montaža alu tablice, velikosti 21 x 19 cm (npr. Enya d.o.o.) za označevanje prostorov, primerna za montažo na vrata ali steno, vključno z prozorno zaščitno folijo.
Primerna za notranjo in zunanjo uporabo.</t>
  </si>
  <si>
    <t>6.5.2</t>
  </si>
  <si>
    <t>~ Dobava in montaža alu varnostnih tablic dim. 25 x 33 cm (npr. Enya d.o.o., Triline) za označevanje prostorov, primerna za montažo na vrata ali zid. Primerna za notranjo in zunanjo uporabo.</t>
  </si>
  <si>
    <t>6.5.3</t>
  </si>
  <si>
    <t>~ Dobava in montaža alu tablic dim. 42 x 21 cm (npr. Spandex) za označevanje objektov, primerna za montažo na zid. Primerna za zunanjo uporabo.</t>
  </si>
  <si>
    <t>6.5.4</t>
  </si>
  <si>
    <t>~ Dobava in montaža alu tablic dim. 42 x 10 cm (npr. Spandex) za označevanje objektov, primerna za montažo na zid. Primerna za zunanjo uporabo.</t>
  </si>
  <si>
    <t>6.5.5</t>
  </si>
  <si>
    <t>~ Dobava in montaža alu tablic dim. 42 x 25 cm (npr. Spandex) za označevanje objektov, primerna za montažo na zid. Primerna za zunanjo uporabo.</t>
  </si>
  <si>
    <t>SKUPAJ NOTRANJA OPREMA:</t>
  </si>
  <si>
    <t>Izdelava Dokazila o zanesljivosti v papirni in elektronski obliki - skeniran vsak dokument posebej.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</si>
</sst>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_ ;_ * \(#,##0.00\)\ _€_ ;_ * &quot;-&quot;??_)\ _€_ ;_ @_ "/>
    <numFmt numFmtId="165" formatCode="&quot;SIT&quot;#,##0_);\(&quot;SIT&quot;#,##0\)"/>
    <numFmt numFmtId="166" formatCode="mmmm\ d\,\ yyyy"/>
    <numFmt numFmtId="167" formatCode="0.0"/>
    <numFmt numFmtId="168" formatCode="#,##0.000"/>
  </numFmts>
  <fonts count="38" x14ac:knownFonts="1">
    <font>
      <sz val="10"/>
      <name val="Arial"/>
      <charset val="238"/>
    </font>
    <font>
      <sz val="10"/>
      <name val="Arial"/>
      <family val="2"/>
      <charset val="238"/>
    </font>
    <font>
      <sz val="8"/>
      <name val="Arial"/>
      <family val="2"/>
      <charset val="238"/>
    </font>
    <font>
      <sz val="10"/>
      <name val="Courier"/>
      <family val="1"/>
      <charset val="238"/>
    </font>
    <font>
      <b/>
      <sz val="12"/>
      <name val="Arial"/>
      <family val="2"/>
      <charset val="238"/>
    </font>
    <font>
      <b/>
      <sz val="11"/>
      <name val="Arial"/>
      <family val="2"/>
      <charset val="238"/>
    </font>
    <font>
      <sz val="10"/>
      <name val="Arial CE"/>
      <charset val="238"/>
    </font>
    <font>
      <b/>
      <sz val="14"/>
      <name val="Arial"/>
      <family val="2"/>
      <charset val="238"/>
    </font>
    <font>
      <sz val="14"/>
      <name val="Arial"/>
      <family val="2"/>
      <charset val="238"/>
    </font>
    <font>
      <sz val="9"/>
      <name val="Arial"/>
      <family val="2"/>
      <charset val="238"/>
    </font>
    <font>
      <sz val="11"/>
      <name val="Arial"/>
      <family val="2"/>
      <charset val="238"/>
    </font>
    <font>
      <sz val="11"/>
      <name val="Arial"/>
      <family val="2"/>
    </font>
    <font>
      <sz val="10"/>
      <name val="Arial"/>
      <family val="2"/>
    </font>
    <font>
      <b/>
      <sz val="11"/>
      <name val="Arial"/>
      <family val="2"/>
    </font>
    <font>
      <b/>
      <sz val="12"/>
      <name val="Arial"/>
      <family val="2"/>
    </font>
    <font>
      <sz val="12"/>
      <name val="Arial"/>
      <family val="2"/>
    </font>
    <font>
      <b/>
      <sz val="10"/>
      <name val="Arial"/>
      <family val="2"/>
    </font>
    <font>
      <b/>
      <sz val="14"/>
      <name val="Arial"/>
      <family val="2"/>
    </font>
    <font>
      <sz val="9"/>
      <name val="Arial"/>
      <family val="2"/>
    </font>
    <font>
      <sz val="8"/>
      <name val="Calibri"/>
      <family val="2"/>
    </font>
    <font>
      <vertAlign val="superscript"/>
      <sz val="11"/>
      <name val="Arial"/>
      <family val="2"/>
    </font>
    <font>
      <sz val="11"/>
      <name val="Calibri"/>
      <family val="2"/>
    </font>
    <font>
      <sz val="11"/>
      <color theme="1"/>
      <name val="Calibri"/>
      <family val="2"/>
      <scheme val="minor"/>
    </font>
    <font>
      <sz val="10"/>
      <name val="Arial CE"/>
      <family val="2"/>
      <charset val="238"/>
    </font>
    <font>
      <u/>
      <sz val="8"/>
      <name val="Arial"/>
      <family val="2"/>
      <charset val="238"/>
    </font>
    <font>
      <u/>
      <sz val="8"/>
      <name val="Calibri"/>
      <family val="2"/>
      <charset val="238"/>
    </font>
    <font>
      <sz val="14"/>
      <name val="Arial"/>
      <family val="2"/>
    </font>
    <font>
      <b/>
      <sz val="24"/>
      <name val="Arial"/>
      <family val="2"/>
    </font>
    <font>
      <b/>
      <sz val="20"/>
      <name val="Arial"/>
      <family val="2"/>
    </font>
    <font>
      <u/>
      <sz val="11"/>
      <name val="Arial"/>
      <family val="2"/>
      <charset val="238"/>
    </font>
    <font>
      <b/>
      <u/>
      <sz val="11"/>
      <name val="Arial"/>
      <family val="2"/>
      <charset val="238"/>
    </font>
    <font>
      <b/>
      <sz val="16"/>
      <name val="Arial"/>
      <family val="2"/>
      <charset val="238"/>
    </font>
    <font>
      <b/>
      <sz val="10"/>
      <name val="Arial"/>
      <family val="2"/>
      <charset val="238"/>
    </font>
    <font>
      <sz val="16"/>
      <name val="Arial"/>
      <family val="2"/>
      <charset val="238"/>
    </font>
    <font>
      <sz val="16"/>
      <name val="Arial"/>
      <family val="2"/>
    </font>
    <font>
      <b/>
      <sz val="14"/>
      <name val="Calibri"/>
      <family val="2"/>
    </font>
    <font>
      <b/>
      <sz val="16"/>
      <name val="Arial"/>
      <family val="2"/>
    </font>
    <font>
      <b/>
      <sz val="9"/>
      <name val="Arial"/>
      <family val="2"/>
      <charset val="238"/>
    </font>
  </fonts>
  <fills count="8">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39">
    <border>
      <left/>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thin">
        <color indexed="64"/>
      </right>
      <top/>
      <bottom style="hair">
        <color indexed="64"/>
      </bottom>
      <diagonal/>
    </border>
    <border>
      <left style="thin">
        <color indexed="64"/>
      </left>
      <right/>
      <top style="thin">
        <color indexed="64"/>
      </top>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right/>
      <top style="thin">
        <color indexed="64"/>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right style="thin">
        <color indexed="64"/>
      </right>
      <top style="thin">
        <color indexed="64"/>
      </top>
      <bottom style="thin">
        <color indexed="64"/>
      </bottom>
      <diagonal/>
    </border>
    <border>
      <left style="medium">
        <color indexed="64"/>
      </left>
      <right style="thin">
        <color auto="1"/>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s>
  <cellStyleXfs count="14">
    <xf numFmtId="0" fontId="0" fillId="0" borderId="0"/>
    <xf numFmtId="0" fontId="3" fillId="0" borderId="0"/>
    <xf numFmtId="0" fontId="1" fillId="0" borderId="0"/>
    <xf numFmtId="0" fontId="1" fillId="0" borderId="0"/>
    <xf numFmtId="37" fontId="1" fillId="0" borderId="0" applyFill="0" applyBorder="0" applyAlignment="0" applyProtection="0"/>
    <xf numFmtId="165" fontId="1" fillId="0" borderId="0" applyFill="0" applyBorder="0" applyAlignment="0" applyProtection="0"/>
    <xf numFmtId="166" fontId="1" fillId="0" borderId="0" applyFill="0" applyBorder="0" applyAlignment="0" applyProtection="0"/>
    <xf numFmtId="2" fontId="1" fillId="0" borderId="0" applyFill="0" applyBorder="0" applyAlignment="0" applyProtection="0"/>
    <xf numFmtId="0" fontId="6" fillId="0" borderId="0"/>
    <xf numFmtId="0" fontId="1" fillId="0" borderId="0"/>
    <xf numFmtId="0" fontId="1" fillId="0" borderId="0"/>
    <xf numFmtId="164" fontId="12" fillId="0" borderId="0" applyFont="0" applyFill="0" applyBorder="0" applyAlignment="0" applyProtection="0"/>
    <xf numFmtId="0" fontId="22" fillId="0" borderId="0"/>
    <xf numFmtId="0" fontId="23" fillId="0" borderId="0"/>
  </cellStyleXfs>
  <cellXfs count="369">
    <xf numFmtId="0" fontId="0" fillId="0" borderId="0" xfId="0"/>
    <xf numFmtId="0" fontId="5" fillId="3" borderId="5" xfId="10" applyFont="1" applyFill="1" applyBorder="1" applyAlignment="1">
      <alignment horizontal="center" vertical="center" wrapText="1"/>
    </xf>
    <xf numFmtId="49" fontId="5" fillId="3" borderId="4" xfId="10" applyNumberFormat="1" applyFont="1" applyFill="1" applyBorder="1" applyAlignment="1">
      <alignment horizontal="center" vertical="center"/>
    </xf>
    <xf numFmtId="49" fontId="5" fillId="3" borderId="4" xfId="10" applyNumberFormat="1" applyFont="1" applyFill="1" applyBorder="1" applyAlignment="1">
      <alignment horizontal="center" vertical="center" wrapText="1"/>
    </xf>
    <xf numFmtId="0" fontId="5" fillId="3" borderId="4" xfId="10" applyFont="1" applyFill="1" applyBorder="1" applyAlignment="1">
      <alignment horizontal="center" vertical="center" wrapText="1"/>
    </xf>
    <xf numFmtId="4" fontId="5" fillId="3" borderId="4" xfId="10" applyNumberFormat="1" applyFont="1" applyFill="1" applyBorder="1" applyAlignment="1">
      <alignment horizontal="center" vertical="center" wrapText="1"/>
    </xf>
    <xf numFmtId="4" fontId="5" fillId="3" borderId="12" xfId="10" applyNumberFormat="1" applyFont="1" applyFill="1" applyBorder="1" applyAlignment="1">
      <alignment horizontal="center" vertical="center" wrapText="1"/>
    </xf>
    <xf numFmtId="49" fontId="4" fillId="0" borderId="0" xfId="0" applyNumberFormat="1" applyFont="1" applyAlignment="1">
      <alignment horizontal="center" wrapText="1"/>
    </xf>
    <xf numFmtId="0" fontId="8" fillId="0" borderId="0" xfId="0" applyFont="1" applyAlignment="1">
      <alignment wrapText="1"/>
    </xf>
    <xf numFmtId="4" fontId="7" fillId="0" borderId="0" xfId="0" applyNumberFormat="1" applyFont="1" applyAlignment="1">
      <alignment horizontal="right" wrapText="1" indent="1"/>
    </xf>
    <xf numFmtId="49" fontId="12" fillId="0" borderId="0" xfId="0" applyNumberFormat="1" applyFont="1" applyAlignment="1">
      <alignment horizontal="left" vertical="top" wrapText="1"/>
    </xf>
    <xf numFmtId="49" fontId="7" fillId="0" borderId="0" xfId="0" applyNumberFormat="1" applyFont="1" applyAlignment="1">
      <alignment horizontal="right" wrapText="1" indent="2"/>
    </xf>
    <xf numFmtId="0" fontId="7" fillId="0" borderId="0" xfId="0" applyFont="1" applyAlignment="1">
      <alignment horizontal="right" wrapText="1"/>
    </xf>
    <xf numFmtId="0" fontId="7" fillId="0" borderId="0" xfId="0" applyFont="1" applyAlignment="1">
      <alignment horizontal="center" wrapText="1"/>
    </xf>
    <xf numFmtId="0" fontId="7" fillId="0" borderId="0" xfId="0" applyFont="1" applyAlignment="1">
      <alignment horizontal="center" vertical="center" wrapText="1"/>
    </xf>
    <xf numFmtId="0" fontId="10" fillId="4" borderId="3" xfId="3" applyFont="1" applyFill="1" applyBorder="1" applyAlignment="1">
      <alignment horizontal="center" vertical="center" wrapText="1"/>
    </xf>
    <xf numFmtId="1" fontId="10" fillId="4" borderId="3" xfId="3" applyNumberFormat="1" applyFont="1" applyFill="1" applyBorder="1" applyAlignment="1">
      <alignment horizontal="center" vertical="center" wrapText="1"/>
    </xf>
    <xf numFmtId="49" fontId="10" fillId="4" borderId="3" xfId="0" applyNumberFormat="1" applyFont="1" applyFill="1" applyBorder="1" applyAlignment="1">
      <alignment horizontal="left" vertical="center" wrapText="1"/>
    </xf>
    <xf numFmtId="4" fontId="5" fillId="3" borderId="8" xfId="10" applyNumberFormat="1" applyFont="1" applyFill="1" applyBorder="1" applyAlignment="1">
      <alignment horizontal="right" vertical="center"/>
    </xf>
    <xf numFmtId="4" fontId="14" fillId="3" borderId="15" xfId="2" applyNumberFormat="1" applyFont="1" applyFill="1" applyBorder="1" applyAlignment="1">
      <alignment horizontal="right" vertical="center" wrapText="1"/>
    </xf>
    <xf numFmtId="4" fontId="15" fillId="4" borderId="8" xfId="2" applyNumberFormat="1" applyFont="1" applyFill="1" applyBorder="1" applyAlignment="1">
      <alignment horizontal="right" vertical="center" wrapText="1"/>
    </xf>
    <xf numFmtId="1" fontId="5" fillId="4" borderId="21" xfId="10" applyNumberFormat="1" applyFont="1" applyFill="1" applyBorder="1" applyAlignment="1">
      <alignment horizontal="center" vertical="center" wrapText="1"/>
    </xf>
    <xf numFmtId="49" fontId="5" fillId="4" borderId="3" xfId="10" applyNumberFormat="1" applyFont="1" applyFill="1" applyBorder="1" applyAlignment="1">
      <alignment horizontal="left" vertical="center" wrapText="1"/>
    </xf>
    <xf numFmtId="49" fontId="5" fillId="4" borderId="3" xfId="10" applyNumberFormat="1" applyFont="1" applyFill="1" applyBorder="1" applyAlignment="1">
      <alignment horizontal="center" vertical="center" wrapText="1"/>
    </xf>
    <xf numFmtId="0" fontId="5" fillId="4" borderId="3" xfId="10" applyFont="1" applyFill="1" applyBorder="1" applyAlignment="1">
      <alignment horizontal="center" vertical="center" wrapText="1"/>
    </xf>
    <xf numFmtId="4" fontId="5" fillId="4" borderId="3" xfId="10" applyNumberFormat="1" applyFont="1" applyFill="1" applyBorder="1" applyAlignment="1">
      <alignment horizontal="center" vertical="center" wrapText="1"/>
    </xf>
    <xf numFmtId="4" fontId="5" fillId="4" borderId="22" xfId="10" applyNumberFormat="1" applyFont="1" applyFill="1" applyBorder="1" applyAlignment="1">
      <alignment horizontal="center" vertical="center" wrapText="1"/>
    </xf>
    <xf numFmtId="49" fontId="10" fillId="4" borderId="21" xfId="10" applyNumberFormat="1" applyFont="1" applyFill="1" applyBorder="1" applyAlignment="1">
      <alignment horizontal="center" vertical="center"/>
    </xf>
    <xf numFmtId="4" fontId="10" fillId="4" borderId="22" xfId="10" applyNumberFormat="1" applyFont="1" applyFill="1" applyBorder="1" applyAlignment="1">
      <alignment horizontal="right" vertical="center" wrapText="1"/>
    </xf>
    <xf numFmtId="49" fontId="9" fillId="4" borderId="21" xfId="10" applyNumberFormat="1" applyFont="1" applyFill="1" applyBorder="1" applyAlignment="1">
      <alignment horizontal="center" vertical="center"/>
    </xf>
    <xf numFmtId="49" fontId="5" fillId="4" borderId="3" xfId="0" applyNumberFormat="1" applyFont="1" applyFill="1" applyBorder="1" applyAlignment="1">
      <alignment horizontal="left" vertical="center" wrapText="1"/>
    </xf>
    <xf numFmtId="4" fontId="10" fillId="0" borderId="3" xfId="0" applyNumberFormat="1" applyFont="1" applyBorder="1" applyAlignment="1" applyProtection="1">
      <alignment vertical="center"/>
      <protection locked="0"/>
    </xf>
    <xf numFmtId="1" fontId="15" fillId="4" borderId="8" xfId="2" applyNumberFormat="1" applyFont="1" applyFill="1" applyBorder="1" applyAlignment="1">
      <alignment horizontal="center" vertical="center" wrapText="1"/>
    </xf>
    <xf numFmtId="49" fontId="10" fillId="4" borderId="23" xfId="0" applyNumberFormat="1" applyFont="1" applyFill="1" applyBorder="1" applyAlignment="1">
      <alignment horizontal="left" vertical="center" wrapText="1"/>
    </xf>
    <xf numFmtId="49" fontId="9" fillId="4" borderId="7" xfId="10" applyNumberFormat="1" applyFont="1" applyFill="1" applyBorder="1" applyAlignment="1">
      <alignment horizontal="center" vertical="center"/>
    </xf>
    <xf numFmtId="49" fontId="5" fillId="4" borderId="6" xfId="0" applyNumberFormat="1" applyFont="1" applyFill="1" applyBorder="1" applyAlignment="1">
      <alignment horizontal="left" vertical="center" wrapText="1"/>
    </xf>
    <xf numFmtId="49" fontId="5" fillId="4" borderId="21" xfId="10" applyNumberFormat="1" applyFont="1" applyFill="1" applyBorder="1" applyAlignment="1">
      <alignment horizontal="center" vertical="center"/>
    </xf>
    <xf numFmtId="49" fontId="10" fillId="4" borderId="6" xfId="0" applyNumberFormat="1" applyFont="1" applyFill="1" applyBorder="1" applyAlignment="1">
      <alignment horizontal="left" vertical="center" wrapText="1"/>
    </xf>
    <xf numFmtId="4" fontId="10" fillId="0" borderId="6" xfId="0" applyNumberFormat="1" applyFont="1" applyBorder="1" applyAlignment="1" applyProtection="1">
      <alignment vertical="center"/>
      <protection locked="0"/>
    </xf>
    <xf numFmtId="167" fontId="10" fillId="4" borderId="3" xfId="3" applyNumberFormat="1" applyFont="1" applyFill="1" applyBorder="1" applyAlignment="1">
      <alignment horizontal="center" vertical="center" wrapText="1"/>
    </xf>
    <xf numFmtId="49" fontId="13" fillId="4" borderId="3" xfId="10" applyNumberFormat="1" applyFont="1" applyFill="1" applyBorder="1" applyAlignment="1" applyProtection="1">
      <alignment horizontal="left" vertical="center" wrapText="1"/>
    </xf>
    <xf numFmtId="49" fontId="18" fillId="4" borderId="21" xfId="10" applyNumberFormat="1" applyFont="1" applyFill="1" applyBorder="1" applyAlignment="1">
      <alignment horizontal="center" vertical="center"/>
    </xf>
    <xf numFmtId="49" fontId="11" fillId="4" borderId="6" xfId="0" applyNumberFormat="1" applyFont="1" applyFill="1" applyBorder="1" applyAlignment="1">
      <alignment horizontal="left" vertical="center" wrapText="1"/>
    </xf>
    <xf numFmtId="0" fontId="11" fillId="4" borderId="3" xfId="3" applyFont="1" applyFill="1" applyBorder="1" applyAlignment="1">
      <alignment horizontal="center" vertical="center" wrapText="1"/>
    </xf>
    <xf numFmtId="1" fontId="11" fillId="4" borderId="3" xfId="3" applyNumberFormat="1" applyFont="1" applyFill="1" applyBorder="1" applyAlignment="1">
      <alignment horizontal="center" vertical="center" wrapText="1"/>
    </xf>
    <xf numFmtId="4" fontId="11" fillId="4" borderId="22" xfId="10" applyNumberFormat="1" applyFont="1" applyFill="1" applyBorder="1" applyAlignment="1">
      <alignment horizontal="right" vertical="center" wrapText="1"/>
    </xf>
    <xf numFmtId="4" fontId="13" fillId="3" borderId="8" xfId="10" applyNumberFormat="1" applyFont="1" applyFill="1" applyBorder="1" applyAlignment="1">
      <alignment horizontal="right" vertical="center"/>
    </xf>
    <xf numFmtId="49" fontId="18" fillId="4" borderId="2" xfId="10" applyNumberFormat="1" applyFont="1" applyFill="1" applyBorder="1" applyAlignment="1">
      <alignment horizontal="center" vertical="center"/>
    </xf>
    <xf numFmtId="0" fontId="13" fillId="4" borderId="24" xfId="0" applyFont="1" applyFill="1" applyBorder="1" applyAlignment="1" applyProtection="1">
      <alignment horizontal="center" vertical="center"/>
    </xf>
    <xf numFmtId="49" fontId="11" fillId="4" borderId="3" xfId="0" applyNumberFormat="1" applyFont="1" applyFill="1" applyBorder="1" applyAlignment="1">
      <alignment horizontal="left" vertical="center" wrapText="1"/>
    </xf>
    <xf numFmtId="49" fontId="11" fillId="4" borderId="3" xfId="0" applyNumberFormat="1" applyFont="1" applyFill="1" applyBorder="1" applyAlignment="1" applyProtection="1">
      <alignment horizontal="left" vertical="top" wrapText="1"/>
    </xf>
    <xf numFmtId="0" fontId="11" fillId="4" borderId="3" xfId="0" applyFont="1" applyFill="1" applyBorder="1" applyAlignment="1" applyProtection="1">
      <alignment horizontal="left" vertical="top" wrapText="1"/>
    </xf>
    <xf numFmtId="49" fontId="13" fillId="4" borderId="3" xfId="0" applyNumberFormat="1" applyFont="1" applyFill="1" applyBorder="1" applyAlignment="1" applyProtection="1">
      <alignment horizontal="left" vertical="top" wrapText="1"/>
    </xf>
    <xf numFmtId="49" fontId="13" fillId="4" borderId="3" xfId="0" applyNumberFormat="1" applyFont="1" applyFill="1" applyBorder="1" applyAlignment="1">
      <alignment horizontal="left" vertical="center" wrapText="1"/>
    </xf>
    <xf numFmtId="1" fontId="5" fillId="3" borderId="4" xfId="10" applyNumberFormat="1" applyFont="1" applyFill="1" applyBorder="1" applyAlignment="1">
      <alignment horizontal="center" vertical="center" wrapText="1"/>
    </xf>
    <xf numFmtId="49" fontId="18" fillId="4" borderId="7" xfId="10" applyNumberFormat="1" applyFont="1" applyFill="1" applyBorder="1" applyAlignment="1">
      <alignment horizontal="center" vertical="center"/>
    </xf>
    <xf numFmtId="0" fontId="26" fillId="0" borderId="0" xfId="0" applyFont="1" applyAlignment="1" applyProtection="1">
      <alignment wrapText="1"/>
    </xf>
    <xf numFmtId="0" fontId="13" fillId="4" borderId="2" xfId="0" applyFont="1" applyFill="1" applyBorder="1" applyAlignment="1" applyProtection="1">
      <alignment horizontal="center" vertical="center"/>
    </xf>
    <xf numFmtId="49" fontId="13" fillId="4" borderId="6" xfId="0" applyNumberFormat="1" applyFont="1" applyFill="1" applyBorder="1" applyAlignment="1">
      <alignment horizontal="left" vertical="center" wrapText="1"/>
    </xf>
    <xf numFmtId="0" fontId="8" fillId="0" borderId="0" xfId="0" applyFont="1" applyAlignment="1" applyProtection="1">
      <alignment wrapText="1"/>
    </xf>
    <xf numFmtId="167" fontId="5" fillId="3" borderId="4" xfId="10" applyNumberFormat="1" applyFont="1" applyFill="1" applyBorder="1" applyAlignment="1">
      <alignment horizontal="center" vertical="center" wrapText="1"/>
    </xf>
    <xf numFmtId="1" fontId="10" fillId="4" borderId="3" xfId="10" applyNumberFormat="1" applyFont="1" applyFill="1" applyBorder="1" applyAlignment="1">
      <alignment horizontal="center" vertical="center" wrapText="1"/>
    </xf>
    <xf numFmtId="49" fontId="10" fillId="4" borderId="27" xfId="0" applyNumberFormat="1" applyFont="1" applyFill="1" applyBorder="1" applyAlignment="1">
      <alignment horizontal="left" vertical="center" wrapText="1"/>
    </xf>
    <xf numFmtId="0" fontId="17" fillId="0" borderId="0" xfId="0" applyFont="1" applyAlignment="1" applyProtection="1">
      <alignment wrapText="1"/>
    </xf>
    <xf numFmtId="0" fontId="11" fillId="4" borderId="3" xfId="0" applyFont="1" applyFill="1" applyBorder="1" applyAlignment="1" applyProtection="1">
      <alignment horizontal="left" vertical="center" wrapText="1"/>
    </xf>
    <xf numFmtId="49" fontId="11" fillId="4" borderId="1" xfId="0" applyNumberFormat="1" applyFont="1" applyFill="1" applyBorder="1" applyAlignment="1">
      <alignment horizontal="left" vertical="center" wrapText="1"/>
    </xf>
    <xf numFmtId="49" fontId="11" fillId="4" borderId="28" xfId="0" applyNumberFormat="1" applyFont="1" applyFill="1" applyBorder="1" applyAlignment="1">
      <alignment horizontal="left" vertical="center" wrapText="1"/>
    </xf>
    <xf numFmtId="0" fontId="11" fillId="4" borderId="34" xfId="3" applyFont="1" applyFill="1" applyBorder="1" applyAlignment="1">
      <alignment horizontal="center" vertical="center" wrapText="1"/>
    </xf>
    <xf numFmtId="4" fontId="11" fillId="0" borderId="3" xfId="0" applyNumberFormat="1" applyFont="1" applyBorder="1" applyAlignment="1" applyProtection="1">
      <alignment horizontal="right" vertical="center"/>
      <protection locked="0"/>
    </xf>
    <xf numFmtId="4" fontId="10" fillId="0" borderId="3" xfId="0" applyNumberFormat="1" applyFont="1" applyBorder="1" applyAlignment="1" applyProtection="1">
      <alignment horizontal="right" vertical="center"/>
      <protection locked="0"/>
    </xf>
    <xf numFmtId="0" fontId="27" fillId="2" borderId="0" xfId="2" applyFont="1" applyFill="1" applyAlignment="1">
      <alignment horizontal="center" vertical="center" wrapText="1"/>
    </xf>
    <xf numFmtId="0" fontId="12" fillId="0" borderId="0" xfId="2" applyFont="1" applyAlignment="1">
      <alignment wrapText="1"/>
    </xf>
    <xf numFmtId="0" fontId="14" fillId="3" borderId="15" xfId="0" applyFont="1" applyFill="1" applyBorder="1" applyAlignment="1">
      <alignment horizontal="center" vertical="center" wrapText="1"/>
    </xf>
    <xf numFmtId="49" fontId="16" fillId="3" borderId="8" xfId="2" applyNumberFormat="1" applyFont="1" applyFill="1" applyBorder="1" applyAlignment="1">
      <alignment horizontal="center" vertical="center" wrapText="1"/>
    </xf>
    <xf numFmtId="0" fontId="14" fillId="3" borderId="8" xfId="0" applyFont="1" applyFill="1" applyBorder="1" applyAlignment="1">
      <alignment horizontal="center" vertical="center" wrapText="1"/>
    </xf>
    <xf numFmtId="4" fontId="17" fillId="3" borderId="8" xfId="0" applyNumberFormat="1" applyFont="1" applyFill="1" applyBorder="1" applyAlignment="1">
      <alignment horizontal="right" vertical="center" wrapText="1"/>
    </xf>
    <xf numFmtId="0" fontId="12" fillId="0" borderId="0" xfId="0" applyFont="1" applyAlignment="1">
      <alignment wrapText="1"/>
    </xf>
    <xf numFmtId="0" fontId="1" fillId="0" borderId="0" xfId="0" applyFont="1" applyBorder="1" applyAlignment="1">
      <alignment wrapText="1"/>
    </xf>
    <xf numFmtId="0" fontId="1" fillId="0" borderId="0" xfId="0" applyFont="1" applyAlignment="1">
      <alignment wrapText="1"/>
    </xf>
    <xf numFmtId="0" fontId="1" fillId="0" borderId="3" xfId="0" applyFont="1" applyBorder="1" applyAlignment="1">
      <alignment horizontal="center" vertical="top" wrapText="1"/>
    </xf>
    <xf numFmtId="49" fontId="10" fillId="0" borderId="3" xfId="0" applyNumberFormat="1" applyFont="1" applyBorder="1" applyAlignment="1">
      <alignment vertical="top" wrapText="1"/>
    </xf>
    <xf numFmtId="0" fontId="10" fillId="0" borderId="3" xfId="0" applyFont="1" applyBorder="1" applyAlignment="1">
      <alignment horizontal="center" vertical="top" wrapText="1"/>
    </xf>
    <xf numFmtId="0" fontId="5" fillId="0" borderId="3" xfId="0" applyFont="1" applyFill="1" applyBorder="1" applyAlignment="1">
      <alignment horizontal="center" vertical="top" wrapText="1"/>
    </xf>
    <xf numFmtId="4" fontId="10" fillId="0" borderId="3" xfId="12" applyNumberFormat="1" applyFont="1" applyFill="1" applyBorder="1" applyAlignment="1" applyProtection="1">
      <alignment horizontal="justify" vertical="top" wrapText="1"/>
    </xf>
    <xf numFmtId="4" fontId="10" fillId="7" borderId="3" xfId="12" applyNumberFormat="1" applyFont="1" applyFill="1" applyBorder="1" applyAlignment="1" applyProtection="1">
      <alignment horizontal="justify" vertical="top" wrapText="1"/>
    </xf>
    <xf numFmtId="0" fontId="5" fillId="0" borderId="3" xfId="0" applyFont="1" applyFill="1" applyBorder="1" applyAlignment="1">
      <alignment horizontal="center" vertical="top"/>
    </xf>
    <xf numFmtId="0" fontId="11" fillId="0" borderId="3" xfId="0" applyFont="1" applyFill="1" applyBorder="1" applyAlignment="1">
      <alignment horizontal="justify" vertical="top" wrapText="1"/>
    </xf>
    <xf numFmtId="0" fontId="10" fillId="0" borderId="3" xfId="0" applyFont="1" applyFill="1" applyBorder="1" applyAlignment="1">
      <alignment horizontal="justify" vertical="top" wrapText="1"/>
    </xf>
    <xf numFmtId="3" fontId="10" fillId="0" borderId="3" xfId="0" applyNumberFormat="1" applyFont="1" applyFill="1" applyBorder="1" applyAlignment="1">
      <alignment horizontal="justify" vertical="top" wrapText="1"/>
    </xf>
    <xf numFmtId="0" fontId="5" fillId="0" borderId="3" xfId="0" applyFont="1" applyFill="1" applyBorder="1" applyAlignment="1">
      <alignment horizontal="justify" vertical="top" wrapText="1"/>
    </xf>
    <xf numFmtId="0" fontId="5" fillId="0" borderId="3" xfId="0" applyFont="1" applyFill="1" applyBorder="1" applyAlignment="1">
      <alignment horizontal="left" vertical="top" wrapText="1"/>
    </xf>
    <xf numFmtId="3" fontId="5" fillId="0" borderId="3" xfId="0" applyNumberFormat="1" applyFont="1" applyFill="1" applyBorder="1" applyAlignment="1">
      <alignment horizontal="center" vertical="top" wrapText="1"/>
    </xf>
    <xf numFmtId="0" fontId="5" fillId="0" borderId="3" xfId="0" applyNumberFormat="1" applyFont="1" applyFill="1" applyBorder="1" applyAlignment="1">
      <alignment horizontal="center" vertical="top"/>
    </xf>
    <xf numFmtId="49" fontId="10" fillId="0" borderId="3" xfId="0" applyNumberFormat="1" applyFont="1" applyFill="1" applyBorder="1" applyAlignment="1">
      <alignment horizontal="justify" vertical="top" wrapText="1"/>
    </xf>
    <xf numFmtId="0" fontId="10" fillId="0" borderId="3" xfId="12" applyFont="1" applyFill="1" applyBorder="1" applyAlignment="1" applyProtection="1">
      <alignment horizontal="justify" vertical="top" wrapText="1"/>
    </xf>
    <xf numFmtId="49" fontId="1" fillId="0" borderId="3" xfId="0" applyNumberFormat="1" applyFont="1" applyBorder="1" applyAlignment="1">
      <alignment horizontal="justify" vertical="top" wrapText="1"/>
    </xf>
    <xf numFmtId="0" fontId="1" fillId="0" borderId="3" xfId="0" applyFont="1" applyBorder="1" applyAlignment="1">
      <alignment wrapText="1"/>
    </xf>
    <xf numFmtId="0" fontId="5" fillId="5" borderId="3" xfId="0" applyFont="1" applyFill="1" applyBorder="1" applyAlignment="1">
      <alignment horizontal="center" vertical="justify"/>
    </xf>
    <xf numFmtId="0" fontId="5" fillId="5" borderId="3" xfId="0" applyFont="1" applyFill="1" applyBorder="1" applyAlignment="1">
      <alignment horizontal="justify" vertical="top"/>
    </xf>
    <xf numFmtId="4" fontId="5" fillId="5" borderId="3" xfId="0" applyNumberFormat="1" applyFont="1" applyFill="1" applyBorder="1" applyAlignment="1">
      <alignment horizontal="center"/>
    </xf>
    <xf numFmtId="4" fontId="5" fillId="5" borderId="3" xfId="0" applyNumberFormat="1" applyFont="1" applyFill="1" applyBorder="1" applyAlignment="1">
      <alignment horizontal="justify" vertical="top"/>
    </xf>
    <xf numFmtId="0" fontId="5" fillId="0" borderId="3" xfId="0" applyFont="1" applyFill="1" applyBorder="1" applyAlignment="1">
      <alignment horizontal="center"/>
    </xf>
    <xf numFmtId="0" fontId="10" fillId="0" borderId="3" xfId="0" applyFont="1" applyFill="1" applyBorder="1" applyAlignment="1">
      <alignment vertical="top"/>
    </xf>
    <xf numFmtId="4" fontId="29" fillId="0" borderId="3" xfId="0" applyNumberFormat="1" applyFont="1" applyFill="1" applyBorder="1" applyAlignment="1">
      <alignment horizontal="justify" vertical="top" wrapText="1"/>
    </xf>
    <xf numFmtId="4" fontId="10" fillId="0" borderId="3" xfId="0" applyNumberFormat="1" applyFont="1" applyFill="1" applyBorder="1" applyAlignment="1">
      <alignment horizontal="justify" vertical="top" wrapText="1"/>
    </xf>
    <xf numFmtId="4" fontId="5" fillId="0" borderId="3" xfId="0" applyNumberFormat="1" applyFont="1" applyFill="1" applyBorder="1" applyAlignment="1">
      <alignment horizontal="center" vertical="top"/>
    </xf>
    <xf numFmtId="4" fontId="5" fillId="0" borderId="3" xfId="0" applyNumberFormat="1" applyFont="1" applyFill="1" applyBorder="1" applyAlignment="1">
      <alignment horizontal="center"/>
    </xf>
    <xf numFmtId="4" fontId="10" fillId="0" borderId="3" xfId="0" applyNumberFormat="1" applyFont="1" applyFill="1" applyBorder="1" applyAlignment="1">
      <alignment vertical="top"/>
    </xf>
    <xf numFmtId="4" fontId="5" fillId="5" borderId="3" xfId="0" applyNumberFormat="1" applyFont="1" applyFill="1" applyBorder="1" applyAlignment="1">
      <alignment horizontal="center" vertical="justify"/>
    </xf>
    <xf numFmtId="4" fontId="5" fillId="0" borderId="3" xfId="0" applyNumberFormat="1" applyFont="1" applyFill="1" applyBorder="1" applyAlignment="1">
      <alignment horizontal="center" vertical="top" wrapText="1"/>
    </xf>
    <xf numFmtId="4" fontId="5" fillId="6" borderId="3" xfId="0" applyNumberFormat="1" applyFont="1" applyFill="1" applyBorder="1" applyAlignment="1">
      <alignment horizontal="center" vertical="top" wrapText="1"/>
    </xf>
    <xf numFmtId="0" fontId="5" fillId="6" borderId="3" xfId="12" applyFont="1" applyFill="1" applyBorder="1" applyAlignment="1">
      <alignment horizontal="justify" vertical="top" wrapText="1"/>
    </xf>
    <xf numFmtId="0" fontId="10" fillId="0" borderId="3" xfId="12" applyFont="1" applyFill="1" applyBorder="1" applyAlignment="1">
      <alignment horizontal="justify" vertical="top" wrapText="1"/>
    </xf>
    <xf numFmtId="0" fontId="10" fillId="0" borderId="3" xfId="12" applyFont="1" applyFill="1" applyBorder="1" applyAlignment="1">
      <alignment horizontal="justify" vertical="top"/>
    </xf>
    <xf numFmtId="4" fontId="5" fillId="6" borderId="3" xfId="13" applyNumberFormat="1" applyFont="1" applyFill="1" applyBorder="1" applyAlignment="1">
      <alignment horizontal="center"/>
    </xf>
    <xf numFmtId="4" fontId="5" fillId="6" borderId="3" xfId="13" applyNumberFormat="1" applyFont="1" applyFill="1" applyBorder="1" applyAlignment="1">
      <alignment vertical="top"/>
    </xf>
    <xf numFmtId="4" fontId="10" fillId="0" borderId="3" xfId="13" applyNumberFormat="1" applyFont="1" applyFill="1" applyBorder="1" applyAlignment="1">
      <alignment horizontal="justify" vertical="top"/>
    </xf>
    <xf numFmtId="4" fontId="5" fillId="0" borderId="3" xfId="13" applyNumberFormat="1" applyFont="1" applyFill="1" applyBorder="1" applyAlignment="1">
      <alignment horizontal="center" vertical="top"/>
    </xf>
    <xf numFmtId="0" fontId="5" fillId="5" borderId="3" xfId="0" applyFont="1" applyFill="1" applyBorder="1" applyAlignment="1">
      <alignment horizontal="center" vertical="justify" wrapText="1"/>
    </xf>
    <xf numFmtId="0" fontId="5" fillId="5" borderId="3" xfId="0" applyFont="1" applyFill="1" applyBorder="1" applyAlignment="1">
      <alignment horizontal="left" vertical="top"/>
    </xf>
    <xf numFmtId="0" fontId="29" fillId="0" borderId="3" xfId="0" applyFont="1" applyFill="1" applyBorder="1" applyAlignment="1">
      <alignment horizontal="justify" vertical="top" wrapText="1"/>
    </xf>
    <xf numFmtId="0" fontId="10" fillId="0" borderId="3" xfId="0" applyFont="1" applyFill="1" applyBorder="1" applyAlignment="1">
      <alignment horizontal="justify" vertical="top"/>
    </xf>
    <xf numFmtId="4" fontId="5" fillId="0" borderId="3" xfId="12" applyNumberFormat="1" applyFont="1" applyFill="1" applyBorder="1" applyAlignment="1" applyProtection="1">
      <alignment horizontal="justify" vertical="top" wrapText="1"/>
    </xf>
    <xf numFmtId="0" fontId="10" fillId="0" borderId="3" xfId="12" applyFont="1" applyFill="1" applyBorder="1" applyAlignment="1" applyProtection="1">
      <alignment vertical="top" wrapText="1"/>
    </xf>
    <xf numFmtId="0" fontId="10" fillId="0" borderId="3" xfId="12" applyFont="1" applyFill="1" applyBorder="1" applyAlignment="1" applyProtection="1">
      <alignment horizontal="left" vertical="top" wrapText="1"/>
    </xf>
    <xf numFmtId="0" fontId="5" fillId="0" borderId="3" xfId="12" applyFont="1" applyFill="1" applyBorder="1" applyAlignment="1" applyProtection="1">
      <alignment horizontal="justify" vertical="top" wrapText="1"/>
    </xf>
    <xf numFmtId="0" fontId="5" fillId="6" borderId="3" xfId="0" applyFont="1" applyFill="1" applyBorder="1" applyAlignment="1">
      <alignment horizontal="center" vertical="top" wrapText="1"/>
    </xf>
    <xf numFmtId="0" fontId="5" fillId="6" borderId="3" xfId="13" applyFont="1" applyFill="1" applyBorder="1" applyAlignment="1">
      <alignment horizontal="center"/>
    </xf>
    <xf numFmtId="0" fontId="5" fillId="6" borderId="3" xfId="13" applyFont="1" applyFill="1" applyBorder="1" applyAlignment="1">
      <alignment horizontal="justify" vertical="top"/>
    </xf>
    <xf numFmtId="0" fontId="10" fillId="0" borderId="3" xfId="13" applyFont="1" applyFill="1" applyBorder="1" applyAlignment="1">
      <alignment horizontal="justify" vertical="top"/>
    </xf>
    <xf numFmtId="0" fontId="5" fillId="0" borderId="3" xfId="13" applyFont="1" applyFill="1" applyBorder="1" applyAlignment="1">
      <alignment horizontal="center" vertical="top"/>
    </xf>
    <xf numFmtId="0" fontId="5" fillId="5" borderId="3" xfId="0" applyFont="1" applyFill="1" applyBorder="1" applyAlignment="1">
      <alignment vertical="top"/>
    </xf>
    <xf numFmtId="0" fontId="5" fillId="6" borderId="3" xfId="0" applyFont="1" applyFill="1" applyBorder="1" applyAlignment="1">
      <alignment horizontal="center"/>
    </xf>
    <xf numFmtId="0" fontId="5" fillId="0" borderId="3" xfId="12" applyFont="1" applyFill="1" applyBorder="1" applyAlignment="1">
      <alignment horizontal="justify" vertical="top" wrapText="1"/>
    </xf>
    <xf numFmtId="0" fontId="10" fillId="0" borderId="3" xfId="12" applyFont="1" applyFill="1" applyBorder="1" applyAlignment="1" applyProtection="1">
      <alignment horizontal="justify" vertical="top" wrapText="1"/>
      <protection locked="0"/>
    </xf>
    <xf numFmtId="0" fontId="5" fillId="6" borderId="3" xfId="13" applyFont="1" applyFill="1" applyBorder="1" applyAlignment="1">
      <alignment vertical="top"/>
    </xf>
    <xf numFmtId="0" fontId="5" fillId="0" borderId="3" xfId="13" applyFont="1" applyFill="1" applyBorder="1" applyAlignment="1">
      <alignment horizontal="center"/>
    </xf>
    <xf numFmtId="0" fontId="10" fillId="0" borderId="3" xfId="13" applyFont="1" applyFill="1" applyBorder="1" applyAlignment="1">
      <alignment horizontal="justify" vertical="top" wrapText="1"/>
    </xf>
    <xf numFmtId="0" fontId="5" fillId="5" borderId="3" xfId="0" applyFont="1" applyFill="1" applyBorder="1" applyAlignment="1">
      <alignment horizontal="center" vertical="top" wrapText="1"/>
    </xf>
    <xf numFmtId="0" fontId="5" fillId="5" borderId="3" xfId="0" applyFont="1" applyFill="1" applyBorder="1" applyAlignment="1">
      <alignment horizontal="left" vertical="top" wrapText="1"/>
    </xf>
    <xf numFmtId="0" fontId="10" fillId="0" borderId="3" xfId="0" applyFont="1" applyFill="1" applyBorder="1" applyAlignment="1">
      <alignment vertical="top" wrapText="1"/>
    </xf>
    <xf numFmtId="0" fontId="5" fillId="0" borderId="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justify" vertical="top" wrapText="1"/>
    </xf>
    <xf numFmtId="3" fontId="10" fillId="0" borderId="3" xfId="0" applyNumberFormat="1" applyFont="1" applyFill="1" applyBorder="1" applyAlignment="1">
      <alignment horizontal="left" vertical="top" wrapText="1"/>
    </xf>
    <xf numFmtId="0" fontId="5" fillId="5" borderId="3" xfId="13" applyFont="1" applyFill="1" applyBorder="1" applyAlignment="1">
      <alignment horizontal="center"/>
    </xf>
    <xf numFmtId="0" fontId="5" fillId="5" borderId="3" xfId="13" applyFont="1" applyFill="1" applyBorder="1" applyAlignment="1">
      <alignment vertical="top"/>
    </xf>
    <xf numFmtId="0" fontId="5" fillId="5" borderId="3" xfId="0" applyFont="1" applyFill="1" applyBorder="1" applyAlignment="1">
      <alignment vertical="top" wrapText="1"/>
    </xf>
    <xf numFmtId="0" fontId="5" fillId="0" borderId="3" xfId="0" applyFont="1" applyFill="1" applyBorder="1" applyAlignment="1">
      <alignment horizontal="center" vertical="justify" wrapText="1"/>
    </xf>
    <xf numFmtId="0" fontId="5" fillId="6" borderId="3" xfId="0" applyFont="1" applyFill="1" applyBorder="1" applyAlignment="1">
      <alignment horizontal="center" vertical="justify" wrapText="1"/>
    </xf>
    <xf numFmtId="0" fontId="5" fillId="6" borderId="3" xfId="12" applyFont="1" applyFill="1" applyBorder="1" applyAlignment="1" applyProtection="1">
      <alignment horizontal="justify" vertical="top" wrapText="1"/>
    </xf>
    <xf numFmtId="0" fontId="10" fillId="0" borderId="3" xfId="0" applyFont="1" applyFill="1" applyBorder="1" applyAlignment="1">
      <alignment horizontal="center" vertical="top"/>
    </xf>
    <xf numFmtId="0" fontId="5" fillId="0" borderId="3" xfId="0" applyFont="1" applyFill="1" applyBorder="1" applyAlignment="1">
      <alignment vertical="top"/>
    </xf>
    <xf numFmtId="0" fontId="5" fillId="6" borderId="3" xfId="0" applyFont="1" applyFill="1" applyBorder="1" applyAlignment="1">
      <alignment horizontal="center" vertical="top"/>
    </xf>
    <xf numFmtId="0" fontId="10" fillId="0" borderId="3" xfId="0" applyFont="1" applyFill="1" applyBorder="1" applyAlignment="1">
      <alignment horizontal="right" vertical="top"/>
    </xf>
    <xf numFmtId="0" fontId="5" fillId="6" borderId="3" xfId="0" applyFont="1" applyFill="1" applyBorder="1" applyAlignment="1" applyProtection="1">
      <alignment horizontal="justify" wrapText="1"/>
    </xf>
    <xf numFmtId="0" fontId="5" fillId="0" borderId="3" xfId="0" applyFont="1" applyFill="1" applyBorder="1" applyAlignment="1" applyProtection="1">
      <alignment horizontal="justify" wrapText="1"/>
    </xf>
    <xf numFmtId="0" fontId="10" fillId="0" borderId="3" xfId="0" applyFont="1" applyFill="1" applyBorder="1" applyAlignment="1" applyProtection="1">
      <alignment horizontal="justify" wrapText="1"/>
    </xf>
    <xf numFmtId="0" fontId="10" fillId="0" borderId="3" xfId="0" applyFont="1" applyFill="1" applyBorder="1" applyAlignment="1" applyProtection="1">
      <alignment horizontal="justify" vertical="top" wrapText="1"/>
    </xf>
    <xf numFmtId="0" fontId="5" fillId="0" borderId="3" xfId="0" applyFont="1" applyFill="1" applyBorder="1" applyAlignment="1" applyProtection="1">
      <alignment horizontal="justify" vertical="top" wrapText="1"/>
    </xf>
    <xf numFmtId="0" fontId="10" fillId="0" borderId="3" xfId="0" applyFont="1" applyFill="1" applyBorder="1" applyAlignment="1" applyProtection="1">
      <alignment horizontal="justify" vertical="top"/>
    </xf>
    <xf numFmtId="4" fontId="10" fillId="0" borderId="3" xfId="0" applyNumberFormat="1" applyFont="1" applyFill="1" applyBorder="1" applyAlignment="1" applyProtection="1">
      <alignment horizontal="justify" vertical="top" wrapText="1"/>
    </xf>
    <xf numFmtId="0" fontId="5" fillId="6" borderId="3" xfId="0" applyFont="1" applyFill="1" applyBorder="1" applyAlignment="1" applyProtection="1">
      <alignment vertical="top"/>
    </xf>
    <xf numFmtId="0" fontId="10" fillId="0" borderId="3" xfId="0" applyFont="1" applyFill="1" applyBorder="1" applyAlignment="1" applyProtection="1">
      <alignment vertical="top" wrapText="1"/>
    </xf>
    <xf numFmtId="3" fontId="5" fillId="0" borderId="3" xfId="0" applyNumberFormat="1" applyFont="1" applyFill="1" applyBorder="1" applyAlignment="1">
      <alignment horizontal="right" vertical="top" wrapText="1"/>
    </xf>
    <xf numFmtId="3" fontId="5" fillId="6" borderId="3" xfId="0" applyNumberFormat="1" applyFont="1" applyFill="1" applyBorder="1" applyAlignment="1">
      <alignment horizontal="center" vertical="top" wrapText="1"/>
    </xf>
    <xf numFmtId="0" fontId="5" fillId="6" borderId="3" xfId="0" applyFont="1" applyFill="1" applyBorder="1" applyAlignment="1" applyProtection="1">
      <alignment horizontal="justify" vertical="top" wrapText="1"/>
    </xf>
    <xf numFmtId="0" fontId="10" fillId="0" borderId="3" xfId="0" applyFont="1" applyFill="1" applyBorder="1" applyAlignment="1" applyProtection="1">
      <alignment horizontal="justify"/>
    </xf>
    <xf numFmtId="0" fontId="5" fillId="6" borderId="3" xfId="13" applyFont="1" applyFill="1" applyBorder="1" applyAlignment="1">
      <alignment horizontal="center" vertical="top"/>
    </xf>
    <xf numFmtId="0" fontId="5" fillId="5" borderId="3" xfId="0" applyFont="1" applyFill="1" applyBorder="1" applyAlignment="1">
      <alignment horizontal="center" wrapText="1"/>
    </xf>
    <xf numFmtId="0" fontId="5" fillId="5" borderId="3" xfId="0" applyFont="1" applyFill="1" applyBorder="1" applyAlignment="1">
      <alignment horizontal="center" vertical="top"/>
    </xf>
    <xf numFmtId="0" fontId="5" fillId="5" borderId="3" xfId="12" applyFont="1" applyFill="1" applyBorder="1" applyAlignment="1">
      <alignment horizontal="justify" vertical="top" wrapText="1"/>
    </xf>
    <xf numFmtId="0" fontId="10" fillId="0" borderId="3" xfId="12" applyFont="1" applyFill="1" applyBorder="1" applyAlignment="1">
      <alignment horizontal="justify"/>
    </xf>
    <xf numFmtId="0" fontId="10" fillId="6" borderId="3" xfId="0" applyFont="1" applyFill="1" applyBorder="1"/>
    <xf numFmtId="0" fontId="10" fillId="0" borderId="3" xfId="0" applyFont="1" applyFill="1" applyBorder="1"/>
    <xf numFmtId="0" fontId="5" fillId="0" borderId="3" xfId="13" applyFont="1" applyFill="1" applyBorder="1" applyAlignment="1">
      <alignment horizontal="justify" vertical="top"/>
    </xf>
    <xf numFmtId="0" fontId="5" fillId="0" borderId="3" xfId="13" applyFont="1" applyFill="1" applyBorder="1" applyAlignment="1">
      <alignment horizontal="justify" vertical="top" wrapText="1"/>
    </xf>
    <xf numFmtId="0" fontId="5" fillId="6" borderId="3" xfId="0" applyFont="1" applyFill="1" applyBorder="1" applyAlignment="1">
      <alignment horizontal="left" vertical="top"/>
    </xf>
    <xf numFmtId="0" fontId="10" fillId="0" borderId="3" xfId="0" applyFont="1" applyFill="1" applyBorder="1" applyAlignment="1">
      <alignment horizontal="left" vertical="top"/>
    </xf>
    <xf numFmtId="0" fontId="10" fillId="0" borderId="3" xfId="12" applyFont="1" applyFill="1" applyBorder="1" applyAlignment="1">
      <alignment horizontal="justify" wrapText="1"/>
    </xf>
    <xf numFmtId="0" fontId="1" fillId="0" borderId="1" xfId="0" applyFont="1" applyBorder="1" applyAlignment="1">
      <alignment wrapText="1"/>
    </xf>
    <xf numFmtId="0" fontId="5" fillId="4" borderId="0" xfId="0" applyFont="1" applyFill="1" applyBorder="1" applyAlignment="1">
      <alignment vertical="center"/>
    </xf>
    <xf numFmtId="0" fontId="10" fillId="4" borderId="3" xfId="10" applyFont="1" applyFill="1" applyBorder="1" applyAlignment="1">
      <alignment horizontal="center" vertical="center" wrapText="1"/>
    </xf>
    <xf numFmtId="49" fontId="1" fillId="0" borderId="0" xfId="0" applyNumberFormat="1" applyFont="1" applyAlignment="1">
      <alignment horizontal="left" vertical="top"/>
    </xf>
    <xf numFmtId="49" fontId="1" fillId="0" borderId="0" xfId="0" applyNumberFormat="1" applyFont="1" applyAlignment="1">
      <alignment horizontal="left" vertical="top" wrapText="1"/>
    </xf>
    <xf numFmtId="0" fontId="1" fillId="0" borderId="0" xfId="0" applyFont="1" applyAlignment="1">
      <alignment horizontal="center"/>
    </xf>
    <xf numFmtId="4" fontId="1" fillId="0" borderId="0" xfId="0" applyNumberFormat="1" applyFont="1" applyAlignment="1">
      <alignment horizontal="center" wrapText="1"/>
    </xf>
    <xf numFmtId="4" fontId="1" fillId="0" borderId="0" xfId="0" applyNumberFormat="1" applyFont="1" applyAlignment="1">
      <alignment horizontal="center" vertical="center" wrapText="1"/>
    </xf>
    <xf numFmtId="4" fontId="1" fillId="0" borderId="0" xfId="0" applyNumberFormat="1" applyFont="1" applyAlignment="1">
      <alignment horizontal="right" wrapText="1" indent="1"/>
    </xf>
    <xf numFmtId="0" fontId="1" fillId="0" borderId="0" xfId="0" applyFont="1" applyAlignment="1">
      <alignment vertical="top" wrapText="1"/>
    </xf>
    <xf numFmtId="0" fontId="1" fillId="0" borderId="0" xfId="0" applyFont="1" applyAlignment="1">
      <alignment horizontal="center" wrapText="1"/>
    </xf>
    <xf numFmtId="49" fontId="1" fillId="0" borderId="2" xfId="0" applyNumberFormat="1" applyFont="1" applyBorder="1" applyAlignment="1">
      <alignment horizontal="center" wrapText="1"/>
    </xf>
    <xf numFmtId="0" fontId="1" fillId="0" borderId="1" xfId="0" applyFont="1" applyBorder="1" applyAlignment="1">
      <alignment horizontal="center" wrapText="1"/>
    </xf>
    <xf numFmtId="4" fontId="1" fillId="0" borderId="1" xfId="0" applyNumberFormat="1" applyFont="1" applyBorder="1" applyAlignment="1">
      <alignment horizontal="center" wrapText="1"/>
    </xf>
    <xf numFmtId="4" fontId="1" fillId="0" borderId="1" xfId="0" applyNumberFormat="1" applyFont="1" applyBorder="1" applyAlignment="1">
      <alignment horizontal="center" vertical="center" wrapText="1"/>
    </xf>
    <xf numFmtId="4" fontId="1" fillId="0" borderId="11" xfId="0" applyNumberFormat="1" applyFont="1" applyBorder="1" applyAlignment="1">
      <alignment horizontal="right" wrapText="1" indent="1"/>
    </xf>
    <xf numFmtId="0" fontId="31" fillId="0" borderId="0" xfId="0" applyFont="1" applyAlignment="1"/>
    <xf numFmtId="0" fontId="32" fillId="0" borderId="0" xfId="0" applyFont="1" applyAlignment="1"/>
    <xf numFmtId="1" fontId="9" fillId="4" borderId="21" xfId="10" applyNumberFormat="1" applyFont="1" applyFill="1" applyBorder="1" applyAlignment="1">
      <alignment horizontal="center" vertical="center" wrapText="1"/>
    </xf>
    <xf numFmtId="49" fontId="5" fillId="4" borderId="6" xfId="10" applyNumberFormat="1" applyFont="1" applyFill="1" applyBorder="1" applyAlignment="1">
      <alignment horizontal="center" vertical="center" wrapText="1"/>
    </xf>
    <xf numFmtId="0" fontId="5" fillId="4" borderId="6" xfId="10" applyFont="1" applyFill="1" applyBorder="1" applyAlignment="1">
      <alignment horizontal="center" vertical="center" wrapText="1"/>
    </xf>
    <xf numFmtId="4" fontId="5" fillId="4" borderId="6" xfId="10" applyNumberFormat="1" applyFont="1" applyFill="1" applyBorder="1" applyAlignment="1">
      <alignment horizontal="center" vertical="center" wrapText="1"/>
    </xf>
    <xf numFmtId="49" fontId="10" fillId="4" borderId="3" xfId="10" applyNumberFormat="1" applyFont="1" applyFill="1" applyBorder="1" applyAlignment="1">
      <alignment horizontal="left" vertical="center" wrapText="1"/>
    </xf>
    <xf numFmtId="0" fontId="7" fillId="0" borderId="0" xfId="0" applyFont="1" applyAlignment="1"/>
    <xf numFmtId="0" fontId="1" fillId="0" borderId="0" xfId="0" applyFont="1" applyAlignment="1"/>
    <xf numFmtId="49" fontId="5" fillId="4" borderId="26" xfId="10" applyNumberFormat="1" applyFont="1" applyFill="1" applyBorder="1" applyAlignment="1" applyProtection="1">
      <alignment horizontal="left" vertical="center" wrapText="1"/>
    </xf>
    <xf numFmtId="49" fontId="10" fillId="4" borderId="3" xfId="10" applyNumberFormat="1" applyFont="1" applyFill="1" applyBorder="1" applyAlignment="1" applyProtection="1">
      <alignment horizontal="left" vertical="center" wrapText="1"/>
    </xf>
    <xf numFmtId="0" fontId="5" fillId="4" borderId="2" xfId="0" applyFont="1" applyFill="1" applyBorder="1" applyAlignment="1" applyProtection="1">
      <alignment horizontal="center" vertical="center"/>
    </xf>
    <xf numFmtId="49" fontId="5" fillId="4" borderId="3" xfId="10" applyNumberFormat="1" applyFont="1" applyFill="1" applyBorder="1" applyAlignment="1" applyProtection="1">
      <alignment horizontal="left" vertical="center" wrapText="1"/>
    </xf>
    <xf numFmtId="49" fontId="10" fillId="4" borderId="6" xfId="10" applyNumberFormat="1" applyFont="1" applyFill="1" applyBorder="1" applyAlignment="1" applyProtection="1">
      <alignment horizontal="left" vertical="center" wrapText="1"/>
    </xf>
    <xf numFmtId="4" fontId="5" fillId="4" borderId="3" xfId="10" applyNumberFormat="1" applyFont="1" applyFill="1" applyBorder="1" applyAlignment="1">
      <alignment horizontal="right" vertical="center" wrapText="1"/>
    </xf>
    <xf numFmtId="4" fontId="5" fillId="4" borderId="22" xfId="10" applyNumberFormat="1" applyFont="1" applyFill="1" applyBorder="1" applyAlignment="1">
      <alignment horizontal="right" vertical="center" wrapText="1"/>
    </xf>
    <xf numFmtId="0" fontId="4" fillId="0" borderId="0" xfId="0" applyFont="1" applyAlignment="1"/>
    <xf numFmtId="4" fontId="10" fillId="4" borderId="3" xfId="3" applyNumberFormat="1" applyFont="1" applyFill="1" applyBorder="1" applyAlignment="1">
      <alignment horizontal="center" vertical="center" wrapText="1"/>
    </xf>
    <xf numFmtId="49" fontId="10" fillId="4" borderId="25" xfId="0" applyNumberFormat="1" applyFont="1" applyFill="1" applyBorder="1" applyAlignment="1">
      <alignment horizontal="left" vertical="center" wrapText="1"/>
    </xf>
    <xf numFmtId="0" fontId="33" fillId="0" borderId="0" xfId="0" applyFont="1" applyAlignment="1"/>
    <xf numFmtId="0" fontId="1" fillId="0" borderId="0" xfId="0" applyFont="1" applyAlignment="1" applyProtection="1">
      <alignment wrapText="1"/>
    </xf>
    <xf numFmtId="0" fontId="5" fillId="0" borderId="0" xfId="0" applyFont="1" applyAlignment="1"/>
    <xf numFmtId="4" fontId="5" fillId="4" borderId="6" xfId="10" applyNumberFormat="1" applyFont="1" applyFill="1" applyBorder="1" applyAlignment="1">
      <alignment horizontal="right" vertical="center" wrapText="1"/>
    </xf>
    <xf numFmtId="4" fontId="5" fillId="4" borderId="29" xfId="10" applyNumberFormat="1" applyFont="1" applyFill="1" applyBorder="1" applyAlignment="1">
      <alignment horizontal="right" vertical="center" wrapText="1"/>
    </xf>
    <xf numFmtId="49" fontId="10" fillId="4" borderId="1" xfId="0" applyNumberFormat="1" applyFont="1" applyFill="1" applyBorder="1" applyAlignment="1">
      <alignment horizontal="left" vertical="center" wrapText="1"/>
    </xf>
    <xf numFmtId="49" fontId="10" fillId="4" borderId="28" xfId="0" applyNumberFormat="1" applyFont="1" applyFill="1" applyBorder="1" applyAlignment="1">
      <alignment horizontal="left" vertical="center" wrapText="1"/>
    </xf>
    <xf numFmtId="49" fontId="9" fillId="4" borderId="2" xfId="10" applyNumberFormat="1" applyFont="1" applyFill="1" applyBorder="1" applyAlignment="1">
      <alignment horizontal="center" vertical="center"/>
    </xf>
    <xf numFmtId="0" fontId="10" fillId="4" borderId="1" xfId="3" applyFont="1" applyFill="1" applyBorder="1" applyAlignment="1">
      <alignment horizontal="center" vertical="center" wrapText="1"/>
    </xf>
    <xf numFmtId="1" fontId="10" fillId="4" borderId="1" xfId="3" applyNumberFormat="1" applyFont="1" applyFill="1" applyBorder="1" applyAlignment="1">
      <alignment horizontal="center" vertical="center" wrapText="1"/>
    </xf>
    <xf numFmtId="4" fontId="10" fillId="0" borderId="1" xfId="0" applyNumberFormat="1" applyFont="1" applyBorder="1" applyAlignment="1" applyProtection="1">
      <alignment horizontal="right" vertical="center"/>
      <protection locked="0"/>
    </xf>
    <xf numFmtId="4" fontId="10" fillId="4" borderId="11" xfId="10" applyNumberFormat="1" applyFont="1" applyFill="1" applyBorder="1" applyAlignment="1">
      <alignment horizontal="right" vertical="center" wrapText="1"/>
    </xf>
    <xf numFmtId="49" fontId="10" fillId="4" borderId="31" xfId="0" applyNumberFormat="1" applyFont="1" applyFill="1" applyBorder="1" applyAlignment="1">
      <alignment horizontal="left" vertical="center" wrapText="1"/>
    </xf>
    <xf numFmtId="49" fontId="10" fillId="4" borderId="0" xfId="0" applyNumberFormat="1" applyFont="1" applyFill="1" applyBorder="1" applyAlignment="1">
      <alignment horizontal="left" vertical="center" wrapText="1"/>
    </xf>
    <xf numFmtId="4" fontId="10" fillId="4" borderId="3" xfId="0" applyNumberFormat="1" applyFont="1" applyFill="1" applyBorder="1" applyAlignment="1" applyProtection="1">
      <alignment horizontal="right" vertical="center"/>
      <protection locked="0"/>
    </xf>
    <xf numFmtId="4" fontId="1" fillId="0" borderId="0" xfId="0" applyNumberFormat="1" applyFont="1" applyAlignment="1">
      <alignment horizontal="right" vertical="center" wrapText="1"/>
    </xf>
    <xf numFmtId="4" fontId="1" fillId="0" borderId="0" xfId="0" applyNumberFormat="1" applyFont="1" applyAlignment="1">
      <alignment horizontal="right" wrapText="1"/>
    </xf>
    <xf numFmtId="4" fontId="1" fillId="0" borderId="1" xfId="0" applyNumberFormat="1" applyFont="1" applyBorder="1" applyAlignment="1">
      <alignment horizontal="right" vertical="center" wrapText="1"/>
    </xf>
    <xf numFmtId="4" fontId="1" fillId="0" borderId="11" xfId="0" applyNumberFormat="1" applyFont="1" applyBorder="1" applyAlignment="1">
      <alignment horizontal="right" wrapText="1"/>
    </xf>
    <xf numFmtId="49" fontId="13" fillId="4" borderId="3" xfId="10" applyNumberFormat="1" applyFont="1" applyFill="1" applyBorder="1" applyAlignment="1">
      <alignment horizontal="center" vertical="center" wrapText="1"/>
    </xf>
    <xf numFmtId="1" fontId="13" fillId="4" borderId="3" xfId="10" applyNumberFormat="1" applyFont="1" applyFill="1" applyBorder="1" applyAlignment="1">
      <alignment horizontal="center" vertical="center" wrapText="1"/>
    </xf>
    <xf numFmtId="0" fontId="16" fillId="0" borderId="0" xfId="0" applyFont="1" applyAlignment="1">
      <alignment wrapText="1"/>
    </xf>
    <xf numFmtId="0" fontId="34" fillId="0" borderId="0" xfId="0" applyFont="1" applyAlignment="1">
      <alignment horizontal="center" vertical="center"/>
    </xf>
    <xf numFmtId="0" fontId="17" fillId="0" borderId="0" xfId="0" applyFont="1" applyAlignment="1">
      <alignment wrapText="1"/>
    </xf>
    <xf numFmtId="0" fontId="16" fillId="3" borderId="0" xfId="0" applyFont="1" applyFill="1" applyAlignment="1">
      <alignment horizontal="center"/>
    </xf>
    <xf numFmtId="0" fontId="16" fillId="0" borderId="0" xfId="0" applyFont="1" applyAlignment="1">
      <alignment horizontal="center"/>
    </xf>
    <xf numFmtId="0" fontId="16" fillId="0" borderId="0" xfId="0" applyFont="1" applyAlignment="1"/>
    <xf numFmtId="0" fontId="11" fillId="0" borderId="0" xfId="0" applyFont="1" applyAlignment="1">
      <alignment wrapText="1"/>
    </xf>
    <xf numFmtId="0" fontId="16" fillId="0" borderId="0" xfId="0" applyFont="1" applyAlignment="1">
      <alignment horizontal="center" wrapText="1"/>
    </xf>
    <xf numFmtId="4" fontId="13" fillId="4" borderId="3" xfId="10" applyNumberFormat="1" applyFont="1" applyFill="1" applyBorder="1" applyAlignment="1">
      <alignment horizontal="right" vertical="center" wrapText="1"/>
    </xf>
    <xf numFmtId="4" fontId="13" fillId="4" borderId="22" xfId="10" applyNumberFormat="1" applyFont="1" applyFill="1" applyBorder="1" applyAlignment="1">
      <alignment horizontal="right" vertical="center" wrapText="1"/>
    </xf>
    <xf numFmtId="0" fontId="26" fillId="0" borderId="0" xfId="0" applyFont="1" applyAlignment="1"/>
    <xf numFmtId="167" fontId="11" fillId="4" borderId="3" xfId="3" applyNumberFormat="1" applyFont="1" applyFill="1" applyBorder="1" applyAlignment="1">
      <alignment horizontal="center" vertical="center" wrapText="1"/>
    </xf>
    <xf numFmtId="0" fontId="17" fillId="0" borderId="0" xfId="0" applyFont="1" applyAlignment="1"/>
    <xf numFmtId="49" fontId="11" fillId="4" borderId="25" xfId="0" applyNumberFormat="1" applyFont="1" applyFill="1" applyBorder="1" applyAlignment="1">
      <alignment horizontal="left" vertical="center" wrapText="1"/>
    </xf>
    <xf numFmtId="1" fontId="1" fillId="0" borderId="0" xfId="0" applyNumberFormat="1" applyFont="1" applyAlignment="1">
      <alignment horizontal="center" wrapText="1"/>
    </xf>
    <xf numFmtId="1" fontId="1" fillId="0" borderId="1" xfId="0" applyNumberFormat="1" applyFont="1" applyBorder="1" applyAlignment="1">
      <alignment horizontal="center" wrapText="1"/>
    </xf>
    <xf numFmtId="167" fontId="5" fillId="4" borderId="3" xfId="10" applyNumberFormat="1" applyFont="1" applyFill="1" applyBorder="1" applyAlignment="1">
      <alignment horizontal="center" vertical="center" wrapText="1"/>
    </xf>
    <xf numFmtId="0" fontId="35" fillId="0" borderId="0" xfId="0" applyFont="1" applyAlignment="1">
      <alignment vertical="center"/>
    </xf>
    <xf numFmtId="0" fontId="14" fillId="0" borderId="0" xfId="0" applyFont="1" applyAlignment="1"/>
    <xf numFmtId="0" fontId="36" fillId="0" borderId="0" xfId="0" applyFont="1" applyAlignment="1"/>
    <xf numFmtId="0" fontId="26" fillId="0" borderId="0" xfId="0" applyFont="1" applyAlignment="1">
      <alignment wrapText="1"/>
    </xf>
    <xf numFmtId="0" fontId="34" fillId="0" borderId="0" xfId="0" applyFont="1" applyAlignment="1"/>
    <xf numFmtId="168" fontId="5" fillId="4" borderId="3" xfId="10" applyNumberFormat="1" applyFont="1" applyFill="1" applyBorder="1" applyAlignment="1">
      <alignment horizontal="center" vertical="center" wrapText="1"/>
    </xf>
    <xf numFmtId="0" fontId="13" fillId="0" borderId="0" xfId="0" applyFont="1" applyAlignment="1"/>
    <xf numFmtId="167" fontId="1" fillId="0" borderId="0" xfId="0" applyNumberFormat="1" applyFont="1" applyAlignment="1">
      <alignment horizontal="center" wrapText="1"/>
    </xf>
    <xf numFmtId="167" fontId="1" fillId="0" borderId="1" xfId="0" applyNumberFormat="1" applyFont="1" applyBorder="1" applyAlignment="1">
      <alignment horizontal="center" wrapText="1"/>
    </xf>
    <xf numFmtId="0" fontId="37" fillId="4" borderId="2" xfId="10" applyFont="1" applyFill="1" applyBorder="1" applyAlignment="1" applyProtection="1">
      <alignment horizontal="center" vertical="center" wrapText="1"/>
    </xf>
    <xf numFmtId="0" fontId="8" fillId="0" borderId="0" xfId="0" applyFont="1" applyAlignment="1"/>
    <xf numFmtId="49" fontId="5" fillId="4" borderId="24" xfId="10" applyNumberFormat="1" applyFont="1" applyFill="1" applyBorder="1" applyAlignment="1" applyProtection="1">
      <alignment horizontal="center" vertical="center" wrapText="1"/>
    </xf>
    <xf numFmtId="49" fontId="9" fillId="4" borderId="35" xfId="10" applyNumberFormat="1" applyFont="1" applyFill="1" applyBorder="1" applyAlignment="1">
      <alignment horizontal="center" vertical="center"/>
    </xf>
    <xf numFmtId="49" fontId="10" fillId="4" borderId="36" xfId="0" applyNumberFormat="1" applyFont="1" applyFill="1" applyBorder="1" applyAlignment="1">
      <alignment horizontal="left" vertical="center" wrapText="1"/>
    </xf>
    <xf numFmtId="49" fontId="10" fillId="4" borderId="37" xfId="0" applyNumberFormat="1" applyFont="1" applyFill="1" applyBorder="1" applyAlignment="1">
      <alignment horizontal="left" vertical="center"/>
    </xf>
    <xf numFmtId="49" fontId="9" fillId="4" borderId="38" xfId="10" applyNumberFormat="1" applyFont="1" applyFill="1" applyBorder="1" applyAlignment="1">
      <alignment horizontal="center" vertical="center"/>
    </xf>
    <xf numFmtId="49" fontId="5" fillId="4" borderId="37" xfId="0" applyNumberFormat="1" applyFont="1" applyFill="1" applyBorder="1" applyAlignment="1">
      <alignment horizontal="left" vertical="center" wrapText="1"/>
    </xf>
    <xf numFmtId="49" fontId="10" fillId="4" borderId="37" xfId="0" applyNumberFormat="1" applyFont="1" applyFill="1" applyBorder="1" applyAlignment="1">
      <alignment horizontal="left" vertical="center" wrapText="1"/>
    </xf>
    <xf numFmtId="0" fontId="5" fillId="4" borderId="21" xfId="0" applyFont="1" applyFill="1" applyBorder="1" applyAlignment="1" applyProtection="1">
      <alignment horizontal="center" vertical="center"/>
    </xf>
    <xf numFmtId="49" fontId="18" fillId="4" borderId="35" xfId="10" applyNumberFormat="1" applyFont="1" applyFill="1" applyBorder="1" applyAlignment="1">
      <alignment horizontal="center" vertical="center"/>
    </xf>
    <xf numFmtId="49" fontId="11" fillId="4" borderId="37" xfId="0" applyNumberFormat="1" applyFont="1" applyFill="1" applyBorder="1" applyAlignment="1">
      <alignment horizontal="left" vertical="center" wrapText="1"/>
    </xf>
    <xf numFmtId="0" fontId="5" fillId="4" borderId="21" xfId="10" applyFont="1" applyFill="1" applyBorder="1" applyAlignment="1" applyProtection="1">
      <alignment horizontal="center" vertical="center" wrapText="1"/>
    </xf>
    <xf numFmtId="0" fontId="12" fillId="0" borderId="0" xfId="2" applyFont="1" applyAlignment="1">
      <alignment wrapText="1"/>
    </xf>
    <xf numFmtId="49" fontId="1" fillId="0" borderId="0" xfId="0" applyNumberFormat="1" applyFont="1" applyAlignment="1">
      <alignment horizontal="center" wrapText="1"/>
    </xf>
    <xf numFmtId="0" fontId="7" fillId="0" borderId="0" xfId="0" applyFont="1" applyAlignment="1">
      <alignment horizontal="right" wrapText="1" indent="2"/>
    </xf>
    <xf numFmtId="49" fontId="9" fillId="4" borderId="32" xfId="10" applyNumberFormat="1" applyFont="1" applyFill="1" applyBorder="1" applyAlignment="1">
      <alignment horizontal="center" vertical="center"/>
    </xf>
    <xf numFmtId="49" fontId="9" fillId="4" borderId="33" xfId="10" applyNumberFormat="1" applyFont="1" applyFill="1" applyBorder="1" applyAlignment="1">
      <alignment horizontal="center" vertical="center"/>
    </xf>
    <xf numFmtId="4" fontId="10" fillId="4" borderId="30" xfId="10" applyNumberFormat="1" applyFont="1" applyFill="1" applyBorder="1" applyAlignment="1">
      <alignment horizontal="right" vertical="center" wrapText="1"/>
    </xf>
    <xf numFmtId="4" fontId="10" fillId="0" borderId="28" xfId="0" applyNumberFormat="1" applyFont="1" applyBorder="1" applyAlignment="1" applyProtection="1">
      <alignment horizontal="right" vertical="center"/>
      <protection locked="0"/>
    </xf>
    <xf numFmtId="1" fontId="10" fillId="4" borderId="6" xfId="3" applyNumberFormat="1" applyFont="1" applyFill="1" applyBorder="1" applyAlignment="1">
      <alignment horizontal="center" vertical="center" wrapText="1"/>
    </xf>
    <xf numFmtId="1" fontId="10" fillId="4" borderId="28" xfId="3" applyNumberFormat="1" applyFont="1" applyFill="1" applyBorder="1" applyAlignment="1">
      <alignment horizontal="center" vertical="center" wrapText="1"/>
    </xf>
    <xf numFmtId="0" fontId="10" fillId="4" borderId="6" xfId="3" applyFont="1" applyFill="1" applyBorder="1" applyAlignment="1">
      <alignment horizontal="center" vertical="center" wrapText="1"/>
    </xf>
    <xf numFmtId="0" fontId="10" fillId="4" borderId="28" xfId="3" applyFont="1" applyFill="1" applyBorder="1" applyAlignment="1">
      <alignment horizontal="center" vertical="center" wrapText="1"/>
    </xf>
    <xf numFmtId="0" fontId="32" fillId="0" borderId="0" xfId="0" applyFont="1" applyAlignment="1">
      <alignment horizontal="left" wrapText="1"/>
    </xf>
    <xf numFmtId="49" fontId="18" fillId="4" borderId="32" xfId="10" applyNumberFormat="1" applyFont="1" applyFill="1" applyBorder="1" applyAlignment="1">
      <alignment horizontal="center" vertical="center"/>
    </xf>
    <xf numFmtId="49" fontId="18" fillId="4" borderId="33" xfId="10" applyNumberFormat="1" applyFont="1" applyFill="1" applyBorder="1" applyAlignment="1">
      <alignment horizontal="center" vertical="center"/>
    </xf>
    <xf numFmtId="0" fontId="11" fillId="4" borderId="6" xfId="3" applyFont="1" applyFill="1" applyBorder="1" applyAlignment="1">
      <alignment horizontal="center" vertical="center" wrapText="1"/>
    </xf>
    <xf numFmtId="0" fontId="11" fillId="4" borderId="28" xfId="3" applyFont="1" applyFill="1" applyBorder="1" applyAlignment="1">
      <alignment horizontal="center" vertical="center" wrapText="1"/>
    </xf>
    <xf numFmtId="1" fontId="11" fillId="4" borderId="6" xfId="3" applyNumberFormat="1" applyFont="1" applyFill="1" applyBorder="1" applyAlignment="1">
      <alignment horizontal="center" vertical="center" wrapText="1"/>
    </xf>
    <xf numFmtId="1" fontId="11" fillId="4" borderId="28" xfId="3" applyNumberFormat="1" applyFont="1" applyFill="1" applyBorder="1" applyAlignment="1">
      <alignment horizontal="center" vertical="center" wrapText="1"/>
    </xf>
    <xf numFmtId="4" fontId="11" fillId="0" borderId="6" xfId="0" applyNumberFormat="1" applyFont="1" applyBorder="1" applyAlignment="1" applyProtection="1">
      <alignment horizontal="right" vertical="center"/>
      <protection locked="0"/>
    </xf>
    <xf numFmtId="4" fontId="11" fillId="0" borderId="28" xfId="0" applyNumberFormat="1" applyFont="1" applyBorder="1" applyAlignment="1" applyProtection="1">
      <alignment horizontal="right" vertical="center"/>
      <protection locked="0"/>
    </xf>
    <xf numFmtId="4" fontId="11" fillId="4" borderId="29" xfId="10" applyNumberFormat="1" applyFont="1" applyFill="1" applyBorder="1" applyAlignment="1">
      <alignment horizontal="right" vertical="center" wrapText="1"/>
    </xf>
    <xf numFmtId="4" fontId="11" fillId="4" borderId="30" xfId="10" applyNumberFormat="1" applyFont="1" applyFill="1" applyBorder="1" applyAlignment="1">
      <alignment horizontal="right" vertical="center" wrapText="1"/>
    </xf>
    <xf numFmtId="0" fontId="14" fillId="3" borderId="17" xfId="2"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19"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5" fillId="4" borderId="8" xfId="2" applyNumberFormat="1" applyFont="1" applyFill="1" applyBorder="1" applyAlignment="1">
      <alignment horizontal="left" vertical="center" wrapText="1"/>
    </xf>
    <xf numFmtId="49" fontId="15" fillId="4" borderId="8" xfId="2" applyNumberFormat="1" applyFont="1" applyFill="1" applyBorder="1" applyAlignment="1">
      <alignment horizontal="left" vertical="center" wrapText="1"/>
    </xf>
    <xf numFmtId="0" fontId="14" fillId="3" borderId="9" xfId="0" applyFont="1" applyFill="1" applyBorder="1" applyAlignment="1">
      <alignment horizontal="center" vertical="center" wrapText="1"/>
    </xf>
    <xf numFmtId="0" fontId="12" fillId="0" borderId="14" xfId="0" applyFont="1" applyBorder="1" applyAlignment="1">
      <alignment horizontal="center" vertical="center" wrapText="1"/>
    </xf>
    <xf numFmtId="0" fontId="12" fillId="0" borderId="13" xfId="0" applyFont="1" applyBorder="1" applyAlignment="1">
      <alignment horizontal="center" vertical="center" wrapText="1"/>
    </xf>
    <xf numFmtId="0" fontId="28" fillId="0" borderId="14" xfId="2" applyFont="1" applyBorder="1" applyAlignment="1">
      <alignment horizontal="center"/>
    </xf>
    <xf numFmtId="0" fontId="12" fillId="0" borderId="14" xfId="0" applyFont="1" applyBorder="1" applyAlignment="1">
      <alignment horizontal="center"/>
    </xf>
    <xf numFmtId="49" fontId="15" fillId="4" borderId="9" xfId="2" applyNumberFormat="1" applyFont="1" applyFill="1" applyBorder="1" applyAlignment="1">
      <alignment horizontal="left" vertical="center" wrapText="1"/>
    </xf>
    <xf numFmtId="0" fontId="15" fillId="4" borderId="14" xfId="2" applyNumberFormat="1" applyFont="1" applyFill="1" applyBorder="1" applyAlignment="1">
      <alignment horizontal="left" vertical="center" wrapText="1"/>
    </xf>
    <xf numFmtId="0" fontId="15" fillId="4" borderId="13" xfId="2" applyNumberFormat="1" applyFont="1" applyFill="1" applyBorder="1" applyAlignment="1">
      <alignment horizontal="left" vertical="center" wrapText="1"/>
    </xf>
    <xf numFmtId="49" fontId="15" fillId="4" borderId="14" xfId="2" applyNumberFormat="1" applyFont="1" applyFill="1" applyBorder="1" applyAlignment="1">
      <alignment horizontal="left" vertical="center" wrapText="1"/>
    </xf>
    <xf numFmtId="49" fontId="15" fillId="4" borderId="13" xfId="2" applyNumberFormat="1" applyFont="1" applyFill="1" applyBorder="1" applyAlignment="1">
      <alignment horizontal="left" vertical="center" wrapText="1"/>
    </xf>
    <xf numFmtId="49" fontId="14" fillId="3" borderId="9" xfId="2" applyNumberFormat="1" applyFont="1" applyFill="1" applyBorder="1" applyAlignment="1">
      <alignment horizontal="left" vertical="center" wrapText="1"/>
    </xf>
    <xf numFmtId="49" fontId="14" fillId="3" borderId="14" xfId="2" applyNumberFormat="1" applyFont="1" applyFill="1" applyBorder="1" applyAlignment="1">
      <alignment horizontal="left" vertical="center" wrapText="1"/>
    </xf>
    <xf numFmtId="49" fontId="14" fillId="3" borderId="13" xfId="2" applyNumberFormat="1" applyFont="1" applyFill="1" applyBorder="1" applyAlignment="1">
      <alignment horizontal="left" vertical="center" wrapText="1"/>
    </xf>
    <xf numFmtId="0" fontId="17" fillId="3" borderId="9" xfId="0" applyFont="1" applyFill="1" applyBorder="1" applyAlignment="1">
      <alignment horizontal="left" vertical="center" wrapText="1"/>
    </xf>
    <xf numFmtId="0" fontId="17" fillId="0" borderId="14" xfId="0" applyFont="1" applyBorder="1" applyAlignment="1">
      <alignment horizontal="left" vertical="center" wrapText="1"/>
    </xf>
    <xf numFmtId="49" fontId="14" fillId="3" borderId="8" xfId="2" applyNumberFormat="1" applyFont="1" applyFill="1" applyBorder="1" applyAlignment="1">
      <alignment horizontal="left" vertical="center" wrapText="1"/>
    </xf>
    <xf numFmtId="0" fontId="14" fillId="3" borderId="8" xfId="2" applyFont="1" applyFill="1" applyBorder="1" applyAlignment="1">
      <alignment horizontal="left" vertical="center" wrapText="1"/>
    </xf>
    <xf numFmtId="0" fontId="12" fillId="0" borderId="0" xfId="2" applyFont="1" applyAlignment="1">
      <alignment horizontal="left" vertical="center" wrapText="1"/>
    </xf>
    <xf numFmtId="0" fontId="12" fillId="0" borderId="0" xfId="0" applyFont="1" applyAlignment="1">
      <alignment vertical="center" wrapText="1"/>
    </xf>
    <xf numFmtId="0" fontId="12" fillId="0" borderId="0" xfId="2" applyFont="1" applyAlignment="1">
      <alignment wrapText="1"/>
    </xf>
    <xf numFmtId="0" fontId="12" fillId="0" borderId="0" xfId="0" applyFont="1" applyAlignment="1">
      <alignment wrapText="1"/>
    </xf>
    <xf numFmtId="0" fontId="12" fillId="0" borderId="0" xfId="2" quotePrefix="1" applyFont="1" applyAlignment="1">
      <alignment horizontal="left" vertical="center" wrapText="1"/>
    </xf>
    <xf numFmtId="0" fontId="12" fillId="0" borderId="0" xfId="0" applyFont="1" applyAlignment="1">
      <alignment horizontal="left" vertical="center" wrapText="1"/>
    </xf>
    <xf numFmtId="0" fontId="4" fillId="0" borderId="0" xfId="0" applyFont="1" applyBorder="1" applyAlignment="1">
      <alignment horizontal="center" wrapText="1"/>
    </xf>
    <xf numFmtId="49" fontId="12" fillId="0" borderId="0" xfId="0" applyNumberFormat="1" applyFont="1" applyFill="1" applyBorder="1" applyAlignment="1">
      <alignment horizontal="left" vertical="top" wrapText="1"/>
    </xf>
    <xf numFmtId="0" fontId="4" fillId="0" borderId="0" xfId="0" applyFont="1" applyAlignment="1">
      <alignment wrapText="1"/>
    </xf>
    <xf numFmtId="49" fontId="7" fillId="2" borderId="0" xfId="0" applyNumberFormat="1" applyFont="1" applyFill="1" applyAlignment="1">
      <alignment horizontal="right" vertical="top" wrapText="1" indent="2"/>
    </xf>
    <xf numFmtId="49" fontId="1" fillId="0" borderId="0" xfId="0" applyNumberFormat="1" applyFont="1" applyAlignment="1">
      <alignment horizontal="center" wrapText="1"/>
    </xf>
    <xf numFmtId="0" fontId="7" fillId="0" borderId="0" xfId="0" applyFont="1" applyAlignment="1">
      <alignment horizontal="right" wrapText="1" indent="2"/>
    </xf>
    <xf numFmtId="0" fontId="5" fillId="3" borderId="9" xfId="0" applyFont="1" applyFill="1" applyBorder="1" applyAlignment="1">
      <alignment horizontal="left" vertical="center"/>
    </xf>
    <xf numFmtId="0" fontId="5" fillId="3" borderId="14" xfId="0" applyFont="1" applyFill="1" applyBorder="1" applyAlignment="1">
      <alignment horizontal="left" vertical="center"/>
    </xf>
    <xf numFmtId="0" fontId="5" fillId="3" borderId="13" xfId="0" applyFont="1" applyFill="1" applyBorder="1" applyAlignment="1">
      <alignment horizontal="left" vertical="center"/>
    </xf>
    <xf numFmtId="0" fontId="5" fillId="3" borderId="9"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5" fillId="3" borderId="13" xfId="0" applyFont="1" applyFill="1" applyBorder="1" applyAlignment="1">
      <alignment horizontal="left" vertical="center" wrapText="1"/>
    </xf>
    <xf numFmtId="49" fontId="9" fillId="4" borderId="32" xfId="10" applyNumberFormat="1" applyFont="1" applyFill="1" applyBorder="1" applyAlignment="1">
      <alignment horizontal="center" vertical="center"/>
    </xf>
    <xf numFmtId="49" fontId="9" fillId="4" borderId="33" xfId="10" applyNumberFormat="1" applyFont="1" applyFill="1" applyBorder="1" applyAlignment="1">
      <alignment horizontal="center" vertical="center"/>
    </xf>
    <xf numFmtId="4" fontId="10" fillId="4" borderId="29" xfId="10" applyNumberFormat="1" applyFont="1" applyFill="1" applyBorder="1" applyAlignment="1">
      <alignment horizontal="right" vertical="center" wrapText="1"/>
    </xf>
    <xf numFmtId="4" fontId="10" fillId="4" borderId="30" xfId="10" applyNumberFormat="1" applyFont="1" applyFill="1" applyBorder="1" applyAlignment="1">
      <alignment horizontal="right" vertical="center" wrapText="1"/>
    </xf>
    <xf numFmtId="4" fontId="10" fillId="0" borderId="6" xfId="0" applyNumberFormat="1" applyFont="1" applyBorder="1" applyAlignment="1" applyProtection="1">
      <alignment horizontal="right" vertical="center"/>
      <protection locked="0"/>
    </xf>
    <xf numFmtId="4" fontId="10" fillId="0" borderId="28" xfId="0" applyNumberFormat="1" applyFont="1" applyBorder="1" applyAlignment="1" applyProtection="1">
      <alignment horizontal="right" vertical="center"/>
      <protection locked="0"/>
    </xf>
    <xf numFmtId="1" fontId="10" fillId="4" borderId="6" xfId="3" applyNumberFormat="1" applyFont="1" applyFill="1" applyBorder="1" applyAlignment="1">
      <alignment horizontal="center" vertical="center" wrapText="1"/>
    </xf>
    <xf numFmtId="1" fontId="10" fillId="4" borderId="28" xfId="3" applyNumberFormat="1" applyFont="1" applyFill="1" applyBorder="1" applyAlignment="1">
      <alignment horizontal="center" vertical="center" wrapText="1"/>
    </xf>
    <xf numFmtId="0" fontId="10" fillId="4" borderId="6" xfId="3" applyFont="1" applyFill="1" applyBorder="1" applyAlignment="1">
      <alignment horizontal="center" vertical="center" wrapText="1"/>
    </xf>
    <xf numFmtId="0" fontId="10" fillId="4" borderId="28" xfId="3" applyFont="1" applyFill="1" applyBorder="1" applyAlignment="1">
      <alignment horizontal="center" vertical="center" wrapText="1"/>
    </xf>
    <xf numFmtId="0" fontId="32" fillId="0" borderId="0" xfId="0" applyFont="1" applyAlignment="1">
      <alignment horizontal="left" wrapText="1"/>
    </xf>
    <xf numFmtId="4" fontId="10" fillId="4" borderId="29" xfId="10" applyNumberFormat="1" applyFont="1" applyFill="1" applyBorder="1" applyAlignment="1">
      <alignment horizontal="right" vertical="center"/>
    </xf>
    <xf numFmtId="4" fontId="10" fillId="4" borderId="30" xfId="10" applyNumberFormat="1" applyFont="1" applyFill="1" applyBorder="1" applyAlignment="1">
      <alignment horizontal="right" vertical="center"/>
    </xf>
    <xf numFmtId="49" fontId="18" fillId="4" borderId="32" xfId="10" applyNumberFormat="1" applyFont="1" applyFill="1" applyBorder="1" applyAlignment="1">
      <alignment horizontal="center" vertical="center"/>
    </xf>
    <xf numFmtId="49" fontId="18" fillId="4" borderId="33" xfId="10" applyNumberFormat="1" applyFont="1" applyFill="1" applyBorder="1" applyAlignment="1">
      <alignment horizontal="center" vertical="center"/>
    </xf>
    <xf numFmtId="0" fontId="11" fillId="4" borderId="6" xfId="3" applyFont="1" applyFill="1" applyBorder="1" applyAlignment="1">
      <alignment horizontal="center" vertical="center" wrapText="1"/>
    </xf>
    <xf numFmtId="0" fontId="11" fillId="4" borderId="28" xfId="3" applyFont="1" applyFill="1" applyBorder="1" applyAlignment="1">
      <alignment horizontal="center" vertical="center" wrapText="1"/>
    </xf>
    <xf numFmtId="1" fontId="11" fillId="4" borderId="6" xfId="3" applyNumberFormat="1" applyFont="1" applyFill="1" applyBorder="1" applyAlignment="1">
      <alignment horizontal="center" vertical="center" wrapText="1"/>
    </xf>
    <xf numFmtId="1" fontId="11" fillId="4" borderId="28" xfId="3" applyNumberFormat="1" applyFont="1" applyFill="1" applyBorder="1" applyAlignment="1">
      <alignment horizontal="center" vertical="center" wrapText="1"/>
    </xf>
    <xf numFmtId="4" fontId="11" fillId="0" borderId="6" xfId="0" applyNumberFormat="1" applyFont="1" applyBorder="1" applyAlignment="1" applyProtection="1">
      <alignment horizontal="right" vertical="center"/>
      <protection locked="0"/>
    </xf>
    <xf numFmtId="4" fontId="11" fillId="0" borderId="28" xfId="0" applyNumberFormat="1" applyFont="1" applyBorder="1" applyAlignment="1" applyProtection="1">
      <alignment horizontal="right" vertical="center"/>
      <protection locked="0"/>
    </xf>
    <xf numFmtId="4" fontId="11" fillId="4" borderId="29" xfId="10" applyNumberFormat="1" applyFont="1" applyFill="1" applyBorder="1" applyAlignment="1">
      <alignment horizontal="right" vertical="center" wrapText="1"/>
    </xf>
    <xf numFmtId="4" fontId="11" fillId="4" borderId="30" xfId="10" applyNumberFormat="1" applyFont="1" applyFill="1" applyBorder="1" applyAlignment="1">
      <alignment horizontal="right" vertical="center" wrapText="1"/>
    </xf>
    <xf numFmtId="0" fontId="34" fillId="0" borderId="0" xfId="0" applyFont="1" applyAlignment="1">
      <alignment horizontal="center" vertical="center" wrapText="1"/>
    </xf>
    <xf numFmtId="0" fontId="13" fillId="3" borderId="9" xfId="0" applyFont="1" applyFill="1" applyBorder="1" applyAlignment="1">
      <alignment horizontal="left" vertical="center" wrapText="1"/>
    </xf>
    <xf numFmtId="0" fontId="13" fillId="3" borderId="14"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9" xfId="0" applyFont="1" applyFill="1" applyBorder="1" applyAlignment="1">
      <alignment horizontal="left" vertical="center"/>
    </xf>
    <xf numFmtId="0" fontId="13" fillId="3" borderId="14" xfId="0" applyFont="1" applyFill="1" applyBorder="1" applyAlignment="1">
      <alignment horizontal="left" vertical="center"/>
    </xf>
    <xf numFmtId="0" fontId="13" fillId="3" borderId="13" xfId="0" applyFont="1" applyFill="1" applyBorder="1" applyAlignment="1">
      <alignment horizontal="left" vertical="center"/>
    </xf>
  </cellXfs>
  <cellStyles count="14">
    <cellStyle name="Comma 12" xfId="11"/>
    <cellStyle name="Comma0" xfId="4"/>
    <cellStyle name="Currency0" xfId="5"/>
    <cellStyle name="Date" xfId="6"/>
    <cellStyle name="Fixed" xfId="7"/>
    <cellStyle name="Navadno" xfId="0" builtinId="0"/>
    <cellStyle name="Navadno 2" xfId="2"/>
    <cellStyle name="Navadno 2 2" xfId="10"/>
    <cellStyle name="Navadno_List1" xfId="13"/>
    <cellStyle name="Normal 2" xfId="3"/>
    <cellStyle name="Normal 2 2" xfId="9"/>
    <cellStyle name="Normal 3" xfId="8"/>
    <cellStyle name="Normal 6" xfId="12"/>
    <cellStyle name="Standard_Tabelle1" xfId="1"/>
  </cellStyles>
  <dxfs count="0"/>
  <tableStyles count="0" defaultTableStyle="TableStyleMedium9"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daliform.com/en/iglu-vespaio-aerato/iglu-technical-data/" TargetMode="External"/><Relationship Id="rId1" Type="http://schemas.openxmlformats.org/officeDocument/2006/relationships/hyperlink" Target="https://www.daliform.com/en/iglu-vespaio-aerato/iglu-technical-data/" TargetMode="External"/><Relationship Id="rId4" Type="http://schemas.openxmlformats.org/officeDocument/2006/relationships/vmlDrawing" Target="../drawings/vmlDrawing14.vml"/></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28"/>
  <sheetViews>
    <sheetView tabSelected="1" view="pageBreakPreview" zoomScaleNormal="100" zoomScaleSheetLayoutView="100" zoomScalePageLayoutView="85" workbookViewId="0">
      <selection activeCell="B7" sqref="B7:G7"/>
    </sheetView>
  </sheetViews>
  <sheetFormatPr defaultColWidth="9.140625" defaultRowHeight="12.75" x14ac:dyDescent="0.2"/>
  <cols>
    <col min="1" max="1" width="7.5703125" style="71" customWidth="1"/>
    <col min="2" max="6" width="7" style="71" customWidth="1"/>
    <col min="7" max="7" width="69.7109375" style="71" customWidth="1"/>
    <col min="8" max="8" width="25.7109375" style="71" customWidth="1"/>
    <col min="9" max="9" width="18.7109375" style="71" customWidth="1"/>
    <col min="10" max="16384" width="9.140625" style="71"/>
  </cols>
  <sheetData>
    <row r="1" spans="1:10" ht="13.15" customHeight="1" x14ac:dyDescent="0.2">
      <c r="A1" s="296" t="s">
        <v>0</v>
      </c>
      <c r="B1" s="297"/>
      <c r="C1" s="297"/>
      <c r="D1" s="297"/>
      <c r="E1" s="297"/>
      <c r="F1" s="297"/>
      <c r="G1" s="297"/>
      <c r="H1" s="298"/>
      <c r="I1" s="70"/>
      <c r="J1" s="70"/>
    </row>
    <row r="2" spans="1:10" ht="13.15" customHeight="1" thickBot="1" x14ac:dyDescent="0.25">
      <c r="A2" s="299"/>
      <c r="B2" s="300"/>
      <c r="C2" s="300"/>
      <c r="D2" s="300"/>
      <c r="E2" s="300"/>
      <c r="F2" s="300"/>
      <c r="G2" s="300"/>
      <c r="H2" s="301"/>
      <c r="I2" s="70"/>
      <c r="J2" s="70"/>
    </row>
    <row r="3" spans="1:10" ht="19.899999999999999" customHeight="1" thickBot="1" x14ac:dyDescent="0.45">
      <c r="A3" s="307"/>
      <c r="B3" s="308"/>
      <c r="C3" s="308"/>
      <c r="D3" s="308"/>
      <c r="E3" s="308"/>
      <c r="F3" s="308"/>
      <c r="G3" s="308"/>
      <c r="H3" s="308"/>
      <c r="I3" s="274"/>
      <c r="J3" s="274"/>
    </row>
    <row r="4" spans="1:10" ht="34.5" customHeight="1" thickBot="1" x14ac:dyDescent="0.25">
      <c r="A4" s="72" t="s">
        <v>1</v>
      </c>
      <c r="B4" s="304" t="s">
        <v>2</v>
      </c>
      <c r="C4" s="305"/>
      <c r="D4" s="305"/>
      <c r="E4" s="305"/>
      <c r="F4" s="305"/>
      <c r="G4" s="306"/>
      <c r="H4" s="72" t="s">
        <v>3</v>
      </c>
      <c r="I4" s="274"/>
      <c r="J4" s="274"/>
    </row>
    <row r="5" spans="1:10" ht="27.95" customHeight="1" thickBot="1" x14ac:dyDescent="0.25">
      <c r="A5" s="32" t="str">
        <f>'1'!A3</f>
        <v>1.</v>
      </c>
      <c r="B5" s="302" t="str">
        <f>'1'!B3</f>
        <v>RUŠITVENA DELA</v>
      </c>
      <c r="C5" s="302"/>
      <c r="D5" s="302"/>
      <c r="E5" s="302"/>
      <c r="F5" s="302"/>
      <c r="G5" s="302"/>
      <c r="H5" s="20">
        <f>'1'!F124</f>
        <v>0</v>
      </c>
      <c r="I5" s="274"/>
      <c r="J5" s="274"/>
    </row>
    <row r="6" spans="1:10" ht="36" customHeight="1" thickBot="1" x14ac:dyDescent="0.25">
      <c r="A6" s="32" t="str">
        <f>'2.1'!A3</f>
        <v>2.1</v>
      </c>
      <c r="B6" s="303" t="str">
        <f>'2.1'!B3</f>
        <v>ZAKOLIČBA, GEODETSKI POSNETEK IN OSTALO</v>
      </c>
      <c r="C6" s="302"/>
      <c r="D6" s="302"/>
      <c r="E6" s="302"/>
      <c r="F6" s="302"/>
      <c r="G6" s="302"/>
      <c r="H6" s="20">
        <f>'2.1'!F14</f>
        <v>0</v>
      </c>
      <c r="I6" s="274"/>
      <c r="J6" s="274"/>
    </row>
    <row r="7" spans="1:10" ht="36" customHeight="1" thickBot="1" x14ac:dyDescent="0.25">
      <c r="A7" s="32" t="str">
        <f>'2.2'!A3</f>
        <v>2.2</v>
      </c>
      <c r="B7" s="309" t="str">
        <f>'2.2'!B3</f>
        <v>CESTE IN OSTALE POVRŠINE</v>
      </c>
      <c r="C7" s="310"/>
      <c r="D7" s="310"/>
      <c r="E7" s="310"/>
      <c r="F7" s="310"/>
      <c r="G7" s="311"/>
      <c r="H7" s="20">
        <f>'2.2'!F43</f>
        <v>0</v>
      </c>
      <c r="I7" s="274"/>
      <c r="J7" s="274"/>
    </row>
    <row r="8" spans="1:10" ht="36" customHeight="1" thickBot="1" x14ac:dyDescent="0.25">
      <c r="A8" s="32" t="str">
        <f>'2.3'!A3</f>
        <v>2.3</v>
      </c>
      <c r="B8" s="309" t="str">
        <f>'2.3'!B3</f>
        <v>METEORNA IN FEKALNA KANALIZACIJA</v>
      </c>
      <c r="C8" s="310"/>
      <c r="D8" s="310"/>
      <c r="E8" s="310"/>
      <c r="F8" s="310"/>
      <c r="G8" s="311"/>
      <c r="H8" s="20">
        <f>'2.3'!F54</f>
        <v>0</v>
      </c>
      <c r="I8" s="274"/>
      <c r="J8" s="274"/>
    </row>
    <row r="9" spans="1:10" ht="36" customHeight="1" thickBot="1" x14ac:dyDescent="0.25">
      <c r="A9" s="32" t="str">
        <f>'2.4'!A3</f>
        <v>2.4</v>
      </c>
      <c r="B9" s="303" t="str">
        <f>'2.4'!B3</f>
        <v>ZUNANJA RAZSVETLJAVA</v>
      </c>
      <c r="C9" s="302"/>
      <c r="D9" s="302"/>
      <c r="E9" s="302"/>
      <c r="F9" s="302"/>
      <c r="G9" s="302"/>
      <c r="H9" s="20">
        <f>'2.4'!F27</f>
        <v>0</v>
      </c>
      <c r="I9" s="274"/>
      <c r="J9" s="274"/>
    </row>
    <row r="10" spans="1:10" ht="36" customHeight="1" thickBot="1" x14ac:dyDescent="0.25">
      <c r="A10" s="32" t="str">
        <f>'2.5'!A3</f>
        <v>2.5</v>
      </c>
      <c r="B10" s="309" t="str">
        <f>'2.5'!B3</f>
        <v>OGRAJA</v>
      </c>
      <c r="C10" s="310"/>
      <c r="D10" s="310"/>
      <c r="E10" s="310"/>
      <c r="F10" s="310"/>
      <c r="G10" s="311"/>
      <c r="H10" s="20">
        <f>'2.5'!F25</f>
        <v>0</v>
      </c>
      <c r="I10" s="274"/>
      <c r="J10" s="274"/>
    </row>
    <row r="11" spans="1:10" ht="36" customHeight="1" thickBot="1" x14ac:dyDescent="0.25">
      <c r="A11" s="32" t="str">
        <f>'2.6'!A3</f>
        <v>2.6</v>
      </c>
      <c r="B11" s="309" t="str">
        <f>'2.6'!B3</f>
        <v>OPORNI ZID Z OGRAJO</v>
      </c>
      <c r="C11" s="310"/>
      <c r="D11" s="310"/>
      <c r="E11" s="310"/>
      <c r="F11" s="310"/>
      <c r="G11" s="311"/>
      <c r="H11" s="20">
        <f>'2.6'!F27</f>
        <v>0</v>
      </c>
      <c r="I11" s="274"/>
      <c r="J11" s="274"/>
    </row>
    <row r="12" spans="1:10" ht="36" customHeight="1" thickBot="1" x14ac:dyDescent="0.25">
      <c r="A12" s="32" t="str">
        <f>'2.7'!A3</f>
        <v>2.7</v>
      </c>
      <c r="B12" s="309" t="str">
        <f>'2.7'!B3</f>
        <v>OZEMLJITVE</v>
      </c>
      <c r="C12" s="310"/>
      <c r="D12" s="310"/>
      <c r="E12" s="310"/>
      <c r="F12" s="310"/>
      <c r="G12" s="311"/>
      <c r="H12" s="20">
        <f>'2.7'!F9</f>
        <v>0</v>
      </c>
      <c r="I12" s="274"/>
      <c r="J12" s="274"/>
    </row>
    <row r="13" spans="1:10" ht="36" customHeight="1" thickBot="1" x14ac:dyDescent="0.25">
      <c r="A13" s="32" t="str">
        <f>'2.8'!A3</f>
        <v>2.8</v>
      </c>
      <c r="B13" s="309" t="str">
        <f>'2.8'!B3</f>
        <v>TEMELJI IN DROGOVI ZA ZASTAVE</v>
      </c>
      <c r="C13" s="310"/>
      <c r="D13" s="310"/>
      <c r="E13" s="310"/>
      <c r="F13" s="310"/>
      <c r="G13" s="311"/>
      <c r="H13" s="20">
        <f>'2.8'!F24</f>
        <v>0</v>
      </c>
      <c r="I13" s="274"/>
      <c r="J13" s="274"/>
    </row>
    <row r="14" spans="1:10" ht="36" customHeight="1" thickBot="1" x14ac:dyDescent="0.25">
      <c r="A14" s="32" t="str">
        <f>'2.9'!A3</f>
        <v>2.9</v>
      </c>
      <c r="B14" s="309" t="str">
        <f>'2.9'!B3</f>
        <v>TEMELJ DVEH STEBRIČKOV ZA KONTROLO PRISTOPA</v>
      </c>
      <c r="C14" s="310"/>
      <c r="D14" s="310"/>
      <c r="E14" s="310"/>
      <c r="F14" s="310"/>
      <c r="G14" s="311"/>
      <c r="H14" s="20">
        <f>'2.9'!F24</f>
        <v>0</v>
      </c>
      <c r="I14" s="274"/>
      <c r="J14" s="274"/>
    </row>
    <row r="15" spans="1:10" ht="36" customHeight="1" thickBot="1" x14ac:dyDescent="0.25">
      <c r="A15" s="32" t="str">
        <f>'3.1'!A3</f>
        <v>3.1</v>
      </c>
      <c r="B15" s="309" t="str">
        <f>'3.1'!B3</f>
        <v>ZGRADBA - GRADBENA DELA</v>
      </c>
      <c r="C15" s="312"/>
      <c r="D15" s="312"/>
      <c r="E15" s="312"/>
      <c r="F15" s="312"/>
      <c r="G15" s="313"/>
      <c r="H15" s="20">
        <f>'3.1'!F149</f>
        <v>0</v>
      </c>
      <c r="I15" s="274"/>
      <c r="J15" s="274"/>
    </row>
    <row r="16" spans="1:10" ht="36" customHeight="1" thickBot="1" x14ac:dyDescent="0.25">
      <c r="A16" s="32" t="str">
        <f>'3.2'!A3</f>
        <v>3.2</v>
      </c>
      <c r="B16" s="309" t="str">
        <f>'3.2'!B3</f>
        <v>ZGRADBA - OBRTNIŠKA DELA</v>
      </c>
      <c r="C16" s="310"/>
      <c r="D16" s="310"/>
      <c r="E16" s="310"/>
      <c r="F16" s="310"/>
      <c r="G16" s="311"/>
      <c r="H16" s="20">
        <f>'3.2'!F219</f>
        <v>0</v>
      </c>
      <c r="I16" s="274"/>
      <c r="J16" s="274"/>
    </row>
    <row r="17" spans="1:8" ht="36" customHeight="1" thickBot="1" x14ac:dyDescent="0.25">
      <c r="A17" s="32" t="str">
        <f>'4'!A3</f>
        <v>4.</v>
      </c>
      <c r="B17" s="309" t="str">
        <f>'4'!B3</f>
        <v>ZUNANJE KABELSKE POVEZAVE</v>
      </c>
      <c r="C17" s="310"/>
      <c r="D17" s="310"/>
      <c r="E17" s="310"/>
      <c r="F17" s="310"/>
      <c r="G17" s="311"/>
      <c r="H17" s="20">
        <f>'4'!F231</f>
        <v>0</v>
      </c>
    </row>
    <row r="18" spans="1:8" ht="36" customHeight="1" thickBot="1" x14ac:dyDescent="0.25">
      <c r="A18" s="32" t="str">
        <f>'5'!A3</f>
        <v>5.</v>
      </c>
      <c r="B18" s="309" t="str">
        <f>'5'!B3</f>
        <v xml:space="preserve">TEMELJA TRANSFORMATORJEV </v>
      </c>
      <c r="C18" s="310"/>
      <c r="D18" s="310"/>
      <c r="E18" s="310"/>
      <c r="F18" s="310"/>
      <c r="G18" s="311"/>
      <c r="H18" s="20">
        <f>'5'!F53</f>
        <v>0</v>
      </c>
    </row>
    <row r="19" spans="1:8" ht="36" customHeight="1" thickBot="1" x14ac:dyDescent="0.25">
      <c r="A19" s="32" t="str">
        <f>'6'!A3</f>
        <v>6.</v>
      </c>
      <c r="B19" s="309" t="str">
        <f>'6'!B3</f>
        <v>NOTRANJA OPREMA</v>
      </c>
      <c r="C19" s="310"/>
      <c r="D19" s="310"/>
      <c r="E19" s="310"/>
      <c r="F19" s="310"/>
      <c r="G19" s="311"/>
      <c r="H19" s="20">
        <f>'6'!F53</f>
        <v>0</v>
      </c>
    </row>
    <row r="20" spans="1:8" ht="27.95" customHeight="1" thickBot="1" x14ac:dyDescent="0.25">
      <c r="A20" s="73"/>
      <c r="B20" s="314" t="s">
        <v>4</v>
      </c>
      <c r="C20" s="315"/>
      <c r="D20" s="315"/>
      <c r="E20" s="315"/>
      <c r="F20" s="315"/>
      <c r="G20" s="316"/>
      <c r="H20" s="19">
        <f>SUM(H5:H19)</f>
        <v>0</v>
      </c>
    </row>
    <row r="21" spans="1:8" ht="27.95" customHeight="1" thickBot="1" x14ac:dyDescent="0.25">
      <c r="A21" s="73"/>
      <c r="B21" s="319" t="s">
        <v>5</v>
      </c>
      <c r="C21" s="320"/>
      <c r="D21" s="320"/>
      <c r="E21" s="320"/>
      <c r="F21" s="320"/>
      <c r="G21" s="320"/>
      <c r="H21" s="19">
        <f>H20*0.22</f>
        <v>0</v>
      </c>
    </row>
    <row r="22" spans="1:8" ht="30" customHeight="1" thickBot="1" x14ac:dyDescent="0.25">
      <c r="A22" s="74"/>
      <c r="B22" s="317" t="s">
        <v>6</v>
      </c>
      <c r="C22" s="318"/>
      <c r="D22" s="318"/>
      <c r="E22" s="318"/>
      <c r="F22" s="318"/>
      <c r="G22" s="318"/>
      <c r="H22" s="75">
        <f>H20+H21</f>
        <v>0</v>
      </c>
    </row>
    <row r="23" spans="1:8" ht="30" customHeight="1" x14ac:dyDescent="0.2">
      <c r="A23" s="323"/>
      <c r="B23" s="324"/>
      <c r="C23" s="324"/>
      <c r="D23" s="324"/>
      <c r="E23" s="324"/>
      <c r="F23" s="324"/>
      <c r="G23" s="324"/>
      <c r="H23" s="324"/>
    </row>
    <row r="24" spans="1:8" ht="13.15" customHeight="1" x14ac:dyDescent="0.2">
      <c r="A24" s="321" t="s">
        <v>7</v>
      </c>
      <c r="B24" s="322"/>
      <c r="C24" s="322"/>
      <c r="D24" s="322"/>
      <c r="E24" s="322"/>
      <c r="F24" s="322"/>
      <c r="G24" s="322"/>
      <c r="H24" s="322"/>
    </row>
    <row r="25" spans="1:8" ht="12.75" customHeight="1" x14ac:dyDescent="0.2">
      <c r="A25" s="325" t="s">
        <v>8</v>
      </c>
      <c r="B25" s="326"/>
      <c r="C25" s="326"/>
      <c r="D25" s="326"/>
      <c r="E25" s="326"/>
      <c r="F25" s="326"/>
      <c r="G25" s="326"/>
      <c r="H25" s="326"/>
    </row>
    <row r="26" spans="1:8" ht="12.75" customHeight="1" x14ac:dyDescent="0.2">
      <c r="A26" s="325" t="s">
        <v>9</v>
      </c>
      <c r="B26" s="326"/>
      <c r="C26" s="326"/>
      <c r="D26" s="326"/>
      <c r="E26" s="326"/>
      <c r="F26" s="326"/>
      <c r="G26" s="326"/>
      <c r="H26" s="326"/>
    </row>
    <row r="27" spans="1:8" ht="12.75" customHeight="1" x14ac:dyDescent="0.2">
      <c r="A27" s="325" t="s">
        <v>10</v>
      </c>
      <c r="B27" s="326"/>
      <c r="C27" s="326"/>
      <c r="D27" s="326"/>
      <c r="E27" s="326"/>
      <c r="F27" s="326"/>
      <c r="G27" s="326"/>
      <c r="H27" s="326"/>
    </row>
    <row r="28" spans="1:8" ht="12.75" customHeight="1" x14ac:dyDescent="0.2">
      <c r="A28" s="325" t="s">
        <v>11</v>
      </c>
      <c r="B28" s="326"/>
      <c r="C28" s="326"/>
      <c r="D28" s="326"/>
      <c r="E28" s="326"/>
      <c r="F28" s="326"/>
      <c r="G28" s="326"/>
      <c r="H28" s="326"/>
    </row>
  </sheetData>
  <sheetProtection algorithmName="SHA-512" hashValue="3ueNB40Dts+M2hWQwFyZDdilit3eVJwf33JtDxXwVqHaUPjQcCCs/eIn0O+WKY9jaPYsj0Aup/iq/4HmtK16Gg==" saltValue="q1EMJLGOfb55DARjHr9Wlw==" spinCount="100000" sheet="1" objects="1" scenarios="1"/>
  <mergeCells count="27">
    <mergeCell ref="A24:H24"/>
    <mergeCell ref="A23:H23"/>
    <mergeCell ref="A25:H25"/>
    <mergeCell ref="A28:H28"/>
    <mergeCell ref="A26:H26"/>
    <mergeCell ref="A27:H27"/>
    <mergeCell ref="B14:G14"/>
    <mergeCell ref="B15:G15"/>
    <mergeCell ref="B20:G20"/>
    <mergeCell ref="B22:G22"/>
    <mergeCell ref="B21:G21"/>
    <mergeCell ref="B16:G16"/>
    <mergeCell ref="B17:G17"/>
    <mergeCell ref="B18:G18"/>
    <mergeCell ref="B19:G19"/>
    <mergeCell ref="B9:G9"/>
    <mergeCell ref="B7:G7"/>
    <mergeCell ref="B8:G8"/>
    <mergeCell ref="B13:G13"/>
    <mergeCell ref="B10:G10"/>
    <mergeCell ref="B11:G11"/>
    <mergeCell ref="B12:G12"/>
    <mergeCell ref="A1:H2"/>
    <mergeCell ref="B5:G5"/>
    <mergeCell ref="B6:G6"/>
    <mergeCell ref="B4:G4"/>
    <mergeCell ref="A3:H3"/>
  </mergeCells>
  <printOptions horizontalCentered="1"/>
  <pageMargins left="0.78740157480314965" right="0.39370078740157483" top="0.62968749999999996" bottom="0.98425196850393704" header="0.19685039370078741" footer="0.19685039370078741"/>
  <pageSetup paperSize="9" scale="93" orientation="landscape" r:id="rId1"/>
  <headerFooter>
    <oddHeader>&amp;LRTP 110/20 kV Izola
&amp;R&amp;G</oddHeader>
    <oddFooter>&amp;LDZR: Ponudbeni predračun
Datoteka: 4407.6G01.PP.rev1.xlsx&amp;R Stran: &amp;P od &amp;N</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G1833"/>
  <sheetViews>
    <sheetView view="pageBreakPreview" zoomScaleNormal="100" zoomScaleSheetLayoutView="100" workbookViewId="0">
      <selection activeCell="F7" sqref="F7:F8"/>
    </sheetView>
  </sheetViews>
  <sheetFormatPr defaultColWidth="6.7109375" defaultRowHeight="12.75" x14ac:dyDescent="0.2"/>
  <cols>
    <col min="1" max="1" width="7.85546875" style="190" customWidth="1"/>
    <col min="2" max="2" width="99.140625" style="179" customWidth="1"/>
    <col min="3" max="3" width="9" style="191" customWidth="1"/>
    <col min="4" max="4" width="11.42578125" style="192" customWidth="1"/>
    <col min="5" max="5" width="12.7109375" style="193" customWidth="1"/>
    <col min="6" max="6" width="13.5703125" style="194" customWidth="1"/>
    <col min="7" max="16384" width="6.7109375" style="78"/>
  </cols>
  <sheetData>
    <row r="1" spans="1:7" ht="15.95" customHeight="1" thickBot="1" x14ac:dyDescent="0.3">
      <c r="A1" s="7"/>
      <c r="B1" s="329"/>
      <c r="C1" s="329"/>
      <c r="D1" s="329"/>
      <c r="E1" s="329"/>
      <c r="F1" s="329"/>
    </row>
    <row r="2" spans="1:7" ht="32.450000000000003" customHeight="1" x14ac:dyDescent="0.2">
      <c r="A2" s="1" t="s">
        <v>1</v>
      </c>
      <c r="B2" s="2" t="s">
        <v>1741</v>
      </c>
      <c r="C2" s="3" t="s">
        <v>1742</v>
      </c>
      <c r="D2" s="4" t="s">
        <v>1743</v>
      </c>
      <c r="E2" s="5" t="s">
        <v>1744</v>
      </c>
      <c r="F2" s="6" t="s">
        <v>1745</v>
      </c>
    </row>
    <row r="3" spans="1:7" ht="15" x14ac:dyDescent="0.2">
      <c r="A3" s="36" t="s">
        <v>2193</v>
      </c>
      <c r="B3" s="204" t="s">
        <v>2194</v>
      </c>
      <c r="C3" s="23"/>
      <c r="D3" s="24"/>
      <c r="E3" s="25"/>
      <c r="F3" s="26"/>
    </row>
    <row r="4" spans="1:7" ht="42.75" x14ac:dyDescent="0.2">
      <c r="A4" s="36"/>
      <c r="B4" s="205" t="s">
        <v>1747</v>
      </c>
      <c r="C4" s="23"/>
      <c r="D4" s="24"/>
      <c r="E4" s="25"/>
      <c r="F4" s="26"/>
    </row>
    <row r="5" spans="1:7" ht="57" x14ac:dyDescent="0.2">
      <c r="A5" s="21"/>
      <c r="B5" s="17" t="str">
        <f>'2.2'!B5</f>
        <v xml:space="preserve">Vsi odpadki, ki bodo nastali pri izvedbi, bodo naloženi na prevozno sredstvo in odpeljani na stalno gradbeno deponijo nenevarnih odpadkov uradnega zbiralca odpadkov. Upoštevati vsa potrebna dela in stroške v zvezi z deponiranjem. Vsi odpadki, ki bodo ponovno uporabljeni pri izvedbi, bodo naloženi na prevozno sredstvo in pripeljani na gradbišče. </v>
      </c>
      <c r="C5" s="23"/>
      <c r="D5" s="24"/>
      <c r="E5" s="25"/>
      <c r="F5" s="26"/>
    </row>
    <row r="6" spans="1:7" ht="128.25" x14ac:dyDescent="0.2">
      <c r="A6" s="29"/>
      <c r="B6" s="17" t="s">
        <v>2195</v>
      </c>
      <c r="C6" s="15"/>
      <c r="D6" s="16"/>
      <c r="E6" s="25"/>
      <c r="F6" s="26"/>
    </row>
    <row r="7" spans="1:7" ht="33" customHeight="1" x14ac:dyDescent="0.2">
      <c r="A7" s="29" t="s">
        <v>2196</v>
      </c>
      <c r="B7" s="17" t="s">
        <v>2197</v>
      </c>
      <c r="C7" s="15" t="s">
        <v>1756</v>
      </c>
      <c r="D7" s="16">
        <v>150</v>
      </c>
      <c r="E7" s="31">
        <v>0</v>
      </c>
      <c r="F7" s="28">
        <f>ROUND(D7*E7,2)</f>
        <v>0</v>
      </c>
    </row>
    <row r="8" spans="1:7" ht="29.25" thickBot="1" x14ac:dyDescent="0.25">
      <c r="A8" s="29" t="s">
        <v>2198</v>
      </c>
      <c r="B8" s="17" t="s">
        <v>2199</v>
      </c>
      <c r="C8" s="15" t="s">
        <v>1756</v>
      </c>
      <c r="D8" s="16">
        <f>D7</f>
        <v>150</v>
      </c>
      <c r="E8" s="31">
        <v>0</v>
      </c>
      <c r="F8" s="28">
        <f>ROUND(D8*E8,2)</f>
        <v>0</v>
      </c>
    </row>
    <row r="9" spans="1:7" ht="18.75" customHeight="1" thickBot="1" x14ac:dyDescent="0.3">
      <c r="A9" s="264"/>
      <c r="B9" s="269"/>
      <c r="C9" s="333" t="s">
        <v>2200</v>
      </c>
      <c r="D9" s="334"/>
      <c r="E9" s="335"/>
      <c r="F9" s="18">
        <f>SUM(F7:F8)</f>
        <v>0</v>
      </c>
      <c r="G9" s="8"/>
    </row>
    <row r="10" spans="1:7" ht="18" x14ac:dyDescent="0.25">
      <c r="A10" s="182"/>
      <c r="B10" s="183"/>
      <c r="C10" s="184"/>
      <c r="D10" s="185"/>
      <c r="E10" s="186"/>
      <c r="F10" s="187"/>
      <c r="G10" s="8"/>
    </row>
    <row r="11" spans="1:7" ht="18" x14ac:dyDescent="0.25">
      <c r="A11" s="182"/>
      <c r="B11" s="183"/>
      <c r="C11" s="184"/>
      <c r="D11" s="185"/>
      <c r="E11" s="186"/>
      <c r="F11" s="187"/>
      <c r="G11" s="8"/>
    </row>
    <row r="12" spans="1:7" ht="18" x14ac:dyDescent="0.25">
      <c r="A12" s="182"/>
      <c r="B12" s="183"/>
      <c r="C12" s="184"/>
      <c r="D12" s="185"/>
      <c r="E12" s="186"/>
      <c r="F12" s="187"/>
      <c r="G12" s="8"/>
    </row>
    <row r="13" spans="1:7" x14ac:dyDescent="0.2">
      <c r="A13" s="275"/>
      <c r="B13" s="78"/>
      <c r="C13" s="189"/>
      <c r="D13" s="185"/>
      <c r="E13" s="186"/>
      <c r="F13" s="187"/>
    </row>
    <row r="14" spans="1:7" x14ac:dyDescent="0.2">
      <c r="A14" s="275"/>
      <c r="B14" s="78"/>
      <c r="C14" s="189"/>
      <c r="D14" s="185"/>
      <c r="E14" s="186"/>
      <c r="F14" s="187"/>
    </row>
    <row r="15" spans="1:7" x14ac:dyDescent="0.2">
      <c r="A15" s="275"/>
      <c r="B15" s="78"/>
      <c r="C15" s="189"/>
      <c r="D15" s="185"/>
      <c r="E15" s="186"/>
      <c r="F15" s="187"/>
    </row>
    <row r="16" spans="1:7" x14ac:dyDescent="0.2">
      <c r="A16" s="275"/>
      <c r="B16" s="78"/>
      <c r="C16" s="189"/>
      <c r="D16" s="185"/>
      <c r="E16" s="186"/>
      <c r="F16" s="187"/>
    </row>
    <row r="17" spans="1:6" x14ac:dyDescent="0.2">
      <c r="A17" s="275"/>
      <c r="B17" s="78"/>
      <c r="C17" s="189"/>
      <c r="D17" s="185"/>
      <c r="E17" s="186"/>
      <c r="F17" s="187"/>
    </row>
    <row r="18" spans="1:6" x14ac:dyDescent="0.2">
      <c r="A18" s="275"/>
      <c r="B18" s="78"/>
      <c r="C18" s="189"/>
      <c r="D18" s="185"/>
      <c r="E18" s="186"/>
      <c r="F18" s="187"/>
    </row>
    <row r="19" spans="1:6" x14ac:dyDescent="0.2">
      <c r="A19" s="275"/>
      <c r="B19" s="78"/>
      <c r="C19" s="189"/>
      <c r="D19" s="185"/>
      <c r="E19" s="186"/>
      <c r="F19" s="187"/>
    </row>
    <row r="20" spans="1:6" x14ac:dyDescent="0.2">
      <c r="A20" s="275"/>
      <c r="B20" s="78"/>
      <c r="C20" s="189"/>
      <c r="D20" s="185"/>
      <c r="E20" s="186"/>
      <c r="F20" s="187"/>
    </row>
    <row r="21" spans="1:6" x14ac:dyDescent="0.2">
      <c r="A21" s="275"/>
      <c r="B21" s="78"/>
      <c r="C21" s="189"/>
      <c r="D21" s="185"/>
      <c r="E21" s="186"/>
      <c r="F21" s="187"/>
    </row>
    <row r="22" spans="1:6" x14ac:dyDescent="0.2">
      <c r="A22" s="275"/>
      <c r="B22" s="78"/>
      <c r="C22" s="189"/>
      <c r="D22" s="185"/>
      <c r="E22" s="186"/>
      <c r="F22" s="187"/>
    </row>
    <row r="23" spans="1:6" x14ac:dyDescent="0.2">
      <c r="A23" s="275"/>
      <c r="B23" s="78"/>
      <c r="C23" s="189"/>
      <c r="D23" s="185"/>
      <c r="E23" s="186"/>
      <c r="F23" s="187"/>
    </row>
    <row r="24" spans="1:6" x14ac:dyDescent="0.2">
      <c r="A24" s="275"/>
      <c r="B24" s="78"/>
      <c r="C24" s="189"/>
      <c r="D24" s="185"/>
      <c r="E24" s="186"/>
      <c r="F24" s="187"/>
    </row>
    <row r="25" spans="1:6" x14ac:dyDescent="0.2">
      <c r="A25" s="275"/>
      <c r="B25" s="78"/>
      <c r="C25" s="189"/>
      <c r="D25" s="185"/>
      <c r="E25" s="186"/>
      <c r="F25" s="187"/>
    </row>
    <row r="26" spans="1:6" x14ac:dyDescent="0.2">
      <c r="A26" s="275"/>
      <c r="B26" s="78"/>
      <c r="C26" s="189"/>
      <c r="D26" s="185"/>
      <c r="E26" s="186"/>
      <c r="F26" s="187"/>
    </row>
    <row r="27" spans="1:6" x14ac:dyDescent="0.2">
      <c r="A27" s="275"/>
      <c r="B27" s="78"/>
      <c r="C27" s="189"/>
      <c r="D27" s="185"/>
      <c r="E27" s="186"/>
      <c r="F27" s="187"/>
    </row>
    <row r="28" spans="1:6" x14ac:dyDescent="0.2">
      <c r="A28" s="275"/>
      <c r="B28" s="78"/>
      <c r="C28" s="189"/>
      <c r="D28" s="185"/>
      <c r="E28" s="186"/>
      <c r="F28" s="187"/>
    </row>
    <row r="29" spans="1:6" x14ac:dyDescent="0.2">
      <c r="A29" s="275"/>
      <c r="B29" s="78"/>
      <c r="C29" s="189"/>
      <c r="D29" s="185"/>
      <c r="E29" s="186"/>
      <c r="F29" s="187"/>
    </row>
    <row r="30" spans="1:6" x14ac:dyDescent="0.2">
      <c r="A30" s="275"/>
      <c r="B30" s="78"/>
      <c r="C30" s="189"/>
      <c r="D30" s="185"/>
      <c r="E30" s="186"/>
      <c r="F30" s="187"/>
    </row>
    <row r="31" spans="1:6" x14ac:dyDescent="0.2">
      <c r="A31" s="275"/>
      <c r="B31" s="78"/>
      <c r="C31" s="189"/>
      <c r="D31" s="185"/>
      <c r="E31" s="186"/>
      <c r="F31" s="187"/>
    </row>
    <row r="32" spans="1:6" x14ac:dyDescent="0.2">
      <c r="A32" s="275"/>
      <c r="B32" s="78"/>
      <c r="C32" s="189"/>
      <c r="D32" s="185"/>
      <c r="E32" s="186"/>
      <c r="F32" s="187"/>
    </row>
    <row r="33" spans="1:6" x14ac:dyDescent="0.2">
      <c r="A33" s="275"/>
      <c r="B33" s="78"/>
      <c r="C33" s="189"/>
      <c r="D33" s="185"/>
      <c r="E33" s="186"/>
      <c r="F33" s="187"/>
    </row>
    <row r="34" spans="1:6" x14ac:dyDescent="0.2">
      <c r="A34" s="275"/>
      <c r="B34" s="78"/>
      <c r="C34" s="189"/>
      <c r="D34" s="185"/>
      <c r="E34" s="186"/>
      <c r="F34" s="187"/>
    </row>
    <row r="35" spans="1:6" x14ac:dyDescent="0.2">
      <c r="A35" s="275"/>
      <c r="B35" s="78"/>
      <c r="C35" s="189"/>
      <c r="D35" s="185"/>
      <c r="E35" s="186"/>
      <c r="F35" s="187"/>
    </row>
    <row r="36" spans="1:6" x14ac:dyDescent="0.2">
      <c r="A36" s="275"/>
      <c r="B36" s="78"/>
      <c r="C36" s="189"/>
      <c r="D36" s="185"/>
      <c r="E36" s="186"/>
      <c r="F36" s="187"/>
    </row>
    <row r="37" spans="1:6" x14ac:dyDescent="0.2">
      <c r="A37" s="275"/>
      <c r="B37" s="78"/>
      <c r="C37" s="189"/>
      <c r="D37" s="185"/>
      <c r="E37" s="186"/>
      <c r="F37" s="187"/>
    </row>
    <row r="38" spans="1:6" x14ac:dyDescent="0.2">
      <c r="A38" s="275"/>
      <c r="B38" s="78"/>
      <c r="C38" s="189"/>
      <c r="D38" s="185"/>
      <c r="E38" s="186"/>
      <c r="F38" s="187"/>
    </row>
    <row r="39" spans="1:6" x14ac:dyDescent="0.2">
      <c r="A39" s="275"/>
      <c r="B39" s="78"/>
      <c r="C39" s="189"/>
      <c r="D39" s="185"/>
      <c r="E39" s="186"/>
      <c r="F39" s="187"/>
    </row>
    <row r="40" spans="1:6" x14ac:dyDescent="0.2">
      <c r="A40" s="275"/>
      <c r="B40" s="78"/>
      <c r="C40" s="189"/>
      <c r="D40" s="185"/>
      <c r="E40" s="186"/>
      <c r="F40" s="187"/>
    </row>
    <row r="41" spans="1:6" x14ac:dyDescent="0.2">
      <c r="A41" s="275"/>
      <c r="B41" s="78"/>
      <c r="C41" s="189"/>
      <c r="D41" s="185"/>
      <c r="E41" s="186"/>
      <c r="F41" s="187"/>
    </row>
    <row r="42" spans="1:6" x14ac:dyDescent="0.2">
      <c r="A42" s="275"/>
      <c r="B42" s="78"/>
      <c r="C42" s="189"/>
      <c r="D42" s="185"/>
      <c r="E42" s="186"/>
      <c r="F42" s="187"/>
    </row>
    <row r="43" spans="1:6" x14ac:dyDescent="0.2">
      <c r="A43" s="275"/>
      <c r="B43" s="78"/>
      <c r="C43" s="189"/>
      <c r="D43" s="185"/>
      <c r="E43" s="186"/>
      <c r="F43" s="187"/>
    </row>
    <row r="44" spans="1:6" x14ac:dyDescent="0.2">
      <c r="A44" s="275"/>
      <c r="B44" s="78"/>
      <c r="C44" s="189"/>
      <c r="D44" s="185"/>
      <c r="E44" s="186"/>
      <c r="F44" s="187"/>
    </row>
    <row r="45" spans="1:6" x14ac:dyDescent="0.2">
      <c r="A45" s="275"/>
      <c r="B45" s="78"/>
      <c r="C45" s="189"/>
      <c r="D45" s="185"/>
      <c r="E45" s="186"/>
      <c r="F45" s="187"/>
    </row>
    <row r="46" spans="1:6" x14ac:dyDescent="0.2">
      <c r="A46" s="275"/>
      <c r="B46" s="78"/>
      <c r="C46" s="189"/>
      <c r="D46" s="185"/>
      <c r="E46" s="186"/>
      <c r="F46" s="187"/>
    </row>
    <row r="47" spans="1:6" x14ac:dyDescent="0.2">
      <c r="A47" s="275"/>
      <c r="B47" s="78"/>
      <c r="C47" s="189"/>
      <c r="D47" s="185"/>
      <c r="E47" s="186"/>
      <c r="F47" s="187"/>
    </row>
    <row r="48" spans="1:6" x14ac:dyDescent="0.2">
      <c r="A48" s="275"/>
      <c r="B48" s="78"/>
      <c r="C48" s="189"/>
      <c r="D48" s="185"/>
      <c r="E48" s="186"/>
      <c r="F48" s="187"/>
    </row>
    <row r="49" spans="1:6" x14ac:dyDescent="0.2">
      <c r="A49" s="275"/>
      <c r="B49" s="78"/>
      <c r="C49" s="189"/>
      <c r="D49" s="185"/>
      <c r="E49" s="186"/>
      <c r="F49" s="187"/>
    </row>
    <row r="50" spans="1:6" x14ac:dyDescent="0.2">
      <c r="A50" s="275"/>
      <c r="B50" s="78"/>
      <c r="C50" s="189"/>
      <c r="D50" s="185"/>
      <c r="E50" s="186"/>
      <c r="F50" s="187"/>
    </row>
    <row r="51" spans="1:6" x14ac:dyDescent="0.2">
      <c r="A51" s="275"/>
      <c r="B51" s="78"/>
      <c r="C51" s="189"/>
      <c r="D51" s="185"/>
      <c r="E51" s="186"/>
      <c r="F51" s="187"/>
    </row>
    <row r="52" spans="1:6" x14ac:dyDescent="0.2">
      <c r="A52" s="275"/>
      <c r="B52" s="78"/>
      <c r="C52" s="189"/>
      <c r="D52" s="185"/>
      <c r="E52" s="186"/>
      <c r="F52" s="187"/>
    </row>
    <row r="53" spans="1:6" x14ac:dyDescent="0.2">
      <c r="A53" s="275"/>
      <c r="B53" s="78"/>
      <c r="C53" s="189"/>
      <c r="D53" s="185"/>
      <c r="E53" s="186"/>
      <c r="F53" s="187"/>
    </row>
    <row r="54" spans="1:6" x14ac:dyDescent="0.2">
      <c r="A54" s="275"/>
      <c r="B54" s="78"/>
      <c r="C54" s="189"/>
      <c r="D54" s="185"/>
      <c r="E54" s="186"/>
      <c r="F54" s="187"/>
    </row>
    <row r="55" spans="1:6" x14ac:dyDescent="0.2">
      <c r="A55" s="275"/>
      <c r="B55" s="78"/>
      <c r="C55" s="189"/>
      <c r="D55" s="185"/>
      <c r="E55" s="186"/>
      <c r="F55" s="187"/>
    </row>
    <row r="56" spans="1:6" x14ac:dyDescent="0.2">
      <c r="A56" s="275"/>
      <c r="B56" s="78"/>
      <c r="C56" s="189"/>
      <c r="D56" s="185"/>
      <c r="E56" s="186"/>
      <c r="F56" s="187"/>
    </row>
    <row r="57" spans="1:6" x14ac:dyDescent="0.2">
      <c r="A57" s="275"/>
      <c r="B57" s="78"/>
      <c r="C57" s="189"/>
      <c r="D57" s="185"/>
      <c r="E57" s="186"/>
      <c r="F57" s="187"/>
    </row>
    <row r="58" spans="1:6" x14ac:dyDescent="0.2">
      <c r="A58" s="275"/>
      <c r="B58" s="78"/>
      <c r="C58" s="189"/>
      <c r="D58" s="185"/>
      <c r="E58" s="186"/>
      <c r="F58" s="187"/>
    </row>
    <row r="59" spans="1:6" x14ac:dyDescent="0.2">
      <c r="A59" s="275"/>
      <c r="B59" s="78"/>
      <c r="C59" s="189"/>
      <c r="D59" s="185"/>
      <c r="E59" s="186"/>
      <c r="F59" s="187"/>
    </row>
    <row r="60" spans="1:6" x14ac:dyDescent="0.2">
      <c r="A60" s="275"/>
      <c r="B60" s="78"/>
      <c r="C60" s="189"/>
      <c r="D60" s="185"/>
      <c r="E60" s="186"/>
      <c r="F60" s="187"/>
    </row>
    <row r="61" spans="1:6" x14ac:dyDescent="0.2">
      <c r="A61" s="275"/>
      <c r="B61" s="78"/>
      <c r="C61" s="189"/>
      <c r="D61" s="185"/>
      <c r="E61" s="186"/>
      <c r="F61" s="187"/>
    </row>
    <row r="62" spans="1:6" x14ac:dyDescent="0.2">
      <c r="A62" s="275"/>
      <c r="B62" s="78"/>
      <c r="C62" s="189"/>
      <c r="D62" s="185"/>
      <c r="E62" s="186"/>
      <c r="F62" s="187"/>
    </row>
    <row r="63" spans="1:6" x14ac:dyDescent="0.2">
      <c r="A63" s="275"/>
      <c r="B63" s="78"/>
      <c r="C63" s="189"/>
      <c r="D63" s="185"/>
      <c r="E63" s="186"/>
      <c r="F63" s="187"/>
    </row>
    <row r="64" spans="1:6" x14ac:dyDescent="0.2">
      <c r="A64" s="275"/>
      <c r="B64" s="78"/>
      <c r="C64" s="189"/>
      <c r="D64" s="185"/>
      <c r="E64" s="186"/>
      <c r="F64" s="187"/>
    </row>
    <row r="65" spans="1:6" x14ac:dyDescent="0.2">
      <c r="A65" s="275"/>
      <c r="B65" s="78"/>
      <c r="C65" s="189"/>
      <c r="D65" s="185"/>
      <c r="E65" s="186"/>
      <c r="F65" s="187"/>
    </row>
    <row r="66" spans="1:6" x14ac:dyDescent="0.2">
      <c r="A66" s="275"/>
      <c r="B66" s="78"/>
      <c r="C66" s="189"/>
      <c r="D66" s="185"/>
      <c r="E66" s="186"/>
      <c r="F66" s="187"/>
    </row>
    <row r="67" spans="1:6" x14ac:dyDescent="0.2">
      <c r="A67" s="275"/>
      <c r="B67" s="78"/>
      <c r="C67" s="189"/>
      <c r="D67" s="185"/>
      <c r="E67" s="186"/>
      <c r="F67" s="187"/>
    </row>
    <row r="68" spans="1:6" x14ac:dyDescent="0.2">
      <c r="A68" s="275"/>
      <c r="B68" s="78"/>
      <c r="C68" s="189"/>
      <c r="D68" s="185"/>
      <c r="E68" s="186"/>
      <c r="F68" s="187"/>
    </row>
    <row r="69" spans="1:6" x14ac:dyDescent="0.2">
      <c r="A69" s="275"/>
      <c r="B69" s="78"/>
      <c r="C69" s="189"/>
      <c r="D69" s="185"/>
      <c r="E69" s="186"/>
      <c r="F69" s="187"/>
    </row>
    <row r="70" spans="1:6" x14ac:dyDescent="0.2">
      <c r="A70" s="275"/>
      <c r="B70" s="78"/>
      <c r="C70" s="189"/>
      <c r="D70" s="185"/>
      <c r="E70" s="186"/>
      <c r="F70" s="187"/>
    </row>
    <row r="71" spans="1:6" x14ac:dyDescent="0.2">
      <c r="A71" s="275"/>
      <c r="B71" s="78"/>
      <c r="C71" s="189"/>
      <c r="D71" s="185"/>
      <c r="E71" s="186"/>
      <c r="F71" s="187"/>
    </row>
    <row r="72" spans="1:6" x14ac:dyDescent="0.2">
      <c r="A72" s="275"/>
      <c r="B72" s="78"/>
      <c r="C72" s="189"/>
      <c r="D72" s="185"/>
      <c r="E72" s="186"/>
      <c r="F72" s="187"/>
    </row>
    <row r="73" spans="1:6" x14ac:dyDescent="0.2">
      <c r="A73" s="275"/>
      <c r="B73" s="78"/>
      <c r="C73" s="189"/>
      <c r="D73" s="185"/>
      <c r="E73" s="186"/>
      <c r="F73" s="187"/>
    </row>
    <row r="74" spans="1:6" x14ac:dyDescent="0.2">
      <c r="A74" s="275"/>
      <c r="B74" s="78"/>
      <c r="C74" s="189"/>
      <c r="D74" s="185"/>
      <c r="E74" s="186"/>
      <c r="F74" s="187"/>
    </row>
    <row r="75" spans="1:6" x14ac:dyDescent="0.2">
      <c r="A75" s="275"/>
      <c r="B75" s="78"/>
      <c r="C75" s="189"/>
      <c r="D75" s="185"/>
      <c r="E75" s="186"/>
      <c r="F75" s="187"/>
    </row>
    <row r="76" spans="1:6" x14ac:dyDescent="0.2">
      <c r="A76" s="275"/>
      <c r="B76" s="78"/>
      <c r="C76" s="189"/>
      <c r="D76" s="185"/>
      <c r="E76" s="186"/>
      <c r="F76" s="187"/>
    </row>
    <row r="77" spans="1:6" x14ac:dyDescent="0.2">
      <c r="A77" s="275"/>
      <c r="B77" s="78"/>
      <c r="C77" s="189"/>
      <c r="D77" s="185"/>
      <c r="E77" s="186"/>
      <c r="F77" s="187"/>
    </row>
    <row r="78" spans="1:6" x14ac:dyDescent="0.2">
      <c r="A78" s="275"/>
      <c r="B78" s="78"/>
      <c r="C78" s="189"/>
      <c r="D78" s="185"/>
      <c r="E78" s="186"/>
      <c r="F78" s="187"/>
    </row>
    <row r="79" spans="1:6" x14ac:dyDescent="0.2">
      <c r="A79" s="275"/>
      <c r="B79" s="78"/>
      <c r="C79" s="189"/>
      <c r="D79" s="185"/>
      <c r="E79" s="186"/>
      <c r="F79" s="187"/>
    </row>
    <row r="80" spans="1:6" x14ac:dyDescent="0.2">
      <c r="A80" s="275"/>
      <c r="B80" s="78"/>
      <c r="C80" s="189"/>
      <c r="D80" s="185"/>
      <c r="E80" s="186"/>
      <c r="F80" s="187"/>
    </row>
    <row r="81" spans="1:6" x14ac:dyDescent="0.2">
      <c r="A81" s="275"/>
      <c r="B81" s="78"/>
      <c r="C81" s="189"/>
      <c r="D81" s="185"/>
      <c r="E81" s="186"/>
      <c r="F81" s="187"/>
    </row>
    <row r="82" spans="1:6" x14ac:dyDescent="0.2">
      <c r="A82" s="275"/>
      <c r="B82" s="78"/>
      <c r="C82" s="189"/>
      <c r="D82" s="185"/>
      <c r="E82" s="186"/>
      <c r="F82" s="187"/>
    </row>
    <row r="83" spans="1:6" x14ac:dyDescent="0.2">
      <c r="A83" s="275"/>
      <c r="B83" s="78"/>
      <c r="C83" s="189"/>
      <c r="D83" s="185"/>
      <c r="E83" s="186"/>
      <c r="F83" s="187"/>
    </row>
    <row r="84" spans="1:6" x14ac:dyDescent="0.2">
      <c r="A84" s="275"/>
      <c r="B84" s="78"/>
      <c r="C84" s="189"/>
      <c r="D84" s="185"/>
      <c r="E84" s="186"/>
      <c r="F84" s="187"/>
    </row>
    <row r="85" spans="1:6" x14ac:dyDescent="0.2">
      <c r="A85" s="275"/>
      <c r="B85" s="78"/>
      <c r="C85" s="189"/>
      <c r="D85" s="185"/>
      <c r="E85" s="186"/>
      <c r="F85" s="187"/>
    </row>
    <row r="86" spans="1:6" x14ac:dyDescent="0.2">
      <c r="A86" s="275"/>
      <c r="B86" s="78"/>
      <c r="C86" s="189"/>
      <c r="D86" s="185"/>
      <c r="E86" s="186"/>
      <c r="F86" s="187"/>
    </row>
    <row r="87" spans="1:6" x14ac:dyDescent="0.2">
      <c r="A87" s="275"/>
      <c r="B87" s="78"/>
      <c r="C87" s="189"/>
      <c r="D87" s="185"/>
      <c r="E87" s="186"/>
      <c r="F87" s="187"/>
    </row>
    <row r="88" spans="1:6" x14ac:dyDescent="0.2">
      <c r="A88" s="275"/>
      <c r="B88" s="78"/>
      <c r="C88" s="189"/>
      <c r="D88" s="185"/>
      <c r="E88" s="186"/>
      <c r="F88" s="187"/>
    </row>
    <row r="89" spans="1:6" x14ac:dyDescent="0.2">
      <c r="A89" s="275"/>
      <c r="B89" s="78"/>
      <c r="C89" s="189"/>
      <c r="D89" s="185"/>
      <c r="E89" s="186"/>
      <c r="F89" s="187"/>
    </row>
    <row r="90" spans="1:6" x14ac:dyDescent="0.2">
      <c r="A90" s="275"/>
      <c r="B90" s="78"/>
      <c r="C90" s="189"/>
      <c r="D90" s="185"/>
      <c r="E90" s="186"/>
      <c r="F90" s="187"/>
    </row>
    <row r="91" spans="1:6" x14ac:dyDescent="0.2">
      <c r="A91" s="275"/>
      <c r="B91" s="78"/>
      <c r="C91" s="189"/>
      <c r="D91" s="185"/>
      <c r="E91" s="186"/>
      <c r="F91" s="187"/>
    </row>
    <row r="92" spans="1:6" x14ac:dyDescent="0.2">
      <c r="A92" s="275"/>
      <c r="B92" s="78"/>
      <c r="C92" s="189"/>
      <c r="D92" s="185"/>
      <c r="E92" s="186"/>
      <c r="F92" s="187"/>
    </row>
    <row r="93" spans="1:6" x14ac:dyDescent="0.2">
      <c r="A93" s="275"/>
      <c r="B93" s="78"/>
      <c r="C93" s="189"/>
      <c r="D93" s="185"/>
      <c r="E93" s="186"/>
      <c r="F93" s="187"/>
    </row>
    <row r="94" spans="1:6" x14ac:dyDescent="0.2">
      <c r="A94" s="275"/>
      <c r="B94" s="78"/>
      <c r="C94" s="189"/>
      <c r="D94" s="185"/>
      <c r="E94" s="186"/>
      <c r="F94" s="187"/>
    </row>
    <row r="95" spans="1:6" x14ac:dyDescent="0.2">
      <c r="A95" s="275"/>
      <c r="B95" s="78"/>
      <c r="C95" s="189"/>
      <c r="D95" s="185"/>
      <c r="E95" s="186"/>
      <c r="F95" s="187"/>
    </row>
    <row r="96" spans="1:6" x14ac:dyDescent="0.2">
      <c r="A96" s="275"/>
      <c r="B96" s="78"/>
      <c r="C96" s="189"/>
      <c r="D96" s="185"/>
      <c r="E96" s="186"/>
      <c r="F96" s="187"/>
    </row>
    <row r="97" spans="1:6" x14ac:dyDescent="0.2">
      <c r="A97" s="275"/>
      <c r="B97" s="78"/>
      <c r="C97" s="189"/>
      <c r="D97" s="185"/>
      <c r="E97" s="186"/>
      <c r="F97" s="187"/>
    </row>
    <row r="98" spans="1:6" x14ac:dyDescent="0.2">
      <c r="A98" s="275"/>
      <c r="B98" s="78"/>
      <c r="C98" s="189"/>
      <c r="D98" s="185"/>
      <c r="E98" s="186"/>
      <c r="F98" s="187"/>
    </row>
    <row r="99" spans="1:6" x14ac:dyDescent="0.2">
      <c r="A99" s="275"/>
      <c r="B99" s="78"/>
      <c r="C99" s="189"/>
      <c r="D99" s="185"/>
      <c r="E99" s="186"/>
      <c r="F99" s="187"/>
    </row>
    <row r="100" spans="1:6" x14ac:dyDescent="0.2">
      <c r="A100" s="275"/>
      <c r="B100" s="78"/>
      <c r="C100" s="189"/>
      <c r="D100" s="185"/>
      <c r="E100" s="186"/>
      <c r="F100" s="187"/>
    </row>
    <row r="101" spans="1:6" x14ac:dyDescent="0.2">
      <c r="A101" s="275"/>
      <c r="B101" s="78"/>
      <c r="C101" s="189"/>
      <c r="D101" s="185"/>
      <c r="E101" s="186"/>
      <c r="F101" s="187"/>
    </row>
    <row r="102" spans="1:6" x14ac:dyDescent="0.2">
      <c r="A102" s="275"/>
      <c r="B102" s="78"/>
      <c r="C102" s="189"/>
      <c r="D102" s="185"/>
      <c r="E102" s="186"/>
      <c r="F102" s="187"/>
    </row>
    <row r="103" spans="1:6" x14ac:dyDescent="0.2">
      <c r="A103" s="275"/>
      <c r="B103" s="78"/>
      <c r="C103" s="189"/>
      <c r="D103" s="185"/>
      <c r="E103" s="186"/>
      <c r="F103" s="187"/>
    </row>
    <row r="104" spans="1:6" x14ac:dyDescent="0.2">
      <c r="A104" s="275"/>
      <c r="B104" s="78"/>
      <c r="C104" s="189"/>
      <c r="D104" s="185"/>
      <c r="E104" s="186"/>
      <c r="F104" s="187"/>
    </row>
    <row r="105" spans="1:6" x14ac:dyDescent="0.2">
      <c r="A105" s="275"/>
      <c r="B105" s="78"/>
      <c r="C105" s="189"/>
      <c r="D105" s="185"/>
      <c r="E105" s="186"/>
      <c r="F105" s="187"/>
    </row>
    <row r="106" spans="1:6" x14ac:dyDescent="0.2">
      <c r="A106" s="275"/>
      <c r="B106" s="78"/>
      <c r="C106" s="189"/>
      <c r="D106" s="185"/>
      <c r="E106" s="186"/>
      <c r="F106" s="187"/>
    </row>
    <row r="107" spans="1:6" x14ac:dyDescent="0.2">
      <c r="A107" s="275"/>
      <c r="B107" s="78"/>
      <c r="C107" s="189"/>
      <c r="D107" s="185"/>
      <c r="E107" s="186"/>
      <c r="F107" s="187"/>
    </row>
    <row r="108" spans="1:6" x14ac:dyDescent="0.2">
      <c r="A108" s="275"/>
      <c r="B108" s="78"/>
      <c r="C108" s="189"/>
      <c r="D108" s="185"/>
      <c r="E108" s="186"/>
      <c r="F108" s="187"/>
    </row>
    <row r="109" spans="1:6" x14ac:dyDescent="0.2">
      <c r="A109" s="275"/>
      <c r="B109" s="78"/>
      <c r="C109" s="189"/>
      <c r="D109" s="185"/>
      <c r="E109" s="186"/>
      <c r="F109" s="187"/>
    </row>
    <row r="110" spans="1:6" x14ac:dyDescent="0.2">
      <c r="A110" s="275"/>
      <c r="B110" s="78"/>
      <c r="C110" s="189"/>
      <c r="D110" s="185"/>
      <c r="E110" s="186"/>
      <c r="F110" s="187"/>
    </row>
    <row r="111" spans="1:6" x14ac:dyDescent="0.2">
      <c r="A111" s="275"/>
      <c r="B111" s="78"/>
      <c r="C111" s="189"/>
      <c r="D111" s="185"/>
      <c r="E111" s="186"/>
      <c r="F111" s="187"/>
    </row>
    <row r="112" spans="1:6" x14ac:dyDescent="0.2">
      <c r="A112" s="275"/>
      <c r="B112" s="78"/>
      <c r="C112" s="189"/>
      <c r="D112" s="185"/>
      <c r="E112" s="186"/>
      <c r="F112" s="187"/>
    </row>
    <row r="113" spans="1:6" x14ac:dyDescent="0.2">
      <c r="A113" s="275"/>
      <c r="B113" s="78"/>
      <c r="C113" s="189"/>
      <c r="D113" s="185"/>
      <c r="E113" s="186"/>
      <c r="F113" s="187"/>
    </row>
    <row r="114" spans="1:6" x14ac:dyDescent="0.2">
      <c r="A114" s="275"/>
      <c r="B114" s="78"/>
      <c r="C114" s="189"/>
      <c r="D114" s="185"/>
      <c r="E114" s="186"/>
      <c r="F114" s="187"/>
    </row>
    <row r="115" spans="1:6" x14ac:dyDescent="0.2">
      <c r="A115" s="275"/>
      <c r="B115" s="78"/>
      <c r="C115" s="189"/>
      <c r="D115" s="185"/>
      <c r="E115" s="186"/>
      <c r="F115" s="187"/>
    </row>
    <row r="116" spans="1:6" x14ac:dyDescent="0.2">
      <c r="A116" s="275"/>
      <c r="B116" s="78"/>
      <c r="C116" s="189"/>
      <c r="D116" s="185"/>
      <c r="E116" s="186"/>
      <c r="F116" s="187"/>
    </row>
    <row r="117" spans="1:6" x14ac:dyDescent="0.2">
      <c r="A117" s="275"/>
      <c r="B117" s="78"/>
      <c r="C117" s="189"/>
      <c r="D117" s="185"/>
      <c r="E117" s="186"/>
      <c r="F117" s="187"/>
    </row>
    <row r="118" spans="1:6" x14ac:dyDescent="0.2">
      <c r="A118" s="275"/>
      <c r="B118" s="78"/>
      <c r="C118" s="189"/>
      <c r="D118" s="185"/>
      <c r="E118" s="186"/>
      <c r="F118" s="187"/>
    </row>
    <row r="119" spans="1:6" x14ac:dyDescent="0.2">
      <c r="A119" s="275"/>
      <c r="B119" s="78"/>
      <c r="C119" s="189"/>
      <c r="D119" s="185"/>
      <c r="E119" s="186"/>
      <c r="F119" s="187"/>
    </row>
    <row r="120" spans="1:6" x14ac:dyDescent="0.2">
      <c r="A120" s="275"/>
      <c r="B120" s="78"/>
      <c r="C120" s="189"/>
      <c r="D120" s="185"/>
      <c r="E120" s="186"/>
      <c r="F120" s="187"/>
    </row>
    <row r="121" spans="1:6" x14ac:dyDescent="0.2">
      <c r="A121" s="275"/>
      <c r="B121" s="78"/>
      <c r="C121" s="189"/>
      <c r="D121" s="185"/>
      <c r="E121" s="186"/>
      <c r="F121" s="187"/>
    </row>
    <row r="122" spans="1:6" x14ac:dyDescent="0.2">
      <c r="A122" s="275"/>
      <c r="B122" s="78"/>
      <c r="C122" s="189"/>
      <c r="D122" s="185"/>
      <c r="E122" s="186"/>
      <c r="F122" s="187"/>
    </row>
    <row r="123" spans="1:6" x14ac:dyDescent="0.2">
      <c r="A123" s="275"/>
      <c r="B123" s="78"/>
      <c r="C123" s="189"/>
      <c r="D123" s="185"/>
      <c r="E123" s="186"/>
      <c r="F123" s="187"/>
    </row>
    <row r="124" spans="1:6" x14ac:dyDescent="0.2">
      <c r="A124" s="275"/>
      <c r="B124" s="78"/>
      <c r="C124" s="189"/>
      <c r="D124" s="185"/>
      <c r="E124" s="186"/>
      <c r="F124" s="187"/>
    </row>
    <row r="125" spans="1:6" x14ac:dyDescent="0.2">
      <c r="A125" s="275"/>
      <c r="B125" s="78"/>
      <c r="C125" s="189"/>
      <c r="D125" s="185"/>
      <c r="E125" s="186"/>
      <c r="F125" s="187"/>
    </row>
    <row r="126" spans="1:6" x14ac:dyDescent="0.2">
      <c r="A126" s="275"/>
      <c r="B126" s="78"/>
      <c r="C126" s="189"/>
      <c r="D126" s="185"/>
      <c r="E126" s="186"/>
      <c r="F126" s="187"/>
    </row>
    <row r="127" spans="1:6" x14ac:dyDescent="0.2">
      <c r="A127" s="275"/>
      <c r="B127" s="78"/>
      <c r="C127" s="189"/>
      <c r="D127" s="185"/>
      <c r="E127" s="186"/>
      <c r="F127" s="187"/>
    </row>
    <row r="128" spans="1:6" x14ac:dyDescent="0.2">
      <c r="A128" s="275"/>
      <c r="B128" s="78"/>
      <c r="C128" s="189"/>
      <c r="D128" s="185"/>
      <c r="E128" s="186"/>
      <c r="F128" s="187"/>
    </row>
    <row r="129" spans="1:6" x14ac:dyDescent="0.2">
      <c r="A129" s="275"/>
      <c r="B129" s="78"/>
      <c r="C129" s="189"/>
      <c r="D129" s="185"/>
      <c r="E129" s="186"/>
      <c r="F129" s="187"/>
    </row>
    <row r="130" spans="1:6" x14ac:dyDescent="0.2">
      <c r="A130" s="275"/>
      <c r="B130" s="78"/>
      <c r="C130" s="189"/>
      <c r="D130" s="185"/>
      <c r="E130" s="186"/>
      <c r="F130" s="187"/>
    </row>
    <row r="131" spans="1:6" x14ac:dyDescent="0.2">
      <c r="A131" s="275"/>
      <c r="B131" s="78"/>
      <c r="C131" s="189"/>
      <c r="D131" s="185"/>
      <c r="E131" s="186"/>
      <c r="F131" s="187"/>
    </row>
    <row r="132" spans="1:6" x14ac:dyDescent="0.2">
      <c r="A132" s="275"/>
      <c r="B132" s="78"/>
      <c r="C132" s="189"/>
      <c r="D132" s="185"/>
      <c r="E132" s="186"/>
      <c r="F132" s="187"/>
    </row>
    <row r="133" spans="1:6" x14ac:dyDescent="0.2">
      <c r="A133" s="275"/>
      <c r="B133" s="78"/>
      <c r="C133" s="189"/>
      <c r="D133" s="185"/>
      <c r="E133" s="186"/>
      <c r="F133" s="187"/>
    </row>
    <row r="134" spans="1:6" x14ac:dyDescent="0.2">
      <c r="A134" s="275"/>
      <c r="B134" s="78"/>
      <c r="C134" s="189"/>
      <c r="D134" s="185"/>
      <c r="E134" s="186"/>
      <c r="F134" s="187"/>
    </row>
    <row r="135" spans="1:6" x14ac:dyDescent="0.2">
      <c r="A135" s="275"/>
      <c r="B135" s="78"/>
      <c r="C135" s="189"/>
      <c r="D135" s="185"/>
      <c r="E135" s="186"/>
      <c r="F135" s="187"/>
    </row>
    <row r="136" spans="1:6" x14ac:dyDescent="0.2">
      <c r="A136" s="275"/>
      <c r="B136" s="78"/>
      <c r="C136" s="189"/>
      <c r="D136" s="185"/>
      <c r="E136" s="186"/>
      <c r="F136" s="187"/>
    </row>
    <row r="137" spans="1:6" x14ac:dyDescent="0.2">
      <c r="A137" s="275"/>
      <c r="B137" s="78"/>
      <c r="C137" s="189"/>
      <c r="D137" s="185"/>
      <c r="E137" s="186"/>
      <c r="F137" s="187"/>
    </row>
    <row r="138" spans="1:6" x14ac:dyDescent="0.2">
      <c r="A138" s="275"/>
      <c r="B138" s="78"/>
      <c r="C138" s="189"/>
      <c r="D138" s="185"/>
      <c r="E138" s="186"/>
      <c r="F138" s="187"/>
    </row>
    <row r="139" spans="1:6" x14ac:dyDescent="0.2">
      <c r="A139" s="275"/>
      <c r="B139" s="78"/>
      <c r="C139" s="189"/>
      <c r="D139" s="185"/>
      <c r="E139" s="186"/>
      <c r="F139" s="187"/>
    </row>
    <row r="140" spans="1:6" x14ac:dyDescent="0.2">
      <c r="A140" s="275"/>
      <c r="B140" s="78"/>
      <c r="C140" s="189"/>
      <c r="D140" s="185"/>
      <c r="E140" s="186"/>
      <c r="F140" s="187"/>
    </row>
    <row r="141" spans="1:6" x14ac:dyDescent="0.2">
      <c r="A141" s="275"/>
      <c r="B141" s="78"/>
      <c r="C141" s="189"/>
      <c r="D141" s="185"/>
      <c r="E141" s="186"/>
      <c r="F141" s="187"/>
    </row>
    <row r="142" spans="1:6" x14ac:dyDescent="0.2">
      <c r="A142" s="275"/>
      <c r="B142" s="78"/>
      <c r="C142" s="189"/>
      <c r="D142" s="185"/>
      <c r="E142" s="186"/>
      <c r="F142" s="187"/>
    </row>
    <row r="143" spans="1:6" x14ac:dyDescent="0.2">
      <c r="A143" s="275"/>
      <c r="B143" s="78"/>
      <c r="C143" s="189"/>
      <c r="D143" s="185"/>
      <c r="E143" s="186"/>
      <c r="F143" s="187"/>
    </row>
    <row r="144" spans="1:6" x14ac:dyDescent="0.2">
      <c r="A144" s="275"/>
      <c r="B144" s="78"/>
      <c r="C144" s="189"/>
      <c r="D144" s="185"/>
      <c r="E144" s="186"/>
      <c r="F144" s="187"/>
    </row>
    <row r="145" spans="1:6" x14ac:dyDescent="0.2">
      <c r="A145" s="275"/>
      <c r="B145" s="78"/>
      <c r="C145" s="189"/>
      <c r="D145" s="185"/>
      <c r="E145" s="186"/>
      <c r="F145" s="187"/>
    </row>
    <row r="146" spans="1:6" x14ac:dyDescent="0.2">
      <c r="A146" s="275"/>
      <c r="B146" s="78"/>
      <c r="C146" s="189"/>
      <c r="D146" s="185"/>
      <c r="E146" s="186"/>
      <c r="F146" s="187"/>
    </row>
    <row r="147" spans="1:6" x14ac:dyDescent="0.2">
      <c r="A147" s="275"/>
      <c r="B147" s="78"/>
      <c r="C147" s="189"/>
      <c r="D147" s="185"/>
      <c r="E147" s="186"/>
      <c r="F147" s="187"/>
    </row>
    <row r="148" spans="1:6" x14ac:dyDescent="0.2">
      <c r="A148" s="275"/>
      <c r="B148" s="78"/>
      <c r="C148" s="189"/>
      <c r="D148" s="185"/>
      <c r="E148" s="186"/>
      <c r="F148" s="187"/>
    </row>
    <row r="149" spans="1:6" x14ac:dyDescent="0.2">
      <c r="A149" s="275"/>
      <c r="B149" s="78"/>
      <c r="C149" s="189"/>
      <c r="D149" s="185"/>
      <c r="E149" s="186"/>
      <c r="F149" s="187"/>
    </row>
    <row r="150" spans="1:6" x14ac:dyDescent="0.2">
      <c r="A150" s="275"/>
      <c r="B150" s="78"/>
      <c r="C150" s="189"/>
      <c r="D150" s="185"/>
      <c r="E150" s="186"/>
      <c r="F150" s="187"/>
    </row>
    <row r="151" spans="1:6" x14ac:dyDescent="0.2">
      <c r="A151" s="275"/>
      <c r="B151" s="78"/>
      <c r="C151" s="189"/>
      <c r="D151" s="185"/>
      <c r="E151" s="186"/>
      <c r="F151" s="187"/>
    </row>
    <row r="152" spans="1:6" x14ac:dyDescent="0.2">
      <c r="A152" s="275"/>
      <c r="B152" s="78"/>
      <c r="C152" s="189"/>
      <c r="D152" s="185"/>
      <c r="E152" s="186"/>
      <c r="F152" s="187"/>
    </row>
    <row r="153" spans="1:6" x14ac:dyDescent="0.2">
      <c r="A153" s="275"/>
      <c r="B153" s="78"/>
      <c r="C153" s="189"/>
      <c r="D153" s="185"/>
      <c r="E153" s="186"/>
      <c r="F153" s="187"/>
    </row>
    <row r="154" spans="1:6" x14ac:dyDescent="0.2">
      <c r="A154" s="275"/>
      <c r="B154" s="78"/>
      <c r="C154" s="189"/>
      <c r="D154" s="185"/>
      <c r="E154" s="186"/>
      <c r="F154" s="187"/>
    </row>
    <row r="155" spans="1:6" x14ac:dyDescent="0.2">
      <c r="A155" s="275"/>
      <c r="B155" s="78"/>
      <c r="C155" s="189"/>
      <c r="D155" s="185"/>
      <c r="E155" s="186"/>
      <c r="F155" s="187"/>
    </row>
    <row r="156" spans="1:6" x14ac:dyDescent="0.2">
      <c r="A156" s="275"/>
      <c r="B156" s="78"/>
      <c r="C156" s="189"/>
      <c r="D156" s="185"/>
      <c r="E156" s="186"/>
      <c r="F156" s="187"/>
    </row>
    <row r="157" spans="1:6" x14ac:dyDescent="0.2">
      <c r="A157" s="275"/>
      <c r="B157" s="78"/>
      <c r="C157" s="189"/>
      <c r="D157" s="185"/>
      <c r="E157" s="186"/>
      <c r="F157" s="187"/>
    </row>
    <row r="158" spans="1:6" x14ac:dyDescent="0.2">
      <c r="A158" s="275"/>
      <c r="B158" s="78"/>
      <c r="C158" s="189"/>
      <c r="D158" s="185"/>
      <c r="E158" s="186"/>
      <c r="F158" s="187"/>
    </row>
    <row r="159" spans="1:6" x14ac:dyDescent="0.2">
      <c r="A159" s="275"/>
      <c r="B159" s="78"/>
      <c r="C159" s="189"/>
      <c r="D159" s="185"/>
      <c r="E159" s="186"/>
      <c r="F159" s="187"/>
    </row>
    <row r="160" spans="1:6" x14ac:dyDescent="0.2">
      <c r="A160" s="275"/>
      <c r="B160" s="78"/>
      <c r="C160" s="189"/>
      <c r="D160" s="185"/>
      <c r="E160" s="186"/>
      <c r="F160" s="187"/>
    </row>
    <row r="161" spans="1:6" x14ac:dyDescent="0.2">
      <c r="A161" s="275"/>
      <c r="B161" s="78"/>
      <c r="C161" s="189"/>
      <c r="D161" s="185"/>
      <c r="E161" s="186"/>
      <c r="F161" s="187"/>
    </row>
    <row r="162" spans="1:6" x14ac:dyDescent="0.2">
      <c r="A162" s="275"/>
      <c r="B162" s="78"/>
      <c r="C162" s="189"/>
      <c r="D162" s="185"/>
      <c r="E162" s="186"/>
      <c r="F162" s="187"/>
    </row>
    <row r="163" spans="1:6" x14ac:dyDescent="0.2">
      <c r="A163" s="275"/>
      <c r="B163" s="78"/>
      <c r="C163" s="189"/>
      <c r="D163" s="185"/>
      <c r="E163" s="186"/>
      <c r="F163" s="187"/>
    </row>
    <row r="164" spans="1:6" x14ac:dyDescent="0.2">
      <c r="A164" s="275"/>
      <c r="B164" s="78"/>
      <c r="C164" s="189"/>
      <c r="D164" s="185"/>
      <c r="E164" s="186"/>
      <c r="F164" s="187"/>
    </row>
    <row r="165" spans="1:6" x14ac:dyDescent="0.2">
      <c r="A165" s="275"/>
      <c r="B165" s="78"/>
      <c r="C165" s="189"/>
      <c r="D165" s="185"/>
      <c r="E165" s="186"/>
      <c r="F165" s="187"/>
    </row>
    <row r="166" spans="1:6" x14ac:dyDescent="0.2">
      <c r="A166" s="275"/>
      <c r="B166" s="78"/>
      <c r="C166" s="189"/>
      <c r="D166" s="185"/>
      <c r="E166" s="186"/>
      <c r="F166" s="187"/>
    </row>
    <row r="167" spans="1:6" x14ac:dyDescent="0.2">
      <c r="A167" s="275"/>
      <c r="B167" s="78"/>
      <c r="C167" s="189"/>
      <c r="D167" s="185"/>
      <c r="E167" s="186"/>
      <c r="F167" s="187"/>
    </row>
    <row r="168" spans="1:6" x14ac:dyDescent="0.2">
      <c r="A168" s="275"/>
      <c r="B168" s="78"/>
      <c r="C168" s="189"/>
      <c r="D168" s="185"/>
      <c r="E168" s="186"/>
      <c r="F168" s="187"/>
    </row>
    <row r="169" spans="1:6" x14ac:dyDescent="0.2">
      <c r="A169" s="275"/>
      <c r="B169" s="78"/>
      <c r="C169" s="189"/>
      <c r="D169" s="185"/>
      <c r="E169" s="186"/>
      <c r="F169" s="187"/>
    </row>
    <row r="170" spans="1:6" x14ac:dyDescent="0.2">
      <c r="A170" s="275"/>
      <c r="B170" s="78"/>
      <c r="C170" s="189"/>
      <c r="D170" s="185"/>
      <c r="E170" s="186"/>
      <c r="F170" s="187"/>
    </row>
    <row r="171" spans="1:6" x14ac:dyDescent="0.2">
      <c r="A171" s="275"/>
      <c r="B171" s="78"/>
      <c r="C171" s="189"/>
      <c r="D171" s="185"/>
      <c r="E171" s="186"/>
      <c r="F171" s="187"/>
    </row>
    <row r="172" spans="1:6" x14ac:dyDescent="0.2">
      <c r="A172" s="275"/>
      <c r="B172" s="78"/>
      <c r="C172" s="189"/>
      <c r="D172" s="185"/>
      <c r="E172" s="186"/>
      <c r="F172" s="187"/>
    </row>
    <row r="173" spans="1:6" x14ac:dyDescent="0.2">
      <c r="A173" s="275"/>
      <c r="B173" s="78"/>
      <c r="C173" s="189"/>
      <c r="D173" s="185"/>
      <c r="E173" s="186"/>
      <c r="F173" s="187"/>
    </row>
    <row r="174" spans="1:6" x14ac:dyDescent="0.2">
      <c r="A174" s="275"/>
      <c r="B174" s="78"/>
      <c r="C174" s="189"/>
      <c r="D174" s="185"/>
      <c r="E174" s="186"/>
      <c r="F174" s="187"/>
    </row>
    <row r="175" spans="1:6" x14ac:dyDescent="0.2">
      <c r="A175" s="275"/>
      <c r="B175" s="78"/>
      <c r="C175" s="189"/>
      <c r="D175" s="185"/>
      <c r="E175" s="186"/>
      <c r="F175" s="187"/>
    </row>
    <row r="176" spans="1:6" x14ac:dyDescent="0.2">
      <c r="A176" s="275"/>
      <c r="B176" s="78"/>
      <c r="C176" s="189"/>
      <c r="D176" s="185"/>
      <c r="E176" s="186"/>
      <c r="F176" s="187"/>
    </row>
    <row r="177" spans="1:6" x14ac:dyDescent="0.2">
      <c r="A177" s="275"/>
      <c r="B177" s="78"/>
      <c r="C177" s="189"/>
      <c r="D177" s="185"/>
      <c r="E177" s="186"/>
      <c r="F177" s="187"/>
    </row>
    <row r="178" spans="1:6" x14ac:dyDescent="0.2">
      <c r="A178" s="275"/>
      <c r="B178" s="78"/>
      <c r="C178" s="189"/>
      <c r="D178" s="185"/>
      <c r="E178" s="186"/>
      <c r="F178" s="187"/>
    </row>
    <row r="179" spans="1:6" x14ac:dyDescent="0.2">
      <c r="A179" s="275"/>
      <c r="B179" s="78"/>
      <c r="C179" s="189"/>
      <c r="D179" s="185"/>
      <c r="E179" s="186"/>
      <c r="F179" s="187"/>
    </row>
    <row r="180" spans="1:6" x14ac:dyDescent="0.2">
      <c r="A180" s="275"/>
      <c r="B180" s="78"/>
      <c r="C180" s="189"/>
      <c r="D180" s="185"/>
      <c r="E180" s="186"/>
      <c r="F180" s="187"/>
    </row>
    <row r="181" spans="1:6" x14ac:dyDescent="0.2">
      <c r="A181" s="275"/>
      <c r="B181" s="78"/>
      <c r="C181" s="189"/>
      <c r="D181" s="185"/>
      <c r="E181" s="186"/>
      <c r="F181" s="187"/>
    </row>
    <row r="182" spans="1:6" x14ac:dyDescent="0.2">
      <c r="A182" s="275"/>
      <c r="B182" s="78"/>
      <c r="C182" s="189"/>
      <c r="D182" s="185"/>
      <c r="E182" s="186"/>
      <c r="F182" s="187"/>
    </row>
    <row r="183" spans="1:6" x14ac:dyDescent="0.2">
      <c r="A183" s="275"/>
      <c r="B183" s="78"/>
      <c r="C183" s="189"/>
      <c r="D183" s="185"/>
      <c r="E183" s="186"/>
      <c r="F183" s="187"/>
    </row>
    <row r="184" spans="1:6" x14ac:dyDescent="0.2">
      <c r="A184" s="275"/>
      <c r="B184" s="78"/>
      <c r="C184" s="189"/>
      <c r="D184" s="185"/>
      <c r="E184" s="186"/>
      <c r="F184" s="187"/>
    </row>
    <row r="185" spans="1:6" x14ac:dyDescent="0.2">
      <c r="A185" s="275"/>
      <c r="B185" s="78"/>
      <c r="C185" s="189"/>
      <c r="D185" s="185"/>
      <c r="E185" s="186"/>
      <c r="F185" s="187"/>
    </row>
    <row r="186" spans="1:6" x14ac:dyDescent="0.2">
      <c r="A186" s="275"/>
      <c r="B186" s="78"/>
      <c r="C186" s="189"/>
      <c r="D186" s="185"/>
      <c r="E186" s="186"/>
      <c r="F186" s="187"/>
    </row>
    <row r="187" spans="1:6" x14ac:dyDescent="0.2">
      <c r="A187" s="275"/>
      <c r="B187" s="78"/>
      <c r="C187" s="189"/>
      <c r="D187" s="185"/>
      <c r="E187" s="186"/>
      <c r="F187" s="187"/>
    </row>
    <row r="188" spans="1:6" x14ac:dyDescent="0.2">
      <c r="A188" s="275"/>
      <c r="B188" s="78"/>
      <c r="C188" s="189"/>
      <c r="D188" s="185"/>
      <c r="E188" s="186"/>
      <c r="F188" s="187"/>
    </row>
    <row r="189" spans="1:6" x14ac:dyDescent="0.2">
      <c r="A189" s="275"/>
      <c r="B189" s="78"/>
      <c r="C189" s="189"/>
      <c r="D189" s="185"/>
      <c r="E189" s="186"/>
      <c r="F189" s="187"/>
    </row>
    <row r="190" spans="1:6" x14ac:dyDescent="0.2">
      <c r="A190" s="275"/>
      <c r="B190" s="78"/>
      <c r="C190" s="189"/>
      <c r="D190" s="185"/>
      <c r="E190" s="186"/>
      <c r="F190" s="187"/>
    </row>
    <row r="191" spans="1:6" x14ac:dyDescent="0.2">
      <c r="A191" s="275"/>
      <c r="B191" s="78"/>
      <c r="C191" s="189"/>
      <c r="D191" s="185"/>
      <c r="E191" s="186"/>
      <c r="F191" s="187"/>
    </row>
    <row r="192" spans="1:6" x14ac:dyDescent="0.2">
      <c r="A192" s="275"/>
      <c r="B192" s="78"/>
      <c r="C192" s="189"/>
      <c r="D192" s="185"/>
      <c r="E192" s="186"/>
      <c r="F192" s="187"/>
    </row>
    <row r="193" spans="1:6" x14ac:dyDescent="0.2">
      <c r="A193" s="275"/>
      <c r="B193" s="78"/>
      <c r="C193" s="189"/>
      <c r="D193" s="185"/>
      <c r="E193" s="186"/>
      <c r="F193" s="187"/>
    </row>
    <row r="194" spans="1:6" x14ac:dyDescent="0.2">
      <c r="A194" s="275"/>
      <c r="B194" s="78"/>
      <c r="C194" s="189"/>
      <c r="D194" s="185"/>
      <c r="E194" s="186"/>
      <c r="F194" s="187"/>
    </row>
    <row r="195" spans="1:6" x14ac:dyDescent="0.2">
      <c r="A195" s="275"/>
      <c r="B195" s="78"/>
      <c r="C195" s="189"/>
      <c r="D195" s="185"/>
      <c r="E195" s="186"/>
      <c r="F195" s="187"/>
    </row>
    <row r="196" spans="1:6" x14ac:dyDescent="0.2">
      <c r="A196" s="275"/>
      <c r="B196" s="78"/>
      <c r="C196" s="189"/>
      <c r="D196" s="185"/>
      <c r="E196" s="186"/>
      <c r="F196" s="187"/>
    </row>
    <row r="197" spans="1:6" x14ac:dyDescent="0.2">
      <c r="A197" s="275"/>
      <c r="B197" s="78"/>
      <c r="C197" s="189"/>
      <c r="D197" s="185"/>
      <c r="E197" s="186"/>
      <c r="F197" s="187"/>
    </row>
    <row r="198" spans="1:6" x14ac:dyDescent="0.2">
      <c r="A198" s="275"/>
      <c r="B198" s="78"/>
      <c r="C198" s="189"/>
      <c r="D198" s="185"/>
      <c r="E198" s="186"/>
      <c r="F198" s="187"/>
    </row>
    <row r="199" spans="1:6" x14ac:dyDescent="0.2">
      <c r="A199" s="275"/>
      <c r="B199" s="78"/>
      <c r="C199" s="189"/>
      <c r="D199" s="185"/>
      <c r="E199" s="186"/>
      <c r="F199" s="187"/>
    </row>
    <row r="200" spans="1:6" x14ac:dyDescent="0.2">
      <c r="A200" s="275"/>
      <c r="B200" s="78"/>
      <c r="C200" s="189"/>
      <c r="D200" s="185"/>
      <c r="E200" s="186"/>
      <c r="F200" s="187"/>
    </row>
    <row r="201" spans="1:6" x14ac:dyDescent="0.2">
      <c r="A201" s="275"/>
      <c r="B201" s="78"/>
      <c r="C201" s="189"/>
      <c r="D201" s="185"/>
      <c r="E201" s="186"/>
      <c r="F201" s="187"/>
    </row>
    <row r="202" spans="1:6" x14ac:dyDescent="0.2">
      <c r="A202" s="275"/>
      <c r="B202" s="78"/>
      <c r="C202" s="189"/>
      <c r="D202" s="185"/>
      <c r="E202" s="186"/>
      <c r="F202" s="187"/>
    </row>
    <row r="203" spans="1:6" x14ac:dyDescent="0.2">
      <c r="A203" s="275"/>
      <c r="B203" s="78"/>
      <c r="C203" s="189"/>
      <c r="D203" s="185"/>
      <c r="E203" s="186"/>
      <c r="F203" s="187"/>
    </row>
    <row r="204" spans="1:6" x14ac:dyDescent="0.2">
      <c r="A204" s="275"/>
      <c r="B204" s="78"/>
      <c r="C204" s="189"/>
      <c r="D204" s="185"/>
      <c r="E204" s="186"/>
      <c r="F204" s="187"/>
    </row>
    <row r="205" spans="1:6" x14ac:dyDescent="0.2">
      <c r="A205" s="275"/>
      <c r="B205" s="78"/>
      <c r="C205" s="189"/>
      <c r="D205" s="185"/>
      <c r="E205" s="186"/>
      <c r="F205" s="187"/>
    </row>
    <row r="206" spans="1:6" x14ac:dyDescent="0.2">
      <c r="A206" s="275"/>
      <c r="B206" s="78"/>
      <c r="C206" s="189"/>
      <c r="D206" s="185"/>
      <c r="E206" s="186"/>
      <c r="F206" s="187"/>
    </row>
    <row r="207" spans="1:6" x14ac:dyDescent="0.2">
      <c r="A207" s="275"/>
      <c r="B207" s="78"/>
      <c r="C207" s="189"/>
      <c r="D207" s="185"/>
      <c r="E207" s="186"/>
      <c r="F207" s="187"/>
    </row>
    <row r="208" spans="1:6" x14ac:dyDescent="0.2">
      <c r="A208" s="275"/>
      <c r="B208" s="78"/>
      <c r="C208" s="189"/>
      <c r="D208" s="185"/>
      <c r="E208" s="186"/>
      <c r="F208" s="187"/>
    </row>
    <row r="209" spans="1:6" x14ac:dyDescent="0.2">
      <c r="A209" s="275"/>
      <c r="B209" s="78"/>
      <c r="C209" s="189"/>
      <c r="D209" s="185"/>
      <c r="E209" s="186"/>
      <c r="F209" s="187"/>
    </row>
    <row r="210" spans="1:6" x14ac:dyDescent="0.2">
      <c r="A210" s="275"/>
      <c r="B210" s="78"/>
      <c r="C210" s="189"/>
      <c r="D210" s="185"/>
      <c r="E210" s="186"/>
      <c r="F210" s="187"/>
    </row>
    <row r="211" spans="1:6" x14ac:dyDescent="0.2">
      <c r="A211" s="275"/>
      <c r="B211" s="78"/>
      <c r="C211" s="189"/>
      <c r="D211" s="185"/>
      <c r="E211" s="186"/>
      <c r="F211" s="187"/>
    </row>
    <row r="212" spans="1:6" x14ac:dyDescent="0.2">
      <c r="A212" s="275"/>
      <c r="B212" s="78"/>
      <c r="C212" s="189"/>
      <c r="D212" s="185"/>
      <c r="E212" s="186"/>
      <c r="F212" s="187"/>
    </row>
    <row r="213" spans="1:6" x14ac:dyDescent="0.2">
      <c r="A213" s="275"/>
      <c r="B213" s="78"/>
      <c r="C213" s="189"/>
      <c r="D213" s="185"/>
      <c r="E213" s="186"/>
      <c r="F213" s="187"/>
    </row>
    <row r="214" spans="1:6" x14ac:dyDescent="0.2">
      <c r="A214" s="275"/>
      <c r="B214" s="78"/>
      <c r="C214" s="189"/>
      <c r="D214" s="185"/>
      <c r="E214" s="186"/>
      <c r="F214" s="187"/>
    </row>
    <row r="215" spans="1:6" x14ac:dyDescent="0.2">
      <c r="A215" s="275"/>
      <c r="B215" s="78"/>
      <c r="C215" s="189"/>
      <c r="D215" s="185"/>
      <c r="E215" s="186"/>
      <c r="F215" s="187"/>
    </row>
    <row r="216" spans="1:6" x14ac:dyDescent="0.2">
      <c r="A216" s="275"/>
      <c r="B216" s="78"/>
      <c r="C216" s="189"/>
      <c r="D216" s="185"/>
      <c r="E216" s="186"/>
      <c r="F216" s="187"/>
    </row>
    <row r="217" spans="1:6" x14ac:dyDescent="0.2">
      <c r="A217" s="275"/>
      <c r="B217" s="78"/>
      <c r="C217" s="189"/>
      <c r="D217" s="185"/>
      <c r="E217" s="186"/>
      <c r="F217" s="187"/>
    </row>
    <row r="218" spans="1:6" x14ac:dyDescent="0.2">
      <c r="A218" s="275"/>
      <c r="B218" s="78"/>
      <c r="C218" s="189"/>
      <c r="D218" s="185"/>
      <c r="E218" s="186"/>
      <c r="F218" s="187"/>
    </row>
    <row r="219" spans="1:6" x14ac:dyDescent="0.2">
      <c r="A219" s="275"/>
      <c r="B219" s="78"/>
      <c r="C219" s="189"/>
      <c r="D219" s="185"/>
      <c r="E219" s="186"/>
      <c r="F219" s="187"/>
    </row>
    <row r="220" spans="1:6" x14ac:dyDescent="0.2">
      <c r="A220" s="275"/>
      <c r="B220" s="78"/>
      <c r="C220" s="189"/>
      <c r="D220" s="185"/>
      <c r="E220" s="186"/>
      <c r="F220" s="187"/>
    </row>
    <row r="221" spans="1:6" x14ac:dyDescent="0.2">
      <c r="A221" s="275"/>
      <c r="B221" s="78"/>
      <c r="C221" s="189"/>
      <c r="D221" s="185"/>
      <c r="E221" s="186"/>
      <c r="F221" s="187"/>
    </row>
    <row r="222" spans="1:6" x14ac:dyDescent="0.2">
      <c r="A222" s="275"/>
      <c r="B222" s="78"/>
      <c r="C222" s="189"/>
      <c r="D222" s="185"/>
      <c r="E222" s="186"/>
      <c r="F222" s="187"/>
    </row>
    <row r="223" spans="1:6" x14ac:dyDescent="0.2">
      <c r="A223" s="275"/>
      <c r="B223" s="78"/>
      <c r="C223" s="189"/>
      <c r="D223" s="185"/>
      <c r="E223" s="186"/>
      <c r="F223" s="187"/>
    </row>
    <row r="224" spans="1:6" x14ac:dyDescent="0.2">
      <c r="A224" s="275"/>
      <c r="B224" s="78"/>
      <c r="C224" s="189"/>
      <c r="D224" s="185"/>
      <c r="E224" s="186"/>
      <c r="F224" s="187"/>
    </row>
    <row r="225" spans="1:6" x14ac:dyDescent="0.2">
      <c r="A225" s="275"/>
      <c r="B225" s="78"/>
      <c r="C225" s="189"/>
      <c r="D225" s="185"/>
      <c r="E225" s="186"/>
      <c r="F225" s="187"/>
    </row>
    <row r="226" spans="1:6" x14ac:dyDescent="0.2">
      <c r="A226" s="275"/>
      <c r="B226" s="78"/>
      <c r="C226" s="189"/>
      <c r="D226" s="185"/>
      <c r="E226" s="186"/>
      <c r="F226" s="187"/>
    </row>
    <row r="227" spans="1:6" x14ac:dyDescent="0.2">
      <c r="A227" s="275"/>
      <c r="B227" s="78"/>
      <c r="C227" s="189"/>
      <c r="D227" s="185"/>
      <c r="E227" s="186"/>
      <c r="F227" s="187"/>
    </row>
    <row r="228" spans="1:6" x14ac:dyDescent="0.2">
      <c r="A228" s="275"/>
      <c r="B228" s="78"/>
      <c r="C228" s="189"/>
      <c r="D228" s="185"/>
      <c r="E228" s="186"/>
      <c r="F228" s="187"/>
    </row>
    <row r="229" spans="1:6" x14ac:dyDescent="0.2">
      <c r="A229" s="275"/>
      <c r="B229" s="78"/>
      <c r="C229" s="189"/>
      <c r="D229" s="185"/>
      <c r="E229" s="186"/>
      <c r="F229" s="187"/>
    </row>
    <row r="230" spans="1:6" x14ac:dyDescent="0.2">
      <c r="A230" s="275"/>
      <c r="B230" s="78"/>
      <c r="C230" s="189"/>
      <c r="D230" s="185"/>
      <c r="E230" s="186"/>
      <c r="F230" s="187"/>
    </row>
    <row r="231" spans="1:6" x14ac:dyDescent="0.2">
      <c r="A231" s="275"/>
      <c r="B231" s="78"/>
      <c r="C231" s="189"/>
      <c r="D231" s="185"/>
      <c r="E231" s="186"/>
      <c r="F231" s="187"/>
    </row>
    <row r="232" spans="1:6" x14ac:dyDescent="0.2">
      <c r="A232" s="275"/>
      <c r="B232" s="78"/>
      <c r="C232" s="189"/>
      <c r="D232" s="185"/>
      <c r="E232" s="186"/>
      <c r="F232" s="187"/>
    </row>
    <row r="233" spans="1:6" x14ac:dyDescent="0.2">
      <c r="A233" s="275"/>
      <c r="B233" s="78"/>
      <c r="C233" s="189"/>
      <c r="D233" s="185"/>
      <c r="E233" s="186"/>
      <c r="F233" s="187"/>
    </row>
    <row r="234" spans="1:6" x14ac:dyDescent="0.2">
      <c r="A234" s="275"/>
      <c r="B234" s="78"/>
      <c r="C234" s="189"/>
      <c r="D234" s="185"/>
      <c r="E234" s="186"/>
      <c r="F234" s="187"/>
    </row>
    <row r="235" spans="1:6" x14ac:dyDescent="0.2">
      <c r="A235" s="275"/>
      <c r="B235" s="78"/>
      <c r="C235" s="189"/>
      <c r="D235" s="185"/>
      <c r="E235" s="186"/>
      <c r="F235" s="187"/>
    </row>
    <row r="236" spans="1:6" x14ac:dyDescent="0.2">
      <c r="A236" s="275"/>
      <c r="B236" s="78"/>
      <c r="C236" s="189"/>
      <c r="D236" s="185"/>
      <c r="E236" s="186"/>
      <c r="F236" s="187"/>
    </row>
    <row r="237" spans="1:6" x14ac:dyDescent="0.2">
      <c r="A237" s="275"/>
      <c r="B237" s="78"/>
      <c r="C237" s="189"/>
      <c r="D237" s="185"/>
      <c r="E237" s="186"/>
      <c r="F237" s="187"/>
    </row>
    <row r="238" spans="1:6" x14ac:dyDescent="0.2">
      <c r="A238" s="275"/>
      <c r="B238" s="78"/>
      <c r="C238" s="189"/>
      <c r="D238" s="185"/>
      <c r="E238" s="186"/>
      <c r="F238" s="187"/>
    </row>
    <row r="239" spans="1:6" x14ac:dyDescent="0.2">
      <c r="A239" s="275"/>
      <c r="B239" s="78"/>
      <c r="C239" s="189"/>
      <c r="D239" s="185"/>
      <c r="E239" s="186"/>
      <c r="F239" s="187"/>
    </row>
    <row r="240" spans="1:6" x14ac:dyDescent="0.2">
      <c r="A240" s="275"/>
      <c r="B240" s="78"/>
      <c r="C240" s="189"/>
      <c r="D240" s="185"/>
      <c r="E240" s="186"/>
      <c r="F240" s="187"/>
    </row>
    <row r="241" spans="1:6" x14ac:dyDescent="0.2">
      <c r="A241" s="275"/>
      <c r="B241" s="78"/>
      <c r="C241" s="189"/>
      <c r="D241" s="185"/>
      <c r="E241" s="186"/>
      <c r="F241" s="187"/>
    </row>
    <row r="242" spans="1:6" x14ac:dyDescent="0.2">
      <c r="A242" s="275"/>
      <c r="B242" s="78"/>
      <c r="C242" s="189"/>
      <c r="D242" s="185"/>
      <c r="E242" s="186"/>
      <c r="F242" s="187"/>
    </row>
    <row r="243" spans="1:6" x14ac:dyDescent="0.2">
      <c r="A243" s="275"/>
      <c r="B243" s="78"/>
      <c r="C243" s="189"/>
      <c r="D243" s="185"/>
      <c r="E243" s="186"/>
      <c r="F243" s="187"/>
    </row>
    <row r="244" spans="1:6" x14ac:dyDescent="0.2">
      <c r="A244" s="275"/>
      <c r="B244" s="78"/>
      <c r="C244" s="189"/>
      <c r="D244" s="185"/>
      <c r="E244" s="186"/>
      <c r="F244" s="187"/>
    </row>
    <row r="245" spans="1:6" x14ac:dyDescent="0.2">
      <c r="A245" s="275"/>
      <c r="B245" s="78"/>
      <c r="C245" s="189"/>
      <c r="D245" s="185"/>
      <c r="E245" s="186"/>
      <c r="F245" s="187"/>
    </row>
    <row r="246" spans="1:6" x14ac:dyDescent="0.2">
      <c r="A246" s="275"/>
      <c r="B246" s="78"/>
      <c r="C246" s="189"/>
      <c r="D246" s="185"/>
      <c r="E246" s="186"/>
      <c r="F246" s="187"/>
    </row>
    <row r="247" spans="1:6" x14ac:dyDescent="0.2">
      <c r="A247" s="275"/>
      <c r="B247" s="78"/>
      <c r="C247" s="189"/>
      <c r="D247" s="185"/>
      <c r="E247" s="186"/>
      <c r="F247" s="187"/>
    </row>
    <row r="248" spans="1:6" x14ac:dyDescent="0.2">
      <c r="A248" s="275"/>
      <c r="B248" s="78"/>
      <c r="C248" s="189"/>
      <c r="D248" s="185"/>
      <c r="E248" s="186"/>
      <c r="F248" s="187"/>
    </row>
    <row r="249" spans="1:6" x14ac:dyDescent="0.2">
      <c r="A249" s="275"/>
      <c r="B249" s="78"/>
      <c r="C249" s="189"/>
      <c r="D249" s="185"/>
      <c r="E249" s="186"/>
      <c r="F249" s="187"/>
    </row>
    <row r="250" spans="1:6" x14ac:dyDescent="0.2">
      <c r="A250" s="275"/>
      <c r="B250" s="78"/>
      <c r="C250" s="189"/>
      <c r="D250" s="185"/>
      <c r="E250" s="186"/>
      <c r="F250" s="187"/>
    </row>
    <row r="251" spans="1:6" x14ac:dyDescent="0.2">
      <c r="A251" s="275"/>
      <c r="B251" s="78"/>
      <c r="C251" s="189"/>
      <c r="D251" s="185"/>
      <c r="E251" s="186"/>
      <c r="F251" s="187"/>
    </row>
    <row r="252" spans="1:6" x14ac:dyDescent="0.2">
      <c r="A252" s="275"/>
      <c r="B252" s="78"/>
      <c r="C252" s="189"/>
      <c r="D252" s="185"/>
      <c r="E252" s="186"/>
      <c r="F252" s="187"/>
    </row>
    <row r="253" spans="1:6" x14ac:dyDescent="0.2">
      <c r="A253" s="275"/>
      <c r="B253" s="78"/>
      <c r="C253" s="189"/>
      <c r="D253" s="185"/>
      <c r="E253" s="186"/>
      <c r="F253" s="187"/>
    </row>
    <row r="254" spans="1:6" x14ac:dyDescent="0.2">
      <c r="A254" s="275"/>
      <c r="B254" s="78"/>
      <c r="C254" s="189"/>
      <c r="D254" s="185"/>
      <c r="E254" s="186"/>
      <c r="F254" s="187"/>
    </row>
    <row r="255" spans="1:6" x14ac:dyDescent="0.2">
      <c r="A255" s="275"/>
      <c r="B255" s="78"/>
      <c r="C255" s="189"/>
      <c r="D255" s="185"/>
      <c r="E255" s="186"/>
      <c r="F255" s="187"/>
    </row>
    <row r="256" spans="1:6" x14ac:dyDescent="0.2">
      <c r="A256" s="275"/>
      <c r="B256" s="78"/>
      <c r="C256" s="189"/>
      <c r="D256" s="185"/>
      <c r="E256" s="186"/>
      <c r="F256" s="187"/>
    </row>
    <row r="257" spans="1:6" x14ac:dyDescent="0.2">
      <c r="A257" s="275"/>
      <c r="B257" s="78"/>
      <c r="C257" s="189"/>
      <c r="D257" s="185"/>
      <c r="E257" s="186"/>
      <c r="F257" s="187"/>
    </row>
    <row r="258" spans="1:6" x14ac:dyDescent="0.2">
      <c r="A258" s="275"/>
      <c r="B258" s="78"/>
      <c r="C258" s="189"/>
      <c r="D258" s="185"/>
      <c r="E258" s="186"/>
      <c r="F258" s="187"/>
    </row>
    <row r="259" spans="1:6" x14ac:dyDescent="0.2">
      <c r="A259" s="275"/>
      <c r="B259" s="78"/>
      <c r="C259" s="189"/>
      <c r="D259" s="185"/>
      <c r="E259" s="186"/>
      <c r="F259" s="187"/>
    </row>
    <row r="260" spans="1:6" x14ac:dyDescent="0.2">
      <c r="A260" s="275"/>
      <c r="B260" s="78"/>
      <c r="C260" s="189"/>
      <c r="D260" s="185"/>
      <c r="E260" s="186"/>
      <c r="F260" s="187"/>
    </row>
    <row r="261" spans="1:6" x14ac:dyDescent="0.2">
      <c r="A261" s="275"/>
      <c r="B261" s="78"/>
      <c r="C261" s="189"/>
      <c r="D261" s="185"/>
      <c r="E261" s="186"/>
      <c r="F261" s="187"/>
    </row>
    <row r="262" spans="1:6" x14ac:dyDescent="0.2">
      <c r="A262" s="275"/>
      <c r="B262" s="78"/>
      <c r="C262" s="189"/>
      <c r="D262" s="185"/>
      <c r="E262" s="186"/>
      <c r="F262" s="187"/>
    </row>
    <row r="263" spans="1:6" x14ac:dyDescent="0.2">
      <c r="A263" s="275"/>
      <c r="B263" s="78"/>
      <c r="C263" s="189"/>
      <c r="D263" s="185"/>
      <c r="E263" s="186"/>
      <c r="F263" s="187"/>
    </row>
    <row r="264" spans="1:6" x14ac:dyDescent="0.2">
      <c r="A264" s="275"/>
      <c r="B264" s="78"/>
      <c r="C264" s="189"/>
      <c r="D264" s="185"/>
      <c r="E264" s="186"/>
      <c r="F264" s="187"/>
    </row>
    <row r="265" spans="1:6" x14ac:dyDescent="0.2">
      <c r="A265" s="275"/>
      <c r="B265" s="78"/>
      <c r="C265" s="189"/>
      <c r="D265" s="185"/>
      <c r="E265" s="186"/>
      <c r="F265" s="187"/>
    </row>
    <row r="266" spans="1:6" x14ac:dyDescent="0.2">
      <c r="A266" s="275"/>
      <c r="B266" s="78"/>
      <c r="C266" s="189"/>
      <c r="D266" s="185"/>
      <c r="E266" s="186"/>
      <c r="F266" s="187"/>
    </row>
    <row r="267" spans="1:6" x14ac:dyDescent="0.2">
      <c r="A267" s="275"/>
      <c r="B267" s="78"/>
      <c r="C267" s="189"/>
      <c r="D267" s="185"/>
      <c r="E267" s="186"/>
      <c r="F267" s="187"/>
    </row>
    <row r="268" spans="1:6" x14ac:dyDescent="0.2">
      <c r="A268" s="275"/>
      <c r="B268" s="78"/>
      <c r="C268" s="189"/>
      <c r="D268" s="185"/>
      <c r="E268" s="186"/>
      <c r="F268" s="187"/>
    </row>
    <row r="269" spans="1:6" x14ac:dyDescent="0.2">
      <c r="A269" s="275"/>
      <c r="B269" s="78"/>
      <c r="C269" s="189"/>
      <c r="D269" s="185"/>
      <c r="E269" s="186"/>
      <c r="F269" s="187"/>
    </row>
    <row r="270" spans="1:6" x14ac:dyDescent="0.2">
      <c r="A270" s="275"/>
      <c r="B270" s="78"/>
      <c r="C270" s="189"/>
      <c r="D270" s="185"/>
      <c r="E270" s="186"/>
      <c r="F270" s="187"/>
    </row>
    <row r="271" spans="1:6" x14ac:dyDescent="0.2">
      <c r="A271" s="275"/>
      <c r="B271" s="78"/>
      <c r="C271" s="189"/>
      <c r="D271" s="185"/>
      <c r="E271" s="186"/>
      <c r="F271" s="187"/>
    </row>
    <row r="272" spans="1:6" x14ac:dyDescent="0.2">
      <c r="A272" s="275"/>
      <c r="B272" s="78"/>
      <c r="C272" s="189"/>
      <c r="D272" s="185"/>
      <c r="E272" s="186"/>
      <c r="F272" s="187"/>
    </row>
    <row r="273" spans="1:6" x14ac:dyDescent="0.2">
      <c r="A273" s="275"/>
      <c r="B273" s="78"/>
      <c r="C273" s="189"/>
      <c r="D273" s="185"/>
      <c r="E273" s="186"/>
      <c r="F273" s="187"/>
    </row>
    <row r="274" spans="1:6" x14ac:dyDescent="0.2">
      <c r="A274" s="275"/>
      <c r="B274" s="78"/>
      <c r="C274" s="189"/>
      <c r="D274" s="185"/>
      <c r="E274" s="186"/>
      <c r="F274" s="187"/>
    </row>
    <row r="275" spans="1:6" x14ac:dyDescent="0.2">
      <c r="A275" s="275"/>
      <c r="B275" s="78"/>
      <c r="C275" s="189"/>
      <c r="D275" s="185"/>
      <c r="E275" s="186"/>
      <c r="F275" s="187"/>
    </row>
    <row r="276" spans="1:6" x14ac:dyDescent="0.2">
      <c r="A276" s="275"/>
      <c r="B276" s="78"/>
      <c r="C276" s="189"/>
      <c r="D276" s="185"/>
      <c r="E276" s="186"/>
      <c r="F276" s="187"/>
    </row>
    <row r="277" spans="1:6" x14ac:dyDescent="0.2">
      <c r="A277" s="275"/>
      <c r="B277" s="78"/>
      <c r="C277" s="189"/>
      <c r="D277" s="185"/>
      <c r="E277" s="186"/>
      <c r="F277" s="187"/>
    </row>
    <row r="278" spans="1:6" x14ac:dyDescent="0.2">
      <c r="A278" s="275"/>
      <c r="B278" s="78"/>
      <c r="C278" s="189"/>
      <c r="D278" s="185"/>
      <c r="E278" s="186"/>
      <c r="F278" s="187"/>
    </row>
    <row r="279" spans="1:6" x14ac:dyDescent="0.2">
      <c r="A279" s="275"/>
      <c r="B279" s="78"/>
      <c r="C279" s="189"/>
      <c r="D279" s="185"/>
      <c r="E279" s="186"/>
      <c r="F279" s="187"/>
    </row>
    <row r="280" spans="1:6" x14ac:dyDescent="0.2">
      <c r="A280" s="275"/>
      <c r="B280" s="78"/>
      <c r="C280" s="189"/>
      <c r="D280" s="185"/>
      <c r="E280" s="186"/>
      <c r="F280" s="187"/>
    </row>
    <row r="281" spans="1:6" x14ac:dyDescent="0.2">
      <c r="A281" s="275"/>
      <c r="B281" s="78"/>
      <c r="C281" s="189"/>
      <c r="D281" s="185"/>
      <c r="E281" s="186"/>
      <c r="F281" s="187"/>
    </row>
    <row r="282" spans="1:6" x14ac:dyDescent="0.2">
      <c r="A282" s="275"/>
      <c r="B282" s="78"/>
      <c r="C282" s="189"/>
      <c r="D282" s="185"/>
      <c r="E282" s="186"/>
      <c r="F282" s="187"/>
    </row>
    <row r="283" spans="1:6" x14ac:dyDescent="0.2">
      <c r="A283" s="275"/>
      <c r="B283" s="78"/>
      <c r="C283" s="189"/>
      <c r="D283" s="185"/>
      <c r="E283" s="186"/>
      <c r="F283" s="187"/>
    </row>
    <row r="284" spans="1:6" x14ac:dyDescent="0.2">
      <c r="A284" s="275"/>
      <c r="B284" s="78"/>
      <c r="C284" s="189"/>
      <c r="D284" s="185"/>
      <c r="E284" s="186"/>
      <c r="F284" s="187"/>
    </row>
    <row r="285" spans="1:6" x14ac:dyDescent="0.2">
      <c r="A285" s="275"/>
      <c r="B285" s="78"/>
      <c r="C285" s="189"/>
      <c r="D285" s="185"/>
      <c r="E285" s="186"/>
      <c r="F285" s="187"/>
    </row>
    <row r="286" spans="1:6" x14ac:dyDescent="0.2">
      <c r="A286" s="275"/>
      <c r="B286" s="78"/>
      <c r="C286" s="189"/>
      <c r="D286" s="185"/>
      <c r="E286" s="186"/>
      <c r="F286" s="187"/>
    </row>
    <row r="287" spans="1:6" x14ac:dyDescent="0.2">
      <c r="A287" s="275"/>
      <c r="B287" s="78"/>
      <c r="C287" s="189"/>
      <c r="D287" s="185"/>
      <c r="E287" s="186"/>
      <c r="F287" s="187"/>
    </row>
    <row r="288" spans="1:6" x14ac:dyDescent="0.2">
      <c r="A288" s="275"/>
      <c r="B288" s="78"/>
      <c r="C288" s="189"/>
      <c r="D288" s="185"/>
      <c r="E288" s="186"/>
      <c r="F288" s="187"/>
    </row>
    <row r="289" spans="1:6" x14ac:dyDescent="0.2">
      <c r="A289" s="275"/>
      <c r="B289" s="78"/>
      <c r="C289" s="189"/>
      <c r="D289" s="185"/>
      <c r="E289" s="186"/>
      <c r="F289" s="187"/>
    </row>
    <row r="290" spans="1:6" x14ac:dyDescent="0.2">
      <c r="A290" s="275"/>
      <c r="B290" s="78"/>
      <c r="C290" s="189"/>
      <c r="D290" s="185"/>
      <c r="E290" s="186"/>
      <c r="F290" s="187"/>
    </row>
    <row r="291" spans="1:6" x14ac:dyDescent="0.2">
      <c r="A291" s="275"/>
      <c r="B291" s="78"/>
      <c r="C291" s="189"/>
      <c r="D291" s="185"/>
      <c r="E291" s="186"/>
      <c r="F291" s="187"/>
    </row>
    <row r="292" spans="1:6" x14ac:dyDescent="0.2">
      <c r="A292" s="275"/>
      <c r="B292" s="78"/>
      <c r="C292" s="189"/>
      <c r="D292" s="185"/>
      <c r="E292" s="186"/>
      <c r="F292" s="187"/>
    </row>
    <row r="293" spans="1:6" x14ac:dyDescent="0.2">
      <c r="A293" s="275"/>
      <c r="B293" s="78"/>
      <c r="C293" s="189"/>
      <c r="D293" s="185"/>
      <c r="E293" s="186"/>
      <c r="F293" s="187"/>
    </row>
    <row r="294" spans="1:6" x14ac:dyDescent="0.2">
      <c r="A294" s="275"/>
      <c r="B294" s="78"/>
      <c r="C294" s="189"/>
      <c r="D294" s="185"/>
      <c r="E294" s="186"/>
      <c r="F294" s="187"/>
    </row>
    <row r="295" spans="1:6" x14ac:dyDescent="0.2">
      <c r="A295" s="275"/>
      <c r="B295" s="78"/>
      <c r="C295" s="189"/>
      <c r="D295" s="185"/>
      <c r="E295" s="186"/>
      <c r="F295" s="187"/>
    </row>
    <row r="296" spans="1:6" x14ac:dyDescent="0.2">
      <c r="A296" s="275"/>
      <c r="B296" s="78"/>
      <c r="C296" s="189"/>
      <c r="D296" s="185"/>
      <c r="E296" s="186"/>
      <c r="F296" s="187"/>
    </row>
    <row r="297" spans="1:6" x14ac:dyDescent="0.2">
      <c r="A297" s="275"/>
      <c r="B297" s="78"/>
      <c r="C297" s="189"/>
      <c r="D297" s="185"/>
      <c r="E297" s="186"/>
      <c r="F297" s="187"/>
    </row>
    <row r="298" spans="1:6" x14ac:dyDescent="0.2">
      <c r="A298" s="275"/>
      <c r="B298" s="78"/>
      <c r="C298" s="189"/>
      <c r="D298" s="185"/>
      <c r="E298" s="186"/>
      <c r="F298" s="187"/>
    </row>
    <row r="299" spans="1:6" x14ac:dyDescent="0.2">
      <c r="A299" s="275"/>
      <c r="B299" s="78"/>
      <c r="C299" s="189"/>
      <c r="D299" s="185"/>
      <c r="E299" s="186"/>
      <c r="F299" s="187"/>
    </row>
    <row r="300" spans="1:6" x14ac:dyDescent="0.2">
      <c r="A300" s="275"/>
      <c r="B300" s="78"/>
      <c r="C300" s="189"/>
      <c r="D300" s="185"/>
      <c r="E300" s="186"/>
      <c r="F300" s="187"/>
    </row>
    <row r="301" spans="1:6" x14ac:dyDescent="0.2">
      <c r="A301" s="275"/>
      <c r="B301" s="78"/>
      <c r="C301" s="189"/>
      <c r="D301" s="185"/>
      <c r="E301" s="186"/>
      <c r="F301" s="187"/>
    </row>
    <row r="302" spans="1:6" x14ac:dyDescent="0.2">
      <c r="A302" s="275"/>
      <c r="B302" s="78"/>
      <c r="C302" s="189"/>
      <c r="D302" s="185"/>
      <c r="E302" s="186"/>
      <c r="F302" s="187"/>
    </row>
    <row r="303" spans="1:6" x14ac:dyDescent="0.2">
      <c r="A303" s="275"/>
      <c r="B303" s="78"/>
      <c r="C303" s="189"/>
      <c r="D303" s="185"/>
      <c r="E303" s="186"/>
      <c r="F303" s="187"/>
    </row>
    <row r="304" spans="1:6" x14ac:dyDescent="0.2">
      <c r="A304" s="275"/>
      <c r="B304" s="78"/>
      <c r="C304" s="189"/>
      <c r="D304" s="185"/>
      <c r="E304" s="186"/>
      <c r="F304" s="187"/>
    </row>
    <row r="305" spans="1:6" x14ac:dyDescent="0.2">
      <c r="A305" s="275"/>
      <c r="B305" s="78"/>
      <c r="C305" s="189"/>
      <c r="D305" s="185"/>
      <c r="E305" s="186"/>
      <c r="F305" s="187"/>
    </row>
    <row r="306" spans="1:6" x14ac:dyDescent="0.2">
      <c r="A306" s="275"/>
      <c r="B306" s="78"/>
      <c r="C306" s="189"/>
      <c r="D306" s="185"/>
      <c r="E306" s="186"/>
      <c r="F306" s="187"/>
    </row>
    <row r="307" spans="1:6" x14ac:dyDescent="0.2">
      <c r="A307" s="275"/>
      <c r="B307" s="78"/>
      <c r="C307" s="189"/>
      <c r="D307" s="185"/>
      <c r="E307" s="186"/>
      <c r="F307" s="187"/>
    </row>
    <row r="308" spans="1:6" x14ac:dyDescent="0.2">
      <c r="A308" s="275"/>
      <c r="B308" s="78"/>
      <c r="C308" s="189"/>
      <c r="D308" s="185"/>
      <c r="E308" s="186"/>
      <c r="F308" s="187"/>
    </row>
    <row r="309" spans="1:6" x14ac:dyDescent="0.2">
      <c r="A309" s="275"/>
      <c r="B309" s="78"/>
      <c r="C309" s="189"/>
      <c r="D309" s="185"/>
      <c r="E309" s="186"/>
      <c r="F309" s="187"/>
    </row>
    <row r="310" spans="1:6" x14ac:dyDescent="0.2">
      <c r="A310" s="275"/>
      <c r="B310" s="78"/>
      <c r="C310" s="189"/>
      <c r="D310" s="185"/>
      <c r="E310" s="186"/>
      <c r="F310" s="187"/>
    </row>
    <row r="311" spans="1:6" x14ac:dyDescent="0.2">
      <c r="A311" s="275"/>
      <c r="B311" s="78"/>
      <c r="C311" s="189"/>
      <c r="D311" s="185"/>
      <c r="E311" s="186"/>
      <c r="F311" s="187"/>
    </row>
    <row r="312" spans="1:6" x14ac:dyDescent="0.2">
      <c r="A312" s="275"/>
      <c r="B312" s="78"/>
      <c r="C312" s="189"/>
      <c r="D312" s="185"/>
      <c r="E312" s="186"/>
      <c r="F312" s="187"/>
    </row>
    <row r="313" spans="1:6" x14ac:dyDescent="0.2">
      <c r="A313" s="275"/>
      <c r="B313" s="78"/>
      <c r="C313" s="189"/>
      <c r="D313" s="185"/>
      <c r="E313" s="186"/>
      <c r="F313" s="187"/>
    </row>
    <row r="314" spans="1:6" x14ac:dyDescent="0.2">
      <c r="A314" s="275"/>
      <c r="B314" s="78"/>
      <c r="C314" s="189"/>
      <c r="D314" s="185"/>
      <c r="E314" s="186"/>
      <c r="F314" s="187"/>
    </row>
    <row r="315" spans="1:6" x14ac:dyDescent="0.2">
      <c r="A315" s="275"/>
      <c r="B315" s="78"/>
      <c r="C315" s="189"/>
      <c r="D315" s="185"/>
      <c r="E315" s="186"/>
      <c r="F315" s="187"/>
    </row>
    <row r="316" spans="1:6" x14ac:dyDescent="0.2">
      <c r="A316" s="275"/>
      <c r="B316" s="78"/>
      <c r="C316" s="189"/>
      <c r="D316" s="185"/>
      <c r="E316" s="186"/>
      <c r="F316" s="187"/>
    </row>
    <row r="317" spans="1:6" x14ac:dyDescent="0.2">
      <c r="A317" s="275"/>
      <c r="B317" s="78"/>
      <c r="C317" s="189"/>
      <c r="D317" s="185"/>
      <c r="E317" s="186"/>
      <c r="F317" s="187"/>
    </row>
    <row r="318" spans="1:6" x14ac:dyDescent="0.2">
      <c r="A318" s="275"/>
      <c r="B318" s="78"/>
      <c r="C318" s="189"/>
      <c r="D318" s="185"/>
      <c r="E318" s="186"/>
      <c r="F318" s="187"/>
    </row>
    <row r="319" spans="1:6" x14ac:dyDescent="0.2">
      <c r="A319" s="275"/>
      <c r="B319" s="78"/>
      <c r="C319" s="189"/>
      <c r="D319" s="185"/>
      <c r="E319" s="186"/>
      <c r="F319" s="187"/>
    </row>
    <row r="320" spans="1:6" x14ac:dyDescent="0.2">
      <c r="A320" s="275"/>
      <c r="B320" s="78"/>
      <c r="C320" s="189"/>
      <c r="D320" s="185"/>
      <c r="E320" s="186"/>
      <c r="F320" s="187"/>
    </row>
    <row r="321" spans="1:6" x14ac:dyDescent="0.2">
      <c r="A321" s="275"/>
      <c r="B321" s="78"/>
      <c r="C321" s="189"/>
      <c r="D321" s="185"/>
      <c r="E321" s="186"/>
      <c r="F321" s="187"/>
    </row>
    <row r="322" spans="1:6" x14ac:dyDescent="0.2">
      <c r="A322" s="275"/>
      <c r="B322" s="78"/>
      <c r="C322" s="189"/>
      <c r="D322" s="185"/>
      <c r="E322" s="186"/>
      <c r="F322" s="187"/>
    </row>
    <row r="323" spans="1:6" x14ac:dyDescent="0.2">
      <c r="A323" s="275"/>
      <c r="B323" s="78"/>
      <c r="C323" s="189"/>
      <c r="D323" s="185"/>
      <c r="E323" s="186"/>
      <c r="F323" s="187"/>
    </row>
    <row r="324" spans="1:6" x14ac:dyDescent="0.2">
      <c r="A324" s="275"/>
      <c r="B324" s="78"/>
      <c r="C324" s="189"/>
      <c r="D324" s="185"/>
      <c r="E324" s="186"/>
      <c r="F324" s="187"/>
    </row>
    <row r="325" spans="1:6" x14ac:dyDescent="0.2">
      <c r="A325" s="275"/>
      <c r="B325" s="78"/>
      <c r="C325" s="189"/>
      <c r="D325" s="185"/>
      <c r="E325" s="186"/>
      <c r="F325" s="187"/>
    </row>
    <row r="326" spans="1:6" x14ac:dyDescent="0.2">
      <c r="A326" s="275"/>
      <c r="B326" s="78"/>
      <c r="C326" s="189"/>
      <c r="D326" s="185"/>
      <c r="E326" s="186"/>
      <c r="F326" s="187"/>
    </row>
    <row r="327" spans="1:6" x14ac:dyDescent="0.2">
      <c r="A327" s="275"/>
      <c r="B327" s="78"/>
      <c r="C327" s="189"/>
      <c r="D327" s="185"/>
      <c r="E327" s="186"/>
      <c r="F327" s="187"/>
    </row>
    <row r="328" spans="1:6" x14ac:dyDescent="0.2">
      <c r="A328" s="275"/>
      <c r="B328" s="78"/>
      <c r="C328" s="189"/>
      <c r="D328" s="185"/>
      <c r="E328" s="186"/>
      <c r="F328" s="187"/>
    </row>
    <row r="329" spans="1:6" x14ac:dyDescent="0.2">
      <c r="A329" s="275"/>
      <c r="B329" s="78"/>
      <c r="C329" s="189"/>
      <c r="D329" s="185"/>
      <c r="E329" s="186"/>
      <c r="F329" s="187"/>
    </row>
    <row r="330" spans="1:6" x14ac:dyDescent="0.2">
      <c r="A330" s="275"/>
      <c r="B330" s="78"/>
      <c r="C330" s="189"/>
      <c r="D330" s="185"/>
      <c r="E330" s="186"/>
      <c r="F330" s="187"/>
    </row>
    <row r="331" spans="1:6" x14ac:dyDescent="0.2">
      <c r="A331" s="275"/>
      <c r="B331" s="78"/>
      <c r="C331" s="189"/>
      <c r="D331" s="185"/>
      <c r="E331" s="186"/>
      <c r="F331" s="187"/>
    </row>
    <row r="332" spans="1:6" x14ac:dyDescent="0.2">
      <c r="A332" s="275"/>
      <c r="B332" s="78"/>
      <c r="C332" s="189"/>
      <c r="D332" s="185"/>
      <c r="E332" s="186"/>
      <c r="F332" s="187"/>
    </row>
    <row r="333" spans="1:6" x14ac:dyDescent="0.2">
      <c r="A333" s="275"/>
      <c r="B333" s="78"/>
      <c r="C333" s="189"/>
      <c r="D333" s="185"/>
      <c r="E333" s="186"/>
      <c r="F333" s="187"/>
    </row>
    <row r="334" spans="1:6" x14ac:dyDescent="0.2">
      <c r="A334" s="275"/>
      <c r="B334" s="78"/>
      <c r="C334" s="189"/>
      <c r="D334" s="185"/>
      <c r="E334" s="186"/>
      <c r="F334" s="187"/>
    </row>
    <row r="335" spans="1:6" x14ac:dyDescent="0.2">
      <c r="A335" s="275"/>
      <c r="B335" s="78"/>
      <c r="C335" s="189"/>
      <c r="D335" s="185"/>
      <c r="E335" s="186"/>
      <c r="F335" s="187"/>
    </row>
    <row r="336" spans="1:6" x14ac:dyDescent="0.2">
      <c r="A336" s="275"/>
      <c r="B336" s="78"/>
      <c r="C336" s="189"/>
      <c r="D336" s="185"/>
      <c r="E336" s="186"/>
      <c r="F336" s="187"/>
    </row>
    <row r="337" spans="1:6" x14ac:dyDescent="0.2">
      <c r="A337" s="275"/>
      <c r="B337" s="78"/>
      <c r="C337" s="189"/>
      <c r="D337" s="185"/>
      <c r="E337" s="186"/>
      <c r="F337" s="187"/>
    </row>
    <row r="338" spans="1:6" x14ac:dyDescent="0.2">
      <c r="A338" s="275"/>
      <c r="B338" s="78"/>
      <c r="C338" s="189"/>
      <c r="D338" s="185"/>
      <c r="E338" s="186"/>
      <c r="F338" s="187"/>
    </row>
    <row r="339" spans="1:6" x14ac:dyDescent="0.2">
      <c r="A339" s="275"/>
      <c r="B339" s="78"/>
      <c r="C339" s="189"/>
      <c r="D339" s="185"/>
      <c r="E339" s="186"/>
      <c r="F339" s="187"/>
    </row>
    <row r="340" spans="1:6" x14ac:dyDescent="0.2">
      <c r="A340" s="275"/>
      <c r="B340" s="78"/>
      <c r="C340" s="189"/>
      <c r="D340" s="185"/>
      <c r="E340" s="186"/>
      <c r="F340" s="187"/>
    </row>
    <row r="341" spans="1:6" x14ac:dyDescent="0.2">
      <c r="A341" s="275"/>
      <c r="B341" s="78"/>
      <c r="C341" s="189"/>
      <c r="D341" s="185"/>
      <c r="E341" s="186"/>
      <c r="F341" s="187"/>
    </row>
    <row r="342" spans="1:6" x14ac:dyDescent="0.2">
      <c r="A342" s="275"/>
      <c r="B342" s="78"/>
      <c r="C342" s="189"/>
      <c r="D342" s="185"/>
      <c r="E342" s="186"/>
      <c r="F342" s="187"/>
    </row>
    <row r="343" spans="1:6" x14ac:dyDescent="0.2">
      <c r="A343" s="275"/>
      <c r="B343" s="78"/>
      <c r="C343" s="189"/>
      <c r="D343" s="185"/>
      <c r="E343" s="186"/>
      <c r="F343" s="187"/>
    </row>
    <row r="344" spans="1:6" x14ac:dyDescent="0.2">
      <c r="A344" s="275"/>
      <c r="B344" s="78"/>
      <c r="C344" s="189"/>
      <c r="D344" s="185"/>
      <c r="E344" s="186"/>
      <c r="F344" s="187"/>
    </row>
    <row r="345" spans="1:6" x14ac:dyDescent="0.2">
      <c r="A345" s="275"/>
      <c r="B345" s="78"/>
      <c r="C345" s="189"/>
      <c r="D345" s="185"/>
      <c r="E345" s="186"/>
      <c r="F345" s="187"/>
    </row>
    <row r="346" spans="1:6" x14ac:dyDescent="0.2">
      <c r="A346" s="275"/>
      <c r="B346" s="78"/>
      <c r="C346" s="189"/>
      <c r="D346" s="185"/>
      <c r="E346" s="186"/>
      <c r="F346" s="187"/>
    </row>
    <row r="347" spans="1:6" x14ac:dyDescent="0.2">
      <c r="A347" s="275"/>
      <c r="B347" s="78"/>
      <c r="C347" s="189"/>
      <c r="D347" s="185"/>
      <c r="E347" s="186"/>
      <c r="F347" s="187"/>
    </row>
    <row r="348" spans="1:6" x14ac:dyDescent="0.2">
      <c r="A348" s="275"/>
      <c r="B348" s="78"/>
      <c r="C348" s="189"/>
      <c r="D348" s="185"/>
      <c r="E348" s="186"/>
      <c r="F348" s="187"/>
    </row>
    <row r="349" spans="1:6" x14ac:dyDescent="0.2">
      <c r="A349" s="275"/>
      <c r="B349" s="78"/>
      <c r="C349" s="189"/>
      <c r="D349" s="185"/>
      <c r="E349" s="186"/>
      <c r="F349" s="187"/>
    </row>
    <row r="350" spans="1:6" x14ac:dyDescent="0.2">
      <c r="A350" s="275"/>
      <c r="B350" s="78"/>
      <c r="C350" s="189"/>
      <c r="D350" s="185"/>
      <c r="E350" s="186"/>
      <c r="F350" s="187"/>
    </row>
    <row r="351" spans="1:6" x14ac:dyDescent="0.2">
      <c r="A351" s="275"/>
      <c r="B351" s="78"/>
      <c r="C351" s="189"/>
      <c r="D351" s="185"/>
      <c r="E351" s="186"/>
      <c r="F351" s="187"/>
    </row>
    <row r="352" spans="1:6" x14ac:dyDescent="0.2">
      <c r="A352" s="275"/>
      <c r="B352" s="78"/>
      <c r="C352" s="189"/>
      <c r="D352" s="185"/>
      <c r="E352" s="186"/>
      <c r="F352" s="187"/>
    </row>
    <row r="353" spans="1:6" x14ac:dyDescent="0.2">
      <c r="A353" s="275"/>
      <c r="B353" s="78"/>
      <c r="C353" s="189"/>
      <c r="D353" s="185"/>
      <c r="E353" s="186"/>
      <c r="F353" s="187"/>
    </row>
    <row r="354" spans="1:6" x14ac:dyDescent="0.2">
      <c r="A354" s="275"/>
      <c r="B354" s="78"/>
      <c r="C354" s="189"/>
      <c r="D354" s="185"/>
      <c r="E354" s="186"/>
      <c r="F354" s="187"/>
    </row>
    <row r="355" spans="1:6" x14ac:dyDescent="0.2">
      <c r="A355" s="275"/>
      <c r="B355" s="78"/>
      <c r="C355" s="189"/>
      <c r="D355" s="185"/>
      <c r="E355" s="186"/>
      <c r="F355" s="187"/>
    </row>
    <row r="356" spans="1:6" x14ac:dyDescent="0.2">
      <c r="A356" s="275"/>
      <c r="B356" s="78"/>
      <c r="C356" s="189"/>
      <c r="D356" s="185"/>
      <c r="E356" s="186"/>
      <c r="F356" s="187"/>
    </row>
    <row r="357" spans="1:6" x14ac:dyDescent="0.2">
      <c r="A357" s="275"/>
      <c r="B357" s="78"/>
      <c r="C357" s="189"/>
      <c r="D357" s="185"/>
      <c r="E357" s="186"/>
      <c r="F357" s="187"/>
    </row>
    <row r="358" spans="1:6" x14ac:dyDescent="0.2">
      <c r="A358" s="275"/>
      <c r="B358" s="78"/>
      <c r="C358" s="189"/>
      <c r="D358" s="185"/>
      <c r="E358" s="186"/>
      <c r="F358" s="187"/>
    </row>
    <row r="359" spans="1:6" x14ac:dyDescent="0.2">
      <c r="A359" s="275"/>
      <c r="B359" s="78"/>
      <c r="C359" s="189"/>
      <c r="D359" s="185"/>
      <c r="E359" s="186"/>
      <c r="F359" s="187"/>
    </row>
    <row r="360" spans="1:6" x14ac:dyDescent="0.2">
      <c r="A360" s="275"/>
      <c r="B360" s="78"/>
      <c r="C360" s="189"/>
      <c r="D360" s="185"/>
      <c r="E360" s="186"/>
      <c r="F360" s="187"/>
    </row>
    <row r="361" spans="1:6" x14ac:dyDescent="0.2">
      <c r="A361" s="275"/>
      <c r="B361" s="78"/>
      <c r="C361" s="189"/>
      <c r="D361" s="185"/>
      <c r="E361" s="186"/>
      <c r="F361" s="187"/>
    </row>
    <row r="362" spans="1:6" x14ac:dyDescent="0.2">
      <c r="A362" s="275"/>
      <c r="B362" s="78"/>
      <c r="C362" s="189"/>
      <c r="D362" s="185"/>
      <c r="E362" s="186"/>
      <c r="F362" s="187"/>
    </row>
    <row r="363" spans="1:6" x14ac:dyDescent="0.2">
      <c r="A363" s="275"/>
      <c r="B363" s="78"/>
      <c r="C363" s="189"/>
      <c r="D363" s="185"/>
      <c r="E363" s="186"/>
      <c r="F363" s="187"/>
    </row>
    <row r="364" spans="1:6" x14ac:dyDescent="0.2">
      <c r="A364" s="275"/>
      <c r="B364" s="78"/>
      <c r="C364" s="189"/>
      <c r="D364" s="185"/>
      <c r="E364" s="186"/>
      <c r="F364" s="187"/>
    </row>
    <row r="365" spans="1:6" x14ac:dyDescent="0.2">
      <c r="A365" s="275"/>
      <c r="B365" s="78"/>
      <c r="C365" s="189"/>
      <c r="D365" s="185"/>
      <c r="E365" s="186"/>
      <c r="F365" s="187"/>
    </row>
    <row r="366" spans="1:6" x14ac:dyDescent="0.2">
      <c r="A366" s="275"/>
      <c r="B366" s="78"/>
      <c r="C366" s="189"/>
      <c r="D366" s="185"/>
      <c r="E366" s="186"/>
      <c r="F366" s="187"/>
    </row>
    <row r="367" spans="1:6" x14ac:dyDescent="0.2">
      <c r="A367" s="275"/>
      <c r="B367" s="78"/>
      <c r="C367" s="189"/>
      <c r="D367" s="185"/>
      <c r="E367" s="186"/>
      <c r="F367" s="187"/>
    </row>
    <row r="368" spans="1:6" x14ac:dyDescent="0.2">
      <c r="A368" s="275"/>
      <c r="B368" s="78"/>
      <c r="C368" s="189"/>
      <c r="D368" s="185"/>
      <c r="E368" s="186"/>
      <c r="F368" s="187"/>
    </row>
    <row r="369" spans="1:6" x14ac:dyDescent="0.2">
      <c r="A369" s="275"/>
      <c r="B369" s="78"/>
      <c r="C369" s="189"/>
      <c r="D369" s="185"/>
      <c r="E369" s="186"/>
      <c r="F369" s="187"/>
    </row>
    <row r="370" spans="1:6" x14ac:dyDescent="0.2">
      <c r="A370" s="275"/>
      <c r="B370" s="78"/>
      <c r="C370" s="189"/>
      <c r="D370" s="185"/>
      <c r="E370" s="186"/>
      <c r="F370" s="187"/>
    </row>
    <row r="371" spans="1:6" x14ac:dyDescent="0.2">
      <c r="A371" s="275"/>
      <c r="B371" s="78"/>
      <c r="C371" s="189"/>
      <c r="D371" s="185"/>
      <c r="E371" s="186"/>
      <c r="F371" s="187"/>
    </row>
    <row r="372" spans="1:6" x14ac:dyDescent="0.2">
      <c r="A372" s="275"/>
      <c r="B372" s="78"/>
      <c r="C372" s="189"/>
      <c r="D372" s="185"/>
      <c r="E372" s="186"/>
      <c r="F372" s="187"/>
    </row>
    <row r="373" spans="1:6" x14ac:dyDescent="0.2">
      <c r="A373" s="275"/>
      <c r="B373" s="78"/>
      <c r="C373" s="189"/>
      <c r="D373" s="185"/>
      <c r="E373" s="186"/>
      <c r="F373" s="187"/>
    </row>
    <row r="374" spans="1:6" x14ac:dyDescent="0.2">
      <c r="A374" s="275"/>
      <c r="B374" s="78"/>
      <c r="C374" s="189"/>
      <c r="D374" s="185"/>
      <c r="E374" s="186"/>
      <c r="F374" s="187"/>
    </row>
    <row r="375" spans="1:6" x14ac:dyDescent="0.2">
      <c r="A375" s="275"/>
      <c r="B375" s="78"/>
      <c r="C375" s="189"/>
      <c r="D375" s="185"/>
      <c r="E375" s="186"/>
      <c r="F375" s="187"/>
    </row>
    <row r="376" spans="1:6" x14ac:dyDescent="0.2">
      <c r="A376" s="275"/>
      <c r="B376" s="78"/>
      <c r="C376" s="189"/>
      <c r="D376" s="185"/>
      <c r="E376" s="186"/>
      <c r="F376" s="187"/>
    </row>
    <row r="377" spans="1:6" x14ac:dyDescent="0.2">
      <c r="A377" s="275"/>
      <c r="B377" s="78"/>
      <c r="C377" s="189"/>
      <c r="D377" s="185"/>
      <c r="E377" s="186"/>
      <c r="F377" s="187"/>
    </row>
    <row r="378" spans="1:6" x14ac:dyDescent="0.2">
      <c r="A378" s="275"/>
      <c r="B378" s="78"/>
      <c r="C378" s="189"/>
      <c r="D378" s="185"/>
      <c r="E378" s="186"/>
      <c r="F378" s="187"/>
    </row>
    <row r="379" spans="1:6" x14ac:dyDescent="0.2">
      <c r="A379" s="275"/>
      <c r="B379" s="78"/>
      <c r="C379" s="189"/>
      <c r="D379" s="185"/>
      <c r="E379" s="186"/>
      <c r="F379" s="187"/>
    </row>
    <row r="380" spans="1:6" x14ac:dyDescent="0.2">
      <c r="A380" s="275"/>
      <c r="B380" s="78"/>
      <c r="C380" s="189"/>
      <c r="D380" s="185"/>
      <c r="E380" s="186"/>
      <c r="F380" s="187"/>
    </row>
    <row r="381" spans="1:6" x14ac:dyDescent="0.2">
      <c r="A381" s="275"/>
      <c r="B381" s="78"/>
      <c r="C381" s="189"/>
      <c r="D381" s="185"/>
      <c r="E381" s="186"/>
      <c r="F381" s="187"/>
    </row>
    <row r="382" spans="1:6" x14ac:dyDescent="0.2">
      <c r="A382" s="275"/>
      <c r="B382" s="78"/>
      <c r="C382" s="189"/>
      <c r="D382" s="185"/>
      <c r="E382" s="186"/>
      <c r="F382" s="187"/>
    </row>
    <row r="383" spans="1:6" x14ac:dyDescent="0.2">
      <c r="A383" s="275"/>
      <c r="B383" s="78"/>
      <c r="C383" s="189"/>
      <c r="D383" s="185"/>
      <c r="E383" s="186"/>
      <c r="F383" s="187"/>
    </row>
    <row r="384" spans="1:6" x14ac:dyDescent="0.2">
      <c r="A384" s="275"/>
      <c r="B384" s="78"/>
      <c r="C384" s="189"/>
      <c r="D384" s="185"/>
      <c r="E384" s="186"/>
      <c r="F384" s="187"/>
    </row>
    <row r="385" spans="1:6" x14ac:dyDescent="0.2">
      <c r="A385" s="275"/>
      <c r="B385" s="78"/>
      <c r="C385" s="189"/>
      <c r="D385" s="185"/>
      <c r="E385" s="186"/>
      <c r="F385" s="187"/>
    </row>
    <row r="386" spans="1:6" x14ac:dyDescent="0.2">
      <c r="A386" s="275"/>
      <c r="B386" s="78"/>
      <c r="C386" s="189"/>
      <c r="D386" s="185"/>
      <c r="E386" s="186"/>
      <c r="F386" s="187"/>
    </row>
    <row r="387" spans="1:6" x14ac:dyDescent="0.2">
      <c r="A387" s="275"/>
      <c r="B387" s="78"/>
      <c r="C387" s="189"/>
      <c r="D387" s="185"/>
      <c r="E387" s="186"/>
      <c r="F387" s="187"/>
    </row>
    <row r="388" spans="1:6" x14ac:dyDescent="0.2">
      <c r="A388" s="275"/>
      <c r="B388" s="78"/>
      <c r="C388" s="189"/>
      <c r="D388" s="185"/>
      <c r="E388" s="186"/>
      <c r="F388" s="187"/>
    </row>
    <row r="389" spans="1:6" x14ac:dyDescent="0.2">
      <c r="A389" s="275"/>
      <c r="B389" s="78"/>
      <c r="C389" s="189"/>
      <c r="D389" s="185"/>
      <c r="E389" s="186"/>
      <c r="F389" s="187"/>
    </row>
    <row r="390" spans="1:6" x14ac:dyDescent="0.2">
      <c r="A390" s="275"/>
      <c r="B390" s="78"/>
      <c r="C390" s="189"/>
      <c r="D390" s="185"/>
      <c r="E390" s="186"/>
      <c r="F390" s="187"/>
    </row>
    <row r="391" spans="1:6" x14ac:dyDescent="0.2">
      <c r="A391" s="275"/>
      <c r="B391" s="78"/>
      <c r="C391" s="189"/>
      <c r="D391" s="185"/>
      <c r="E391" s="186"/>
      <c r="F391" s="187"/>
    </row>
    <row r="392" spans="1:6" x14ac:dyDescent="0.2">
      <c r="A392" s="275"/>
      <c r="B392" s="78"/>
      <c r="C392" s="189"/>
      <c r="D392" s="185"/>
      <c r="E392" s="186"/>
      <c r="F392" s="187"/>
    </row>
    <row r="393" spans="1:6" x14ac:dyDescent="0.2">
      <c r="A393" s="275"/>
      <c r="B393" s="78"/>
      <c r="C393" s="189"/>
      <c r="D393" s="185"/>
      <c r="E393" s="186"/>
      <c r="F393" s="187"/>
    </row>
    <row r="394" spans="1:6" x14ac:dyDescent="0.2">
      <c r="A394" s="275"/>
      <c r="B394" s="78"/>
      <c r="C394" s="189"/>
      <c r="D394" s="185"/>
      <c r="E394" s="186"/>
      <c r="F394" s="187"/>
    </row>
    <row r="395" spans="1:6" x14ac:dyDescent="0.2">
      <c r="A395" s="275"/>
      <c r="B395" s="78"/>
      <c r="C395" s="189"/>
      <c r="D395" s="185"/>
      <c r="E395" s="186"/>
      <c r="F395" s="187"/>
    </row>
    <row r="396" spans="1:6" x14ac:dyDescent="0.2">
      <c r="A396" s="275"/>
      <c r="B396" s="78"/>
      <c r="C396" s="189"/>
      <c r="D396" s="185"/>
      <c r="E396" s="186"/>
      <c r="F396" s="187"/>
    </row>
    <row r="397" spans="1:6" x14ac:dyDescent="0.2">
      <c r="A397" s="275"/>
      <c r="B397" s="78"/>
      <c r="C397" s="189"/>
      <c r="D397" s="185"/>
      <c r="E397" s="186"/>
      <c r="F397" s="187"/>
    </row>
    <row r="398" spans="1:6" x14ac:dyDescent="0.2">
      <c r="A398" s="275"/>
      <c r="B398" s="78"/>
      <c r="C398" s="189"/>
      <c r="D398" s="185"/>
      <c r="E398" s="186"/>
      <c r="F398" s="187"/>
    </row>
    <row r="399" spans="1:6" x14ac:dyDescent="0.2">
      <c r="A399" s="275"/>
      <c r="B399" s="78"/>
      <c r="C399" s="189"/>
      <c r="D399" s="185"/>
      <c r="E399" s="186"/>
      <c r="F399" s="187"/>
    </row>
    <row r="400" spans="1:6" x14ac:dyDescent="0.2">
      <c r="A400" s="275"/>
      <c r="B400" s="78"/>
      <c r="C400" s="189"/>
      <c r="D400" s="185"/>
      <c r="E400" s="186"/>
      <c r="F400" s="187"/>
    </row>
    <row r="401" spans="1:6" x14ac:dyDescent="0.2">
      <c r="A401" s="275"/>
      <c r="B401" s="78"/>
      <c r="C401" s="189"/>
      <c r="D401" s="185"/>
      <c r="E401" s="186"/>
      <c r="F401" s="187"/>
    </row>
    <row r="402" spans="1:6" x14ac:dyDescent="0.2">
      <c r="A402" s="275"/>
      <c r="B402" s="78"/>
      <c r="C402" s="189"/>
      <c r="D402" s="185"/>
      <c r="E402" s="186"/>
      <c r="F402" s="187"/>
    </row>
    <row r="403" spans="1:6" x14ac:dyDescent="0.2">
      <c r="A403" s="275"/>
      <c r="B403" s="78"/>
      <c r="C403" s="189"/>
      <c r="D403" s="185"/>
      <c r="E403" s="186"/>
      <c r="F403" s="187"/>
    </row>
    <row r="404" spans="1:6" x14ac:dyDescent="0.2">
      <c r="A404" s="275"/>
      <c r="B404" s="78"/>
      <c r="C404" s="189"/>
      <c r="D404" s="185"/>
      <c r="E404" s="186"/>
      <c r="F404" s="187"/>
    </row>
    <row r="405" spans="1:6" x14ac:dyDescent="0.2">
      <c r="A405" s="275"/>
      <c r="B405" s="78"/>
      <c r="C405" s="189"/>
      <c r="D405" s="185"/>
      <c r="E405" s="186"/>
      <c r="F405" s="187"/>
    </row>
    <row r="406" spans="1:6" x14ac:dyDescent="0.2">
      <c r="A406" s="275"/>
      <c r="B406" s="78"/>
      <c r="C406" s="189"/>
      <c r="D406" s="185"/>
      <c r="E406" s="186"/>
      <c r="F406" s="187"/>
    </row>
    <row r="407" spans="1:6" x14ac:dyDescent="0.2">
      <c r="A407" s="275"/>
      <c r="B407" s="78"/>
      <c r="C407" s="189"/>
      <c r="D407" s="185"/>
      <c r="E407" s="186"/>
      <c r="F407" s="187"/>
    </row>
    <row r="408" spans="1:6" x14ac:dyDescent="0.2">
      <c r="A408" s="275"/>
      <c r="B408" s="78"/>
      <c r="C408" s="189"/>
      <c r="D408" s="185"/>
      <c r="E408" s="186"/>
      <c r="F408" s="187"/>
    </row>
    <row r="409" spans="1:6" x14ac:dyDescent="0.2">
      <c r="A409" s="275"/>
      <c r="B409" s="78"/>
      <c r="C409" s="189"/>
      <c r="D409" s="185"/>
      <c r="E409" s="186"/>
      <c r="F409" s="187"/>
    </row>
    <row r="410" spans="1:6" x14ac:dyDescent="0.2">
      <c r="A410" s="275"/>
      <c r="B410" s="78"/>
      <c r="C410" s="189"/>
      <c r="D410" s="185"/>
      <c r="E410" s="186"/>
      <c r="F410" s="187"/>
    </row>
    <row r="411" spans="1:6" x14ac:dyDescent="0.2">
      <c r="A411" s="275"/>
      <c r="B411" s="78"/>
      <c r="C411" s="189"/>
      <c r="D411" s="185"/>
      <c r="E411" s="186"/>
      <c r="F411" s="187"/>
    </row>
    <row r="412" spans="1:6" x14ac:dyDescent="0.2">
      <c r="A412" s="275"/>
      <c r="B412" s="78"/>
      <c r="C412" s="189"/>
      <c r="D412" s="185"/>
      <c r="E412" s="186"/>
      <c r="F412" s="187"/>
    </row>
    <row r="413" spans="1:6" x14ac:dyDescent="0.2">
      <c r="A413" s="275"/>
      <c r="B413" s="78"/>
      <c r="C413" s="189"/>
      <c r="D413" s="185"/>
      <c r="E413" s="186"/>
      <c r="F413" s="187"/>
    </row>
    <row r="414" spans="1:6" x14ac:dyDescent="0.2">
      <c r="A414" s="275"/>
      <c r="B414" s="78"/>
      <c r="C414" s="189"/>
      <c r="D414" s="185"/>
      <c r="E414" s="186"/>
      <c r="F414" s="187"/>
    </row>
    <row r="415" spans="1:6" x14ac:dyDescent="0.2">
      <c r="A415" s="275"/>
      <c r="B415" s="78"/>
      <c r="C415" s="189"/>
      <c r="D415" s="185"/>
      <c r="E415" s="186"/>
      <c r="F415" s="187"/>
    </row>
    <row r="416" spans="1:6" x14ac:dyDescent="0.2">
      <c r="A416" s="275"/>
      <c r="B416" s="78"/>
      <c r="C416" s="189"/>
      <c r="D416" s="185"/>
      <c r="E416" s="186"/>
      <c r="F416" s="187"/>
    </row>
    <row r="417" spans="1:6" x14ac:dyDescent="0.2">
      <c r="A417" s="275"/>
      <c r="B417" s="78"/>
      <c r="C417" s="189"/>
      <c r="D417" s="185"/>
      <c r="E417" s="186"/>
      <c r="F417" s="187"/>
    </row>
    <row r="418" spans="1:6" x14ac:dyDescent="0.2">
      <c r="A418" s="275"/>
      <c r="B418" s="78"/>
      <c r="C418" s="189"/>
      <c r="D418" s="185"/>
      <c r="E418" s="186"/>
      <c r="F418" s="187"/>
    </row>
    <row r="419" spans="1:6" x14ac:dyDescent="0.2">
      <c r="A419" s="275"/>
      <c r="B419" s="78"/>
      <c r="C419" s="189"/>
      <c r="D419" s="185"/>
      <c r="E419" s="186"/>
      <c r="F419" s="187"/>
    </row>
    <row r="420" spans="1:6" x14ac:dyDescent="0.2">
      <c r="A420" s="275"/>
      <c r="B420" s="78"/>
      <c r="C420" s="189"/>
      <c r="D420" s="185"/>
      <c r="E420" s="186"/>
      <c r="F420" s="187"/>
    </row>
    <row r="421" spans="1:6" x14ac:dyDescent="0.2">
      <c r="A421" s="275"/>
      <c r="B421" s="78"/>
      <c r="C421" s="189"/>
      <c r="D421" s="185"/>
      <c r="E421" s="186"/>
      <c r="F421" s="187"/>
    </row>
    <row r="422" spans="1:6" x14ac:dyDescent="0.2">
      <c r="A422" s="275"/>
      <c r="B422" s="78"/>
      <c r="C422" s="189"/>
      <c r="D422" s="185"/>
      <c r="E422" s="186"/>
      <c r="F422" s="187"/>
    </row>
    <row r="423" spans="1:6" x14ac:dyDescent="0.2">
      <c r="A423" s="275"/>
      <c r="B423" s="78"/>
      <c r="C423" s="189"/>
      <c r="D423" s="185"/>
      <c r="E423" s="186"/>
      <c r="F423" s="187"/>
    </row>
    <row r="424" spans="1:6" x14ac:dyDescent="0.2">
      <c r="A424" s="275"/>
      <c r="B424" s="78"/>
      <c r="C424" s="189"/>
      <c r="D424" s="185"/>
      <c r="E424" s="186"/>
      <c r="F424" s="187"/>
    </row>
    <row r="425" spans="1:6" x14ac:dyDescent="0.2">
      <c r="A425" s="275"/>
      <c r="B425" s="78"/>
      <c r="C425" s="189"/>
      <c r="D425" s="185"/>
      <c r="E425" s="186"/>
      <c r="F425" s="187"/>
    </row>
    <row r="426" spans="1:6" x14ac:dyDescent="0.2">
      <c r="A426" s="275"/>
      <c r="B426" s="78"/>
      <c r="C426" s="189"/>
      <c r="D426" s="185"/>
      <c r="E426" s="186"/>
      <c r="F426" s="187"/>
    </row>
    <row r="427" spans="1:6" x14ac:dyDescent="0.2">
      <c r="A427" s="275"/>
      <c r="B427" s="78"/>
      <c r="C427" s="189"/>
      <c r="D427" s="185"/>
      <c r="E427" s="186"/>
      <c r="F427" s="187"/>
    </row>
    <row r="428" spans="1:6" x14ac:dyDescent="0.2">
      <c r="A428" s="275"/>
      <c r="B428" s="78"/>
      <c r="C428" s="189"/>
      <c r="D428" s="185"/>
      <c r="E428" s="186"/>
      <c r="F428" s="187"/>
    </row>
    <row r="429" spans="1:6" x14ac:dyDescent="0.2">
      <c r="A429" s="275"/>
      <c r="B429" s="78"/>
      <c r="C429" s="189"/>
      <c r="D429" s="185"/>
      <c r="E429" s="186"/>
      <c r="F429" s="187"/>
    </row>
    <row r="430" spans="1:6" x14ac:dyDescent="0.2">
      <c r="A430" s="275"/>
      <c r="B430" s="78"/>
      <c r="C430" s="189"/>
      <c r="D430" s="185"/>
      <c r="E430" s="186"/>
      <c r="F430" s="187"/>
    </row>
    <row r="431" spans="1:6" x14ac:dyDescent="0.2">
      <c r="A431" s="275"/>
      <c r="B431" s="78"/>
      <c r="C431" s="189"/>
      <c r="D431" s="185"/>
      <c r="E431" s="186"/>
      <c r="F431" s="187"/>
    </row>
    <row r="432" spans="1:6" x14ac:dyDescent="0.2">
      <c r="A432" s="275"/>
      <c r="B432" s="78"/>
      <c r="C432" s="189"/>
      <c r="D432" s="185"/>
      <c r="E432" s="186"/>
      <c r="F432" s="187"/>
    </row>
    <row r="433" spans="1:6" x14ac:dyDescent="0.2">
      <c r="A433" s="275"/>
      <c r="B433" s="78"/>
      <c r="C433" s="189"/>
      <c r="D433" s="185"/>
      <c r="E433" s="186"/>
      <c r="F433" s="187"/>
    </row>
    <row r="434" spans="1:6" x14ac:dyDescent="0.2">
      <c r="A434" s="275"/>
      <c r="B434" s="78"/>
      <c r="C434" s="189"/>
      <c r="D434" s="185"/>
      <c r="E434" s="186"/>
      <c r="F434" s="187"/>
    </row>
    <row r="435" spans="1:6" x14ac:dyDescent="0.2">
      <c r="A435" s="275"/>
      <c r="B435" s="78"/>
      <c r="C435" s="189"/>
      <c r="D435" s="185"/>
      <c r="E435" s="186"/>
      <c r="F435" s="187"/>
    </row>
    <row r="436" spans="1:6" x14ac:dyDescent="0.2">
      <c r="A436" s="275"/>
      <c r="B436" s="78"/>
      <c r="C436" s="189"/>
      <c r="D436" s="185"/>
      <c r="E436" s="186"/>
      <c r="F436" s="187"/>
    </row>
    <row r="437" spans="1:6" x14ac:dyDescent="0.2">
      <c r="A437" s="275"/>
      <c r="B437" s="78"/>
      <c r="C437" s="189"/>
      <c r="D437" s="185"/>
      <c r="E437" s="186"/>
      <c r="F437" s="187"/>
    </row>
    <row r="438" spans="1:6" x14ac:dyDescent="0.2">
      <c r="A438" s="275"/>
      <c r="B438" s="78"/>
      <c r="C438" s="189"/>
      <c r="D438" s="185"/>
      <c r="E438" s="186"/>
      <c r="F438" s="187"/>
    </row>
    <row r="439" spans="1:6" x14ac:dyDescent="0.2">
      <c r="A439" s="275"/>
      <c r="B439" s="78"/>
      <c r="C439" s="189"/>
      <c r="D439" s="185"/>
      <c r="E439" s="186"/>
      <c r="F439" s="187"/>
    </row>
    <row r="440" spans="1:6" x14ac:dyDescent="0.2">
      <c r="A440" s="275"/>
      <c r="B440" s="78"/>
      <c r="C440" s="189"/>
      <c r="D440" s="185"/>
      <c r="E440" s="186"/>
      <c r="F440" s="187"/>
    </row>
    <row r="441" spans="1:6" x14ac:dyDescent="0.2">
      <c r="A441" s="275"/>
      <c r="B441" s="78"/>
      <c r="C441" s="189"/>
      <c r="D441" s="185"/>
      <c r="E441" s="186"/>
      <c r="F441" s="187"/>
    </row>
    <row r="442" spans="1:6" x14ac:dyDescent="0.2">
      <c r="A442" s="275"/>
      <c r="B442" s="78"/>
      <c r="C442" s="189"/>
      <c r="D442" s="185"/>
      <c r="E442" s="186"/>
      <c r="F442" s="187"/>
    </row>
    <row r="443" spans="1:6" x14ac:dyDescent="0.2">
      <c r="A443" s="275"/>
      <c r="B443" s="78"/>
      <c r="C443" s="189"/>
      <c r="D443" s="185"/>
      <c r="E443" s="186"/>
      <c r="F443" s="187"/>
    </row>
    <row r="444" spans="1:6" x14ac:dyDescent="0.2">
      <c r="A444" s="275"/>
      <c r="B444" s="78"/>
      <c r="C444" s="189"/>
      <c r="D444" s="185"/>
      <c r="E444" s="186"/>
      <c r="F444" s="187"/>
    </row>
    <row r="445" spans="1:6" x14ac:dyDescent="0.2">
      <c r="A445" s="275"/>
      <c r="B445" s="78"/>
      <c r="C445" s="189"/>
      <c r="D445" s="185"/>
      <c r="E445" s="186"/>
      <c r="F445" s="187"/>
    </row>
    <row r="446" spans="1:6" x14ac:dyDescent="0.2">
      <c r="A446" s="275"/>
      <c r="B446" s="78"/>
      <c r="C446" s="189"/>
      <c r="D446" s="185"/>
      <c r="E446" s="186"/>
      <c r="F446" s="187"/>
    </row>
    <row r="447" spans="1:6" x14ac:dyDescent="0.2">
      <c r="A447" s="275"/>
      <c r="B447" s="78"/>
      <c r="C447" s="189"/>
      <c r="D447" s="185"/>
      <c r="E447" s="186"/>
      <c r="F447" s="187"/>
    </row>
    <row r="448" spans="1:6" x14ac:dyDescent="0.2">
      <c r="A448" s="275"/>
      <c r="B448" s="78"/>
      <c r="C448" s="189"/>
      <c r="D448" s="185"/>
      <c r="E448" s="186"/>
      <c r="F448" s="187"/>
    </row>
    <row r="449" spans="1:6" x14ac:dyDescent="0.2">
      <c r="A449" s="275"/>
      <c r="B449" s="78"/>
      <c r="C449" s="189"/>
      <c r="D449" s="185"/>
      <c r="E449" s="186"/>
      <c r="F449" s="187"/>
    </row>
    <row r="450" spans="1:6" x14ac:dyDescent="0.2">
      <c r="A450" s="275"/>
      <c r="B450" s="78"/>
      <c r="C450" s="189"/>
      <c r="D450" s="185"/>
      <c r="E450" s="186"/>
      <c r="F450" s="187"/>
    </row>
    <row r="451" spans="1:6" x14ac:dyDescent="0.2">
      <c r="A451" s="275"/>
      <c r="B451" s="78"/>
      <c r="C451" s="189"/>
      <c r="D451" s="185"/>
      <c r="E451" s="186"/>
      <c r="F451" s="187"/>
    </row>
    <row r="452" spans="1:6" x14ac:dyDescent="0.2">
      <c r="A452" s="275"/>
      <c r="B452" s="78"/>
      <c r="C452" s="189"/>
      <c r="D452" s="185"/>
      <c r="E452" s="186"/>
      <c r="F452" s="187"/>
    </row>
    <row r="453" spans="1:6" x14ac:dyDescent="0.2">
      <c r="A453" s="275"/>
      <c r="B453" s="78"/>
      <c r="C453" s="189"/>
      <c r="D453" s="185"/>
      <c r="E453" s="186"/>
      <c r="F453" s="187"/>
    </row>
    <row r="454" spans="1:6" x14ac:dyDescent="0.2">
      <c r="A454" s="275"/>
      <c r="B454" s="78"/>
      <c r="C454" s="189"/>
      <c r="D454" s="185"/>
      <c r="E454" s="186"/>
      <c r="F454" s="187"/>
    </row>
    <row r="455" spans="1:6" x14ac:dyDescent="0.2">
      <c r="A455" s="275"/>
      <c r="B455" s="78"/>
      <c r="C455" s="189"/>
      <c r="D455" s="185"/>
      <c r="E455" s="186"/>
      <c r="F455" s="187"/>
    </row>
    <row r="456" spans="1:6" x14ac:dyDescent="0.2">
      <c r="A456" s="275"/>
      <c r="B456" s="78"/>
      <c r="C456" s="189"/>
      <c r="D456" s="185"/>
      <c r="E456" s="186"/>
      <c r="F456" s="187"/>
    </row>
    <row r="457" spans="1:6" x14ac:dyDescent="0.2">
      <c r="A457" s="275"/>
      <c r="B457" s="78"/>
      <c r="C457" s="189"/>
      <c r="D457" s="185"/>
      <c r="E457" s="186"/>
      <c r="F457" s="187"/>
    </row>
    <row r="458" spans="1:6" x14ac:dyDescent="0.2">
      <c r="A458" s="275"/>
      <c r="B458" s="78"/>
      <c r="C458" s="189"/>
      <c r="D458" s="185"/>
      <c r="E458" s="186"/>
      <c r="F458" s="187"/>
    </row>
    <row r="459" spans="1:6" x14ac:dyDescent="0.2">
      <c r="A459" s="275"/>
      <c r="B459" s="78"/>
      <c r="C459" s="189"/>
      <c r="D459" s="185"/>
      <c r="E459" s="186"/>
      <c r="F459" s="187"/>
    </row>
    <row r="460" spans="1:6" x14ac:dyDescent="0.2">
      <c r="A460" s="275"/>
      <c r="B460" s="78"/>
      <c r="C460" s="189"/>
      <c r="D460" s="185"/>
      <c r="E460" s="186"/>
      <c r="F460" s="187"/>
    </row>
    <row r="461" spans="1:6" x14ac:dyDescent="0.2">
      <c r="A461" s="275"/>
      <c r="B461" s="78"/>
      <c r="C461" s="189"/>
      <c r="D461" s="185"/>
      <c r="E461" s="186"/>
      <c r="F461" s="187"/>
    </row>
    <row r="462" spans="1:6" x14ac:dyDescent="0.2">
      <c r="A462" s="275"/>
      <c r="B462" s="78"/>
      <c r="C462" s="189"/>
      <c r="D462" s="185"/>
      <c r="E462" s="186"/>
      <c r="F462" s="187"/>
    </row>
    <row r="463" spans="1:6" x14ac:dyDescent="0.2">
      <c r="A463" s="275"/>
      <c r="B463" s="78"/>
      <c r="C463" s="189"/>
      <c r="D463" s="185"/>
      <c r="E463" s="186"/>
      <c r="F463" s="187"/>
    </row>
    <row r="464" spans="1:6" x14ac:dyDescent="0.2">
      <c r="A464" s="275"/>
      <c r="B464" s="78"/>
      <c r="C464" s="189"/>
      <c r="D464" s="185"/>
      <c r="E464" s="186"/>
      <c r="F464" s="187"/>
    </row>
    <row r="465" spans="1:6" x14ac:dyDescent="0.2">
      <c r="A465" s="275"/>
      <c r="B465" s="78"/>
      <c r="C465" s="189"/>
      <c r="D465" s="185"/>
      <c r="E465" s="186"/>
      <c r="F465" s="187"/>
    </row>
    <row r="466" spans="1:6" x14ac:dyDescent="0.2">
      <c r="A466" s="275"/>
      <c r="B466" s="78"/>
      <c r="C466" s="189"/>
      <c r="D466" s="185"/>
      <c r="E466" s="186"/>
      <c r="F466" s="187"/>
    </row>
    <row r="467" spans="1:6" x14ac:dyDescent="0.2">
      <c r="A467" s="275"/>
      <c r="B467" s="78"/>
      <c r="C467" s="189"/>
      <c r="D467" s="185"/>
      <c r="E467" s="186"/>
      <c r="F467" s="187"/>
    </row>
    <row r="468" spans="1:6" x14ac:dyDescent="0.2">
      <c r="A468" s="275"/>
      <c r="B468" s="78"/>
      <c r="C468" s="189"/>
      <c r="D468" s="185"/>
      <c r="E468" s="186"/>
      <c r="F468" s="187"/>
    </row>
    <row r="469" spans="1:6" x14ac:dyDescent="0.2">
      <c r="A469" s="275"/>
      <c r="B469" s="78"/>
      <c r="C469" s="189"/>
      <c r="D469" s="185"/>
      <c r="E469" s="186"/>
      <c r="F469" s="187"/>
    </row>
    <row r="470" spans="1:6" x14ac:dyDescent="0.2">
      <c r="A470" s="275"/>
      <c r="B470" s="78"/>
      <c r="C470" s="189"/>
      <c r="D470" s="185"/>
      <c r="E470" s="186"/>
      <c r="F470" s="187"/>
    </row>
    <row r="471" spans="1:6" x14ac:dyDescent="0.2">
      <c r="A471" s="275"/>
      <c r="B471" s="78"/>
      <c r="C471" s="189"/>
      <c r="D471" s="185"/>
      <c r="E471" s="186"/>
      <c r="F471" s="187"/>
    </row>
    <row r="472" spans="1:6" x14ac:dyDescent="0.2">
      <c r="A472" s="275"/>
      <c r="B472" s="78"/>
      <c r="C472" s="189"/>
      <c r="D472" s="185"/>
      <c r="E472" s="186"/>
      <c r="F472" s="187"/>
    </row>
    <row r="473" spans="1:6" x14ac:dyDescent="0.2">
      <c r="A473" s="275"/>
      <c r="B473" s="78"/>
      <c r="C473" s="189"/>
      <c r="D473" s="185"/>
      <c r="E473" s="186"/>
      <c r="F473" s="187"/>
    </row>
    <row r="474" spans="1:6" x14ac:dyDescent="0.2">
      <c r="A474" s="275"/>
      <c r="B474" s="78"/>
      <c r="C474" s="189"/>
      <c r="D474" s="185"/>
      <c r="E474" s="186"/>
      <c r="F474" s="187"/>
    </row>
    <row r="475" spans="1:6" x14ac:dyDescent="0.2">
      <c r="A475" s="275"/>
      <c r="B475" s="78"/>
      <c r="C475" s="189"/>
      <c r="D475" s="185"/>
      <c r="E475" s="186"/>
      <c r="F475" s="187"/>
    </row>
    <row r="476" spans="1:6" x14ac:dyDescent="0.2">
      <c r="A476" s="275"/>
      <c r="B476" s="78"/>
      <c r="C476" s="189"/>
      <c r="D476" s="185"/>
      <c r="E476" s="186"/>
      <c r="F476" s="187"/>
    </row>
    <row r="477" spans="1:6" x14ac:dyDescent="0.2">
      <c r="A477" s="275"/>
      <c r="B477" s="78"/>
      <c r="C477" s="189"/>
      <c r="D477" s="185"/>
      <c r="E477" s="186"/>
      <c r="F477" s="187"/>
    </row>
    <row r="478" spans="1:6" x14ac:dyDescent="0.2">
      <c r="A478" s="275"/>
      <c r="B478" s="78"/>
      <c r="C478" s="189"/>
      <c r="D478" s="185"/>
      <c r="E478" s="186"/>
      <c r="F478" s="187"/>
    </row>
    <row r="479" spans="1:6" x14ac:dyDescent="0.2">
      <c r="A479" s="275"/>
      <c r="B479" s="78"/>
      <c r="C479" s="189"/>
      <c r="D479" s="185"/>
      <c r="E479" s="186"/>
      <c r="F479" s="187"/>
    </row>
    <row r="480" spans="1:6" x14ac:dyDescent="0.2">
      <c r="A480" s="275"/>
      <c r="B480" s="78"/>
      <c r="C480" s="189"/>
      <c r="D480" s="185"/>
      <c r="E480" s="186"/>
      <c r="F480" s="187"/>
    </row>
    <row r="481" spans="1:6" x14ac:dyDescent="0.2">
      <c r="A481" s="275"/>
      <c r="B481" s="78"/>
      <c r="C481" s="189"/>
      <c r="D481" s="185"/>
      <c r="E481" s="186"/>
      <c r="F481" s="187"/>
    </row>
    <row r="482" spans="1:6" x14ac:dyDescent="0.2">
      <c r="A482" s="275"/>
      <c r="B482" s="78"/>
      <c r="C482" s="189"/>
      <c r="D482" s="185"/>
      <c r="E482" s="186"/>
      <c r="F482" s="187"/>
    </row>
    <row r="483" spans="1:6" x14ac:dyDescent="0.2">
      <c r="A483" s="275"/>
      <c r="B483" s="78"/>
      <c r="C483" s="189"/>
      <c r="D483" s="185"/>
      <c r="E483" s="186"/>
      <c r="F483" s="187"/>
    </row>
    <row r="484" spans="1:6" x14ac:dyDescent="0.2">
      <c r="A484" s="275"/>
      <c r="B484" s="78"/>
      <c r="C484" s="189"/>
      <c r="D484" s="185"/>
      <c r="E484" s="186"/>
      <c r="F484" s="187"/>
    </row>
    <row r="485" spans="1:6" x14ac:dyDescent="0.2">
      <c r="A485" s="275"/>
      <c r="B485" s="78"/>
      <c r="C485" s="189"/>
      <c r="D485" s="185"/>
      <c r="E485" s="186"/>
      <c r="F485" s="187"/>
    </row>
    <row r="486" spans="1:6" x14ac:dyDescent="0.2">
      <c r="A486" s="275"/>
      <c r="B486" s="78"/>
      <c r="C486" s="189"/>
      <c r="D486" s="185"/>
      <c r="E486" s="186"/>
      <c r="F486" s="187"/>
    </row>
    <row r="487" spans="1:6" x14ac:dyDescent="0.2">
      <c r="A487" s="275"/>
      <c r="B487" s="78"/>
      <c r="C487" s="189"/>
      <c r="D487" s="185"/>
      <c r="E487" s="186"/>
      <c r="F487" s="187"/>
    </row>
    <row r="488" spans="1:6" x14ac:dyDescent="0.2">
      <c r="A488" s="275"/>
      <c r="B488" s="78"/>
      <c r="C488" s="189"/>
      <c r="D488" s="185"/>
      <c r="E488" s="186"/>
      <c r="F488" s="187"/>
    </row>
    <row r="489" spans="1:6" x14ac:dyDescent="0.2">
      <c r="A489" s="275"/>
      <c r="B489" s="78"/>
      <c r="C489" s="189"/>
      <c r="D489" s="185"/>
      <c r="E489" s="186"/>
      <c r="F489" s="187"/>
    </row>
    <row r="490" spans="1:6" x14ac:dyDescent="0.2">
      <c r="A490" s="275"/>
      <c r="B490" s="78"/>
      <c r="C490" s="189"/>
      <c r="D490" s="185"/>
      <c r="E490" s="186"/>
      <c r="F490" s="187"/>
    </row>
    <row r="491" spans="1:6" x14ac:dyDescent="0.2">
      <c r="A491" s="275"/>
      <c r="B491" s="78"/>
      <c r="C491" s="189"/>
      <c r="D491" s="185"/>
      <c r="E491" s="186"/>
      <c r="F491" s="187"/>
    </row>
    <row r="492" spans="1:6" x14ac:dyDescent="0.2">
      <c r="A492" s="275"/>
      <c r="B492" s="78"/>
      <c r="C492" s="189"/>
      <c r="D492" s="185"/>
      <c r="E492" s="186"/>
      <c r="F492" s="187"/>
    </row>
    <row r="493" spans="1:6" x14ac:dyDescent="0.2">
      <c r="A493" s="275"/>
      <c r="B493" s="78"/>
      <c r="C493" s="189"/>
      <c r="D493" s="185"/>
      <c r="E493" s="186"/>
      <c r="F493" s="187"/>
    </row>
    <row r="494" spans="1:6" x14ac:dyDescent="0.2">
      <c r="A494" s="275"/>
      <c r="B494" s="78"/>
      <c r="C494" s="189"/>
      <c r="D494" s="185"/>
      <c r="E494" s="186"/>
      <c r="F494" s="187"/>
    </row>
    <row r="495" spans="1:6" x14ac:dyDescent="0.2">
      <c r="A495" s="275"/>
      <c r="B495" s="78"/>
      <c r="C495" s="189"/>
      <c r="D495" s="185"/>
      <c r="E495" s="186"/>
      <c r="F495" s="187"/>
    </row>
    <row r="496" spans="1:6" x14ac:dyDescent="0.2">
      <c r="A496" s="275"/>
      <c r="B496" s="78"/>
      <c r="C496" s="189"/>
      <c r="D496" s="185"/>
      <c r="E496" s="186"/>
      <c r="F496" s="187"/>
    </row>
    <row r="497" spans="1:6" x14ac:dyDescent="0.2">
      <c r="A497" s="275"/>
      <c r="B497" s="78"/>
      <c r="C497" s="189"/>
      <c r="D497" s="185"/>
      <c r="E497" s="186"/>
      <c r="F497" s="187"/>
    </row>
    <row r="498" spans="1:6" x14ac:dyDescent="0.2">
      <c r="A498" s="275"/>
      <c r="B498" s="78"/>
      <c r="C498" s="189"/>
      <c r="D498" s="185"/>
      <c r="E498" s="186"/>
      <c r="F498" s="187"/>
    </row>
    <row r="499" spans="1:6" x14ac:dyDescent="0.2">
      <c r="A499" s="275"/>
      <c r="B499" s="78"/>
      <c r="C499" s="189"/>
      <c r="D499" s="185"/>
      <c r="E499" s="186"/>
      <c r="F499" s="187"/>
    </row>
    <row r="500" spans="1:6" x14ac:dyDescent="0.2">
      <c r="A500" s="275"/>
      <c r="B500" s="78"/>
      <c r="C500" s="189"/>
      <c r="D500" s="185"/>
      <c r="E500" s="186"/>
      <c r="F500" s="187"/>
    </row>
    <row r="501" spans="1:6" x14ac:dyDescent="0.2">
      <c r="A501" s="275"/>
      <c r="B501" s="78"/>
      <c r="C501" s="189"/>
      <c r="D501" s="185"/>
      <c r="E501" s="186"/>
      <c r="F501" s="187"/>
    </row>
    <row r="502" spans="1:6" x14ac:dyDescent="0.2">
      <c r="A502" s="275"/>
      <c r="B502" s="78"/>
      <c r="C502" s="189"/>
      <c r="D502" s="185"/>
      <c r="E502" s="186"/>
      <c r="F502" s="187"/>
    </row>
    <row r="503" spans="1:6" x14ac:dyDescent="0.2">
      <c r="A503" s="275"/>
      <c r="B503" s="78"/>
      <c r="C503" s="189"/>
      <c r="D503" s="185"/>
      <c r="E503" s="186"/>
      <c r="F503" s="187"/>
    </row>
    <row r="504" spans="1:6" x14ac:dyDescent="0.2">
      <c r="A504" s="275"/>
      <c r="B504" s="78"/>
      <c r="C504" s="189"/>
      <c r="D504" s="185"/>
      <c r="E504" s="186"/>
      <c r="F504" s="187"/>
    </row>
    <row r="505" spans="1:6" x14ac:dyDescent="0.2">
      <c r="A505" s="275"/>
      <c r="B505" s="78"/>
      <c r="C505" s="189"/>
      <c r="D505" s="185"/>
      <c r="E505" s="186"/>
      <c r="F505" s="187"/>
    </row>
    <row r="506" spans="1:6" x14ac:dyDescent="0.2">
      <c r="A506" s="275"/>
      <c r="B506" s="78"/>
      <c r="C506" s="189"/>
      <c r="D506" s="185"/>
      <c r="E506" s="186"/>
      <c r="F506" s="187"/>
    </row>
    <row r="507" spans="1:6" x14ac:dyDescent="0.2">
      <c r="A507" s="275"/>
      <c r="B507" s="78"/>
      <c r="C507" s="189"/>
      <c r="D507" s="185"/>
      <c r="E507" s="186"/>
      <c r="F507" s="187"/>
    </row>
    <row r="508" spans="1:6" x14ac:dyDescent="0.2">
      <c r="A508" s="275"/>
      <c r="B508" s="78"/>
      <c r="C508" s="189"/>
      <c r="D508" s="185"/>
      <c r="E508" s="186"/>
      <c r="F508" s="187"/>
    </row>
    <row r="509" spans="1:6" x14ac:dyDescent="0.2">
      <c r="A509" s="275"/>
      <c r="B509" s="78"/>
      <c r="C509" s="189"/>
      <c r="D509" s="185"/>
      <c r="E509" s="186"/>
      <c r="F509" s="187"/>
    </row>
    <row r="510" spans="1:6" x14ac:dyDescent="0.2">
      <c r="A510" s="275"/>
      <c r="B510" s="78"/>
      <c r="C510" s="189"/>
      <c r="D510" s="185"/>
      <c r="E510" s="186"/>
      <c r="F510" s="187"/>
    </row>
    <row r="511" spans="1:6" x14ac:dyDescent="0.2">
      <c r="A511" s="275"/>
      <c r="B511" s="78"/>
      <c r="C511" s="189"/>
      <c r="D511" s="185"/>
      <c r="E511" s="186"/>
      <c r="F511" s="187"/>
    </row>
    <row r="512" spans="1:6" x14ac:dyDescent="0.2">
      <c r="A512" s="275"/>
      <c r="B512" s="78"/>
      <c r="C512" s="189"/>
      <c r="D512" s="185"/>
      <c r="E512" s="186"/>
      <c r="F512" s="187"/>
    </row>
    <row r="513" spans="1:6" x14ac:dyDescent="0.2">
      <c r="A513" s="275"/>
      <c r="B513" s="78"/>
      <c r="C513" s="189"/>
      <c r="D513" s="185"/>
      <c r="E513" s="186"/>
      <c r="F513" s="187"/>
    </row>
    <row r="514" spans="1:6" x14ac:dyDescent="0.2">
      <c r="A514" s="275"/>
      <c r="B514" s="78"/>
      <c r="C514" s="189"/>
      <c r="D514" s="185"/>
      <c r="E514" s="186"/>
      <c r="F514" s="187"/>
    </row>
    <row r="515" spans="1:6" x14ac:dyDescent="0.2">
      <c r="A515" s="275"/>
      <c r="B515" s="78"/>
      <c r="C515" s="189"/>
      <c r="D515" s="185"/>
      <c r="E515" s="186"/>
      <c r="F515" s="187"/>
    </row>
    <row r="516" spans="1:6" x14ac:dyDescent="0.2">
      <c r="A516" s="275"/>
      <c r="B516" s="78"/>
      <c r="C516" s="189"/>
      <c r="D516" s="185"/>
      <c r="E516" s="186"/>
      <c r="F516" s="187"/>
    </row>
    <row r="517" spans="1:6" x14ac:dyDescent="0.2">
      <c r="A517" s="275"/>
      <c r="B517" s="78"/>
      <c r="C517" s="189"/>
      <c r="D517" s="185"/>
      <c r="E517" s="186"/>
      <c r="F517" s="187"/>
    </row>
    <row r="518" spans="1:6" x14ac:dyDescent="0.2">
      <c r="A518" s="275"/>
      <c r="B518" s="78"/>
      <c r="C518" s="189"/>
      <c r="D518" s="185"/>
      <c r="E518" s="186"/>
      <c r="F518" s="187"/>
    </row>
    <row r="519" spans="1:6" x14ac:dyDescent="0.2">
      <c r="A519" s="275"/>
      <c r="B519" s="78"/>
      <c r="C519" s="189"/>
      <c r="D519" s="185"/>
      <c r="E519" s="186"/>
      <c r="F519" s="187"/>
    </row>
    <row r="520" spans="1:6" x14ac:dyDescent="0.2">
      <c r="A520" s="275"/>
      <c r="B520" s="78"/>
      <c r="C520" s="189"/>
      <c r="D520" s="185"/>
      <c r="E520" s="186"/>
      <c r="F520" s="187"/>
    </row>
    <row r="521" spans="1:6" x14ac:dyDescent="0.2">
      <c r="A521" s="275"/>
      <c r="B521" s="78"/>
      <c r="C521" s="189"/>
      <c r="D521" s="185"/>
      <c r="E521" s="186"/>
      <c r="F521" s="187"/>
    </row>
    <row r="522" spans="1:6" x14ac:dyDescent="0.2">
      <c r="A522" s="275"/>
      <c r="B522" s="78"/>
      <c r="C522" s="189"/>
      <c r="D522" s="185"/>
      <c r="E522" s="186"/>
      <c r="F522" s="187"/>
    </row>
    <row r="523" spans="1:6" x14ac:dyDescent="0.2">
      <c r="A523" s="275"/>
      <c r="B523" s="78"/>
      <c r="C523" s="189"/>
      <c r="D523" s="185"/>
      <c r="E523" s="186"/>
      <c r="F523" s="187"/>
    </row>
    <row r="524" spans="1:6" x14ac:dyDescent="0.2">
      <c r="A524" s="275"/>
      <c r="B524" s="78"/>
      <c r="C524" s="189"/>
      <c r="D524" s="185"/>
      <c r="E524" s="186"/>
      <c r="F524" s="187"/>
    </row>
    <row r="525" spans="1:6" x14ac:dyDescent="0.2">
      <c r="A525" s="275"/>
      <c r="B525" s="78"/>
      <c r="C525" s="189"/>
      <c r="D525" s="185"/>
      <c r="E525" s="186"/>
      <c r="F525" s="187"/>
    </row>
    <row r="526" spans="1:6" x14ac:dyDescent="0.2">
      <c r="A526" s="275"/>
      <c r="B526" s="78"/>
      <c r="C526" s="189"/>
      <c r="D526" s="185"/>
      <c r="E526" s="186"/>
      <c r="F526" s="187"/>
    </row>
    <row r="527" spans="1:6" x14ac:dyDescent="0.2">
      <c r="A527" s="275"/>
      <c r="B527" s="78"/>
      <c r="C527" s="189"/>
      <c r="D527" s="185"/>
      <c r="E527" s="186"/>
      <c r="F527" s="187"/>
    </row>
    <row r="528" spans="1:6" x14ac:dyDescent="0.2">
      <c r="A528" s="275"/>
      <c r="B528" s="78"/>
      <c r="C528" s="189"/>
      <c r="D528" s="185"/>
      <c r="E528" s="186"/>
      <c r="F528" s="187"/>
    </row>
    <row r="529" spans="1:6" x14ac:dyDescent="0.2">
      <c r="A529" s="275"/>
      <c r="B529" s="78"/>
      <c r="C529" s="189"/>
      <c r="D529" s="185"/>
      <c r="E529" s="186"/>
      <c r="F529" s="187"/>
    </row>
    <row r="530" spans="1:6" x14ac:dyDescent="0.2">
      <c r="A530" s="275"/>
      <c r="B530" s="78"/>
      <c r="C530" s="189"/>
      <c r="D530" s="185"/>
      <c r="E530" s="186"/>
      <c r="F530" s="187"/>
    </row>
    <row r="531" spans="1:6" x14ac:dyDescent="0.2">
      <c r="A531" s="275"/>
      <c r="B531" s="78"/>
      <c r="C531" s="189"/>
      <c r="D531" s="185"/>
      <c r="E531" s="186"/>
      <c r="F531" s="187"/>
    </row>
    <row r="532" spans="1:6" x14ac:dyDescent="0.2">
      <c r="A532" s="275"/>
      <c r="B532" s="78"/>
      <c r="C532" s="189"/>
      <c r="D532" s="185"/>
      <c r="E532" s="186"/>
      <c r="F532" s="187"/>
    </row>
    <row r="533" spans="1:6" x14ac:dyDescent="0.2">
      <c r="A533" s="275"/>
      <c r="B533" s="78"/>
      <c r="C533" s="189"/>
      <c r="D533" s="185"/>
      <c r="E533" s="186"/>
      <c r="F533" s="187"/>
    </row>
    <row r="534" spans="1:6" x14ac:dyDescent="0.2">
      <c r="A534" s="275"/>
      <c r="B534" s="78"/>
      <c r="C534" s="189"/>
      <c r="D534" s="185"/>
      <c r="E534" s="186"/>
      <c r="F534" s="187"/>
    </row>
    <row r="535" spans="1:6" x14ac:dyDescent="0.2">
      <c r="A535" s="275"/>
      <c r="B535" s="78"/>
      <c r="C535" s="189"/>
      <c r="D535" s="185"/>
      <c r="E535" s="186"/>
      <c r="F535" s="187"/>
    </row>
    <row r="536" spans="1:6" x14ac:dyDescent="0.2">
      <c r="A536" s="275"/>
      <c r="B536" s="78"/>
      <c r="C536" s="189"/>
      <c r="D536" s="185"/>
      <c r="E536" s="186"/>
      <c r="F536" s="187"/>
    </row>
    <row r="537" spans="1:6" x14ac:dyDescent="0.2">
      <c r="A537" s="275"/>
      <c r="B537" s="78"/>
      <c r="C537" s="189"/>
      <c r="D537" s="185"/>
      <c r="E537" s="186"/>
      <c r="F537" s="187"/>
    </row>
    <row r="538" spans="1:6" x14ac:dyDescent="0.2">
      <c r="A538" s="275"/>
      <c r="B538" s="78"/>
      <c r="C538" s="189"/>
      <c r="D538" s="185"/>
      <c r="E538" s="186"/>
      <c r="F538" s="187"/>
    </row>
    <row r="539" spans="1:6" x14ac:dyDescent="0.2">
      <c r="A539" s="275"/>
      <c r="B539" s="78"/>
      <c r="C539" s="189"/>
      <c r="D539" s="185"/>
      <c r="E539" s="186"/>
      <c r="F539" s="187"/>
    </row>
    <row r="540" spans="1:6" x14ac:dyDescent="0.2">
      <c r="A540" s="275"/>
      <c r="B540" s="78"/>
      <c r="C540" s="189"/>
      <c r="D540" s="185"/>
      <c r="E540" s="186"/>
      <c r="F540" s="187"/>
    </row>
    <row r="541" spans="1:6" x14ac:dyDescent="0.2">
      <c r="A541" s="275"/>
      <c r="B541" s="78"/>
      <c r="C541" s="189"/>
      <c r="D541" s="185"/>
      <c r="E541" s="186"/>
      <c r="F541" s="187"/>
    </row>
    <row r="542" spans="1:6" x14ac:dyDescent="0.2">
      <c r="A542" s="275"/>
      <c r="B542" s="78"/>
      <c r="C542" s="189"/>
      <c r="D542" s="185"/>
      <c r="E542" s="186"/>
      <c r="F542" s="187"/>
    </row>
    <row r="543" spans="1:6" x14ac:dyDescent="0.2">
      <c r="A543" s="275"/>
      <c r="B543" s="78"/>
      <c r="C543" s="189"/>
      <c r="D543" s="185"/>
      <c r="E543" s="186"/>
      <c r="F543" s="187"/>
    </row>
    <row r="544" spans="1:6" x14ac:dyDescent="0.2">
      <c r="A544" s="275"/>
      <c r="B544" s="78"/>
      <c r="C544" s="189"/>
      <c r="D544" s="185"/>
      <c r="E544" s="186"/>
      <c r="F544" s="187"/>
    </row>
    <row r="545" spans="1:6" x14ac:dyDescent="0.2">
      <c r="A545" s="275"/>
      <c r="B545" s="78"/>
      <c r="C545" s="189"/>
      <c r="D545" s="185"/>
      <c r="E545" s="186"/>
      <c r="F545" s="187"/>
    </row>
    <row r="546" spans="1:6" x14ac:dyDescent="0.2">
      <c r="A546" s="275"/>
      <c r="B546" s="78"/>
      <c r="C546" s="189"/>
      <c r="D546" s="185"/>
      <c r="E546" s="186"/>
      <c r="F546" s="187"/>
    </row>
    <row r="547" spans="1:6" x14ac:dyDescent="0.2">
      <c r="A547" s="275"/>
      <c r="B547" s="78"/>
      <c r="C547" s="189"/>
      <c r="D547" s="185"/>
      <c r="E547" s="186"/>
      <c r="F547" s="187"/>
    </row>
    <row r="548" spans="1:6" x14ac:dyDescent="0.2">
      <c r="A548" s="275"/>
      <c r="B548" s="78"/>
      <c r="C548" s="189"/>
      <c r="D548" s="185"/>
      <c r="E548" s="186"/>
      <c r="F548" s="187"/>
    </row>
    <row r="549" spans="1:6" x14ac:dyDescent="0.2">
      <c r="A549" s="275"/>
      <c r="B549" s="78"/>
      <c r="C549" s="189"/>
      <c r="D549" s="185"/>
      <c r="E549" s="186"/>
      <c r="F549" s="187"/>
    </row>
    <row r="550" spans="1:6" x14ac:dyDescent="0.2">
      <c r="A550" s="275"/>
      <c r="B550" s="78"/>
      <c r="C550" s="189"/>
      <c r="D550" s="185"/>
      <c r="E550" s="186"/>
      <c r="F550" s="187"/>
    </row>
    <row r="551" spans="1:6" x14ac:dyDescent="0.2">
      <c r="A551" s="275"/>
      <c r="B551" s="78"/>
      <c r="C551" s="189"/>
      <c r="D551" s="185"/>
      <c r="E551" s="186"/>
      <c r="F551" s="187"/>
    </row>
    <row r="552" spans="1:6" x14ac:dyDescent="0.2">
      <c r="A552" s="275"/>
      <c r="B552" s="78"/>
      <c r="C552" s="189"/>
      <c r="D552" s="185"/>
      <c r="E552" s="186"/>
      <c r="F552" s="187"/>
    </row>
    <row r="553" spans="1:6" x14ac:dyDescent="0.2">
      <c r="A553" s="275"/>
      <c r="B553" s="78"/>
      <c r="C553" s="189"/>
      <c r="D553" s="185"/>
      <c r="E553" s="186"/>
      <c r="F553" s="187"/>
    </row>
    <row r="554" spans="1:6" x14ac:dyDescent="0.2">
      <c r="A554" s="275"/>
      <c r="B554" s="78"/>
      <c r="C554" s="189"/>
      <c r="D554" s="185"/>
      <c r="E554" s="186"/>
      <c r="F554" s="187"/>
    </row>
    <row r="555" spans="1:6" x14ac:dyDescent="0.2">
      <c r="A555" s="275"/>
      <c r="B555" s="78"/>
      <c r="C555" s="189"/>
      <c r="D555" s="185"/>
      <c r="E555" s="186"/>
      <c r="F555" s="187"/>
    </row>
    <row r="556" spans="1:6" x14ac:dyDescent="0.2">
      <c r="A556" s="275"/>
      <c r="B556" s="78"/>
      <c r="C556" s="189"/>
      <c r="D556" s="185"/>
      <c r="E556" s="186"/>
      <c r="F556" s="187"/>
    </row>
    <row r="557" spans="1:6" x14ac:dyDescent="0.2">
      <c r="A557" s="275"/>
      <c r="B557" s="78"/>
      <c r="C557" s="189"/>
      <c r="D557" s="185"/>
      <c r="E557" s="186"/>
      <c r="F557" s="187"/>
    </row>
    <row r="558" spans="1:6" x14ac:dyDescent="0.2">
      <c r="A558" s="275"/>
      <c r="B558" s="78"/>
      <c r="C558" s="189"/>
      <c r="D558" s="185"/>
      <c r="E558" s="186"/>
      <c r="F558" s="187"/>
    </row>
    <row r="559" spans="1:6" x14ac:dyDescent="0.2">
      <c r="A559" s="275"/>
      <c r="B559" s="78"/>
      <c r="C559" s="189"/>
      <c r="D559" s="185"/>
      <c r="E559" s="186"/>
      <c r="F559" s="187"/>
    </row>
    <row r="560" spans="1:6" x14ac:dyDescent="0.2">
      <c r="A560" s="275"/>
      <c r="B560" s="78"/>
      <c r="C560" s="189"/>
      <c r="D560" s="185"/>
      <c r="E560" s="186"/>
      <c r="F560" s="187"/>
    </row>
    <row r="561" spans="1:6" x14ac:dyDescent="0.2">
      <c r="A561" s="275"/>
      <c r="B561" s="78"/>
      <c r="C561" s="189"/>
      <c r="D561" s="185"/>
      <c r="E561" s="186"/>
      <c r="F561" s="187"/>
    </row>
    <row r="562" spans="1:6" x14ac:dyDescent="0.2">
      <c r="A562" s="275"/>
      <c r="B562" s="78"/>
      <c r="C562" s="189"/>
      <c r="D562" s="185"/>
      <c r="E562" s="186"/>
      <c r="F562" s="187"/>
    </row>
    <row r="563" spans="1:6" x14ac:dyDescent="0.2">
      <c r="A563" s="275"/>
      <c r="B563" s="78"/>
      <c r="C563" s="189"/>
      <c r="D563" s="185"/>
      <c r="E563" s="186"/>
      <c r="F563" s="187"/>
    </row>
    <row r="564" spans="1:6" x14ac:dyDescent="0.2">
      <c r="A564" s="275"/>
      <c r="B564" s="78"/>
      <c r="C564" s="189"/>
      <c r="D564" s="185"/>
      <c r="E564" s="186"/>
      <c r="F564" s="187"/>
    </row>
    <row r="565" spans="1:6" x14ac:dyDescent="0.2">
      <c r="A565" s="275"/>
      <c r="B565" s="78"/>
      <c r="C565" s="189"/>
      <c r="D565" s="185"/>
      <c r="E565" s="186"/>
      <c r="F565" s="187"/>
    </row>
    <row r="566" spans="1:6" x14ac:dyDescent="0.2">
      <c r="A566" s="275"/>
      <c r="B566" s="78"/>
      <c r="C566" s="189"/>
      <c r="D566" s="185"/>
      <c r="E566" s="186"/>
      <c r="F566" s="187"/>
    </row>
    <row r="567" spans="1:6" x14ac:dyDescent="0.2">
      <c r="A567" s="275"/>
      <c r="B567" s="78"/>
      <c r="C567" s="189"/>
      <c r="D567" s="185"/>
      <c r="E567" s="186"/>
      <c r="F567" s="187"/>
    </row>
    <row r="568" spans="1:6" x14ac:dyDescent="0.2">
      <c r="A568" s="275"/>
      <c r="B568" s="78"/>
      <c r="C568" s="189"/>
      <c r="D568" s="185"/>
      <c r="E568" s="186"/>
      <c r="F568" s="187"/>
    </row>
    <row r="569" spans="1:6" x14ac:dyDescent="0.2">
      <c r="A569" s="275"/>
      <c r="B569" s="78"/>
      <c r="C569" s="189"/>
      <c r="D569" s="185"/>
      <c r="E569" s="186"/>
      <c r="F569" s="187"/>
    </row>
    <row r="570" spans="1:6" x14ac:dyDescent="0.2">
      <c r="A570" s="275"/>
      <c r="B570" s="78"/>
      <c r="C570" s="189"/>
      <c r="D570" s="185"/>
      <c r="E570" s="186"/>
      <c r="F570" s="187"/>
    </row>
    <row r="571" spans="1:6" x14ac:dyDescent="0.2">
      <c r="A571" s="275"/>
      <c r="B571" s="78"/>
      <c r="C571" s="189"/>
      <c r="D571" s="185"/>
      <c r="E571" s="186"/>
      <c r="F571" s="187"/>
    </row>
    <row r="572" spans="1:6" x14ac:dyDescent="0.2">
      <c r="A572" s="275"/>
      <c r="B572" s="78"/>
      <c r="C572" s="189"/>
      <c r="D572" s="185"/>
      <c r="E572" s="186"/>
      <c r="F572" s="187"/>
    </row>
    <row r="573" spans="1:6" x14ac:dyDescent="0.2">
      <c r="A573" s="275"/>
      <c r="B573" s="78"/>
      <c r="C573" s="189"/>
      <c r="D573" s="185"/>
      <c r="E573" s="186"/>
      <c r="F573" s="187"/>
    </row>
    <row r="574" spans="1:6" x14ac:dyDescent="0.2">
      <c r="A574" s="275"/>
      <c r="B574" s="78"/>
      <c r="C574" s="189"/>
      <c r="D574" s="185"/>
      <c r="E574" s="186"/>
      <c r="F574" s="187"/>
    </row>
    <row r="575" spans="1:6" x14ac:dyDescent="0.2">
      <c r="A575" s="275"/>
      <c r="B575" s="78"/>
      <c r="C575" s="189"/>
      <c r="D575" s="185"/>
      <c r="E575" s="186"/>
      <c r="F575" s="187"/>
    </row>
    <row r="576" spans="1:6" x14ac:dyDescent="0.2">
      <c r="A576" s="275"/>
      <c r="B576" s="78"/>
      <c r="C576" s="189"/>
      <c r="D576" s="185"/>
      <c r="E576" s="186"/>
      <c r="F576" s="187"/>
    </row>
    <row r="577" spans="1:6" x14ac:dyDescent="0.2">
      <c r="A577" s="275"/>
      <c r="B577" s="78"/>
      <c r="C577" s="189"/>
      <c r="D577" s="185"/>
      <c r="E577" s="186"/>
      <c r="F577" s="187"/>
    </row>
    <row r="578" spans="1:6" x14ac:dyDescent="0.2">
      <c r="A578" s="275"/>
      <c r="B578" s="78"/>
      <c r="C578" s="189"/>
      <c r="D578" s="185"/>
      <c r="E578" s="186"/>
      <c r="F578" s="187"/>
    </row>
    <row r="579" spans="1:6" x14ac:dyDescent="0.2">
      <c r="A579" s="275"/>
      <c r="B579" s="78"/>
      <c r="C579" s="189"/>
      <c r="D579" s="185"/>
      <c r="E579" s="186"/>
      <c r="F579" s="187"/>
    </row>
    <row r="580" spans="1:6" x14ac:dyDescent="0.2">
      <c r="A580" s="275"/>
      <c r="B580" s="78"/>
      <c r="C580" s="189"/>
      <c r="D580" s="185"/>
      <c r="E580" s="186"/>
      <c r="F580" s="187"/>
    </row>
    <row r="581" spans="1:6" x14ac:dyDescent="0.2">
      <c r="A581" s="275"/>
      <c r="B581" s="78"/>
      <c r="C581" s="189"/>
      <c r="D581" s="185"/>
      <c r="E581" s="186"/>
      <c r="F581" s="187"/>
    </row>
    <row r="582" spans="1:6" x14ac:dyDescent="0.2">
      <c r="A582" s="275"/>
      <c r="B582" s="78"/>
      <c r="C582" s="189"/>
      <c r="D582" s="185"/>
      <c r="E582" s="186"/>
      <c r="F582" s="187"/>
    </row>
    <row r="583" spans="1:6" x14ac:dyDescent="0.2">
      <c r="A583" s="275"/>
      <c r="B583" s="78"/>
      <c r="C583" s="189"/>
      <c r="D583" s="185"/>
      <c r="E583" s="186"/>
      <c r="F583" s="187"/>
    </row>
    <row r="584" spans="1:6" x14ac:dyDescent="0.2">
      <c r="A584" s="275"/>
      <c r="B584" s="78"/>
      <c r="C584" s="189"/>
      <c r="D584" s="185"/>
      <c r="E584" s="186"/>
      <c r="F584" s="187"/>
    </row>
    <row r="585" spans="1:6" x14ac:dyDescent="0.2">
      <c r="A585" s="275"/>
      <c r="B585" s="78"/>
      <c r="C585" s="189"/>
      <c r="D585" s="185"/>
      <c r="E585" s="186"/>
      <c r="F585" s="187"/>
    </row>
    <row r="586" spans="1:6" x14ac:dyDescent="0.2">
      <c r="A586" s="275"/>
      <c r="B586" s="78"/>
      <c r="C586" s="189"/>
      <c r="D586" s="185"/>
      <c r="E586" s="186"/>
      <c r="F586" s="187"/>
    </row>
    <row r="587" spans="1:6" x14ac:dyDescent="0.2">
      <c r="A587" s="275"/>
      <c r="B587" s="78"/>
      <c r="C587" s="189"/>
      <c r="D587" s="185"/>
      <c r="E587" s="186"/>
      <c r="F587" s="187"/>
    </row>
    <row r="588" spans="1:6" x14ac:dyDescent="0.2">
      <c r="A588" s="275"/>
      <c r="B588" s="78"/>
      <c r="C588" s="189"/>
      <c r="D588" s="185"/>
      <c r="E588" s="186"/>
      <c r="F588" s="187"/>
    </row>
    <row r="589" spans="1:6" x14ac:dyDescent="0.2">
      <c r="A589" s="275"/>
      <c r="B589" s="78"/>
      <c r="C589" s="189"/>
      <c r="D589" s="185"/>
      <c r="E589" s="186"/>
      <c r="F589" s="187"/>
    </row>
    <row r="590" spans="1:6" x14ac:dyDescent="0.2">
      <c r="A590" s="275"/>
      <c r="B590" s="78"/>
      <c r="C590" s="189"/>
      <c r="D590" s="185"/>
      <c r="E590" s="186"/>
      <c r="F590" s="187"/>
    </row>
    <row r="591" spans="1:6" x14ac:dyDescent="0.2">
      <c r="A591" s="275"/>
      <c r="B591" s="78"/>
      <c r="C591" s="189"/>
      <c r="D591" s="185"/>
      <c r="E591" s="186"/>
      <c r="F591" s="187"/>
    </row>
    <row r="592" spans="1:6" x14ac:dyDescent="0.2">
      <c r="A592" s="275"/>
      <c r="B592" s="78"/>
      <c r="C592" s="189"/>
      <c r="D592" s="185"/>
      <c r="E592" s="186"/>
      <c r="F592" s="187"/>
    </row>
    <row r="593" spans="1:6" x14ac:dyDescent="0.2">
      <c r="A593" s="275"/>
      <c r="B593" s="78"/>
      <c r="C593" s="189"/>
      <c r="D593" s="185"/>
      <c r="E593" s="186"/>
      <c r="F593" s="187"/>
    </row>
    <row r="594" spans="1:6" x14ac:dyDescent="0.2">
      <c r="A594" s="275"/>
      <c r="B594" s="78"/>
      <c r="C594" s="189"/>
      <c r="D594" s="185"/>
      <c r="E594" s="186"/>
      <c r="F594" s="187"/>
    </row>
    <row r="595" spans="1:6" x14ac:dyDescent="0.2">
      <c r="A595" s="275"/>
      <c r="B595" s="78"/>
      <c r="C595" s="189"/>
      <c r="D595" s="185"/>
      <c r="E595" s="186"/>
      <c r="F595" s="187"/>
    </row>
    <row r="596" spans="1:6" x14ac:dyDescent="0.2">
      <c r="A596" s="275"/>
      <c r="B596" s="78"/>
      <c r="C596" s="189"/>
      <c r="D596" s="185"/>
      <c r="E596" s="186"/>
      <c r="F596" s="187"/>
    </row>
    <row r="597" spans="1:6" x14ac:dyDescent="0.2">
      <c r="A597" s="275"/>
      <c r="B597" s="78"/>
      <c r="C597" s="189"/>
      <c r="D597" s="185"/>
      <c r="E597" s="186"/>
      <c r="F597" s="187"/>
    </row>
    <row r="598" spans="1:6" x14ac:dyDescent="0.2">
      <c r="A598" s="275"/>
      <c r="B598" s="78"/>
      <c r="C598" s="189"/>
      <c r="D598" s="185"/>
      <c r="E598" s="186"/>
      <c r="F598" s="187"/>
    </row>
    <row r="599" spans="1:6" x14ac:dyDescent="0.2">
      <c r="A599" s="275"/>
      <c r="B599" s="78"/>
      <c r="C599" s="189"/>
      <c r="D599" s="185"/>
      <c r="E599" s="186"/>
      <c r="F599" s="187"/>
    </row>
    <row r="600" spans="1:6" x14ac:dyDescent="0.2">
      <c r="A600" s="275"/>
      <c r="B600" s="78"/>
      <c r="C600" s="189"/>
      <c r="D600" s="185"/>
      <c r="E600" s="186"/>
      <c r="F600" s="187"/>
    </row>
    <row r="601" spans="1:6" x14ac:dyDescent="0.2">
      <c r="A601" s="275"/>
      <c r="B601" s="78"/>
      <c r="C601" s="189"/>
      <c r="D601" s="185"/>
      <c r="E601" s="186"/>
      <c r="F601" s="187"/>
    </row>
    <row r="602" spans="1:6" x14ac:dyDescent="0.2">
      <c r="A602" s="275"/>
      <c r="B602" s="78"/>
      <c r="C602" s="189"/>
      <c r="D602" s="185"/>
      <c r="E602" s="186"/>
      <c r="F602" s="187"/>
    </row>
    <row r="603" spans="1:6" x14ac:dyDescent="0.2">
      <c r="A603" s="275"/>
      <c r="B603" s="78"/>
      <c r="C603" s="189"/>
      <c r="D603" s="185"/>
      <c r="E603" s="186"/>
      <c r="F603" s="187"/>
    </row>
    <row r="604" spans="1:6" x14ac:dyDescent="0.2">
      <c r="A604" s="275"/>
      <c r="B604" s="78"/>
      <c r="C604" s="189"/>
      <c r="D604" s="185"/>
      <c r="E604" s="186"/>
      <c r="F604" s="187"/>
    </row>
    <row r="605" spans="1:6" x14ac:dyDescent="0.2">
      <c r="A605" s="275"/>
      <c r="B605" s="78"/>
      <c r="C605" s="189"/>
      <c r="D605" s="185"/>
      <c r="E605" s="186"/>
      <c r="F605" s="187"/>
    </row>
    <row r="606" spans="1:6" x14ac:dyDescent="0.2">
      <c r="A606" s="275"/>
      <c r="B606" s="78"/>
      <c r="C606" s="189"/>
      <c r="D606" s="185"/>
      <c r="E606" s="186"/>
      <c r="F606" s="187"/>
    </row>
    <row r="607" spans="1:6" x14ac:dyDescent="0.2">
      <c r="A607" s="275"/>
      <c r="B607" s="78"/>
      <c r="C607" s="189"/>
      <c r="D607" s="185"/>
      <c r="E607" s="186"/>
      <c r="F607" s="187"/>
    </row>
    <row r="608" spans="1:6" x14ac:dyDescent="0.2">
      <c r="A608" s="275"/>
      <c r="B608" s="78"/>
      <c r="C608" s="189"/>
      <c r="D608" s="185"/>
      <c r="E608" s="186"/>
      <c r="F608" s="187"/>
    </row>
    <row r="609" spans="1:6" x14ac:dyDescent="0.2">
      <c r="A609" s="275"/>
      <c r="B609" s="78"/>
      <c r="C609" s="189"/>
      <c r="D609" s="185"/>
      <c r="E609" s="186"/>
      <c r="F609" s="187"/>
    </row>
    <row r="610" spans="1:6" x14ac:dyDescent="0.2">
      <c r="A610" s="275"/>
      <c r="B610" s="78"/>
      <c r="C610" s="189"/>
      <c r="D610" s="185"/>
      <c r="E610" s="186"/>
      <c r="F610" s="187"/>
    </row>
    <row r="611" spans="1:6" x14ac:dyDescent="0.2">
      <c r="A611" s="275"/>
      <c r="B611" s="78"/>
      <c r="C611" s="189"/>
      <c r="D611" s="185"/>
      <c r="E611" s="186"/>
      <c r="F611" s="187"/>
    </row>
    <row r="612" spans="1:6" x14ac:dyDescent="0.2">
      <c r="A612" s="275"/>
      <c r="B612" s="78"/>
      <c r="C612" s="189"/>
      <c r="D612" s="185"/>
      <c r="E612" s="186"/>
      <c r="F612" s="187"/>
    </row>
    <row r="613" spans="1:6" x14ac:dyDescent="0.2">
      <c r="A613" s="275"/>
      <c r="B613" s="78"/>
      <c r="C613" s="189"/>
      <c r="D613" s="185"/>
      <c r="E613" s="186"/>
      <c r="F613" s="187"/>
    </row>
    <row r="614" spans="1:6" x14ac:dyDescent="0.2">
      <c r="A614" s="275"/>
      <c r="B614" s="78"/>
      <c r="C614" s="189"/>
      <c r="D614" s="185"/>
      <c r="E614" s="186"/>
      <c r="F614" s="187"/>
    </row>
    <row r="615" spans="1:6" x14ac:dyDescent="0.2">
      <c r="A615" s="275"/>
      <c r="B615" s="78"/>
      <c r="C615" s="189"/>
      <c r="D615" s="185"/>
      <c r="E615" s="186"/>
      <c r="F615" s="187"/>
    </row>
    <row r="616" spans="1:6" x14ac:dyDescent="0.2">
      <c r="A616" s="275"/>
      <c r="B616" s="78"/>
      <c r="C616" s="189"/>
      <c r="D616" s="185"/>
      <c r="E616" s="186"/>
      <c r="F616" s="187"/>
    </row>
    <row r="617" spans="1:6" x14ac:dyDescent="0.2">
      <c r="A617" s="275"/>
      <c r="B617" s="78"/>
      <c r="C617" s="189"/>
      <c r="D617" s="185"/>
      <c r="E617" s="186"/>
      <c r="F617" s="187"/>
    </row>
    <row r="618" spans="1:6" x14ac:dyDescent="0.2">
      <c r="A618" s="275"/>
      <c r="B618" s="78"/>
      <c r="C618" s="189"/>
      <c r="D618" s="185"/>
      <c r="E618" s="186"/>
      <c r="F618" s="187"/>
    </row>
    <row r="619" spans="1:6" x14ac:dyDescent="0.2">
      <c r="A619" s="275"/>
      <c r="B619" s="78"/>
      <c r="C619" s="189"/>
      <c r="D619" s="185"/>
      <c r="E619" s="186"/>
      <c r="F619" s="187"/>
    </row>
    <row r="620" spans="1:6" x14ac:dyDescent="0.2">
      <c r="A620" s="275"/>
      <c r="B620" s="78"/>
      <c r="C620" s="189"/>
      <c r="D620" s="185"/>
      <c r="E620" s="186"/>
      <c r="F620" s="187"/>
    </row>
    <row r="621" spans="1:6" x14ac:dyDescent="0.2">
      <c r="A621" s="275"/>
      <c r="B621" s="78"/>
      <c r="C621" s="189"/>
      <c r="D621" s="185"/>
      <c r="E621" s="186"/>
      <c r="F621" s="187"/>
    </row>
    <row r="622" spans="1:6" x14ac:dyDescent="0.2">
      <c r="A622" s="275"/>
      <c r="B622" s="78"/>
      <c r="C622" s="189"/>
      <c r="D622" s="185"/>
      <c r="E622" s="186"/>
      <c r="F622" s="187"/>
    </row>
    <row r="623" spans="1:6" x14ac:dyDescent="0.2">
      <c r="A623" s="275"/>
      <c r="B623" s="78"/>
      <c r="C623" s="189"/>
      <c r="D623" s="185"/>
      <c r="E623" s="186"/>
      <c r="F623" s="187"/>
    </row>
    <row r="624" spans="1:6" x14ac:dyDescent="0.2">
      <c r="A624" s="275"/>
      <c r="B624" s="78"/>
      <c r="C624" s="189"/>
      <c r="D624" s="185"/>
      <c r="E624" s="186"/>
      <c r="F624" s="187"/>
    </row>
    <row r="625" spans="1:6" x14ac:dyDescent="0.2">
      <c r="A625" s="275"/>
      <c r="B625" s="78"/>
      <c r="C625" s="189"/>
      <c r="D625" s="185"/>
      <c r="E625" s="186"/>
      <c r="F625" s="187"/>
    </row>
    <row r="626" spans="1:6" x14ac:dyDescent="0.2">
      <c r="A626" s="275"/>
      <c r="B626" s="78"/>
      <c r="C626" s="189"/>
      <c r="D626" s="185"/>
      <c r="E626" s="186"/>
      <c r="F626" s="187"/>
    </row>
    <row r="627" spans="1:6" x14ac:dyDescent="0.2">
      <c r="A627" s="275"/>
      <c r="B627" s="78"/>
      <c r="C627" s="189"/>
      <c r="D627" s="185"/>
      <c r="E627" s="186"/>
      <c r="F627" s="187"/>
    </row>
    <row r="628" spans="1:6" x14ac:dyDescent="0.2">
      <c r="A628" s="275"/>
      <c r="B628" s="78"/>
      <c r="C628" s="189"/>
      <c r="D628" s="185"/>
      <c r="E628" s="186"/>
      <c r="F628" s="187"/>
    </row>
    <row r="629" spans="1:6" x14ac:dyDescent="0.2">
      <c r="A629" s="275"/>
      <c r="B629" s="78"/>
      <c r="C629" s="189"/>
      <c r="D629" s="185"/>
      <c r="E629" s="186"/>
      <c r="F629" s="187"/>
    </row>
    <row r="630" spans="1:6" x14ac:dyDescent="0.2">
      <c r="A630" s="275"/>
      <c r="B630" s="78"/>
      <c r="C630" s="189"/>
      <c r="D630" s="185"/>
      <c r="E630" s="186"/>
      <c r="F630" s="187"/>
    </row>
    <row r="631" spans="1:6" x14ac:dyDescent="0.2">
      <c r="A631" s="275"/>
      <c r="B631" s="78"/>
      <c r="C631" s="189"/>
      <c r="D631" s="185"/>
      <c r="E631" s="186"/>
      <c r="F631" s="187"/>
    </row>
    <row r="632" spans="1:6" x14ac:dyDescent="0.2">
      <c r="A632" s="275"/>
      <c r="B632" s="78"/>
      <c r="C632" s="189"/>
      <c r="D632" s="185"/>
      <c r="E632" s="186"/>
      <c r="F632" s="187"/>
    </row>
    <row r="633" spans="1:6" x14ac:dyDescent="0.2">
      <c r="A633" s="275"/>
      <c r="B633" s="78"/>
      <c r="C633" s="189"/>
      <c r="D633" s="185"/>
      <c r="E633" s="186"/>
      <c r="F633" s="187"/>
    </row>
    <row r="634" spans="1:6" x14ac:dyDescent="0.2">
      <c r="A634" s="275"/>
      <c r="B634" s="78"/>
      <c r="C634" s="189"/>
      <c r="D634" s="185"/>
      <c r="E634" s="186"/>
      <c r="F634" s="187"/>
    </row>
    <row r="635" spans="1:6" x14ac:dyDescent="0.2">
      <c r="A635" s="275"/>
      <c r="B635" s="78"/>
      <c r="C635" s="189"/>
      <c r="D635" s="185"/>
      <c r="E635" s="186"/>
      <c r="F635" s="187"/>
    </row>
    <row r="636" spans="1:6" x14ac:dyDescent="0.2">
      <c r="A636" s="275"/>
      <c r="B636" s="78"/>
      <c r="C636" s="189"/>
      <c r="D636" s="185"/>
      <c r="E636" s="186"/>
      <c r="F636" s="187"/>
    </row>
    <row r="637" spans="1:6" x14ac:dyDescent="0.2">
      <c r="A637" s="275"/>
      <c r="B637" s="78"/>
      <c r="C637" s="189"/>
      <c r="D637" s="185"/>
      <c r="E637" s="186"/>
      <c r="F637" s="187"/>
    </row>
    <row r="638" spans="1:6" x14ac:dyDescent="0.2">
      <c r="A638" s="275"/>
      <c r="B638" s="78"/>
      <c r="C638" s="189"/>
      <c r="D638" s="185"/>
      <c r="E638" s="186"/>
      <c r="F638" s="187"/>
    </row>
    <row r="639" spans="1:6" x14ac:dyDescent="0.2">
      <c r="A639" s="275"/>
      <c r="B639" s="78"/>
      <c r="C639" s="189"/>
      <c r="D639" s="185"/>
      <c r="E639" s="186"/>
      <c r="F639" s="187"/>
    </row>
    <row r="640" spans="1:6" x14ac:dyDescent="0.2">
      <c r="A640" s="275"/>
      <c r="B640" s="78"/>
      <c r="C640" s="189"/>
      <c r="D640" s="185"/>
      <c r="E640" s="186"/>
      <c r="F640" s="187"/>
    </row>
    <row r="641" spans="1:6" x14ac:dyDescent="0.2">
      <c r="A641" s="275"/>
      <c r="B641" s="78"/>
      <c r="C641" s="189"/>
      <c r="D641" s="185"/>
      <c r="E641" s="186"/>
      <c r="F641" s="187"/>
    </row>
    <row r="642" spans="1:6" x14ac:dyDescent="0.2">
      <c r="A642" s="275"/>
      <c r="B642" s="78"/>
      <c r="C642" s="189"/>
      <c r="D642" s="185"/>
      <c r="E642" s="186"/>
      <c r="F642" s="187"/>
    </row>
    <row r="643" spans="1:6" x14ac:dyDescent="0.2">
      <c r="A643" s="275"/>
      <c r="B643" s="78"/>
      <c r="C643" s="189"/>
      <c r="D643" s="185"/>
      <c r="E643" s="186"/>
      <c r="F643" s="187"/>
    </row>
    <row r="644" spans="1:6" x14ac:dyDescent="0.2">
      <c r="A644" s="275"/>
      <c r="B644" s="78"/>
      <c r="C644" s="189"/>
      <c r="D644" s="185"/>
      <c r="E644" s="186"/>
      <c r="F644" s="187"/>
    </row>
    <row r="645" spans="1:6" x14ac:dyDescent="0.2">
      <c r="A645" s="275"/>
      <c r="B645" s="78"/>
      <c r="C645" s="189"/>
      <c r="D645" s="185"/>
      <c r="E645" s="186"/>
      <c r="F645" s="187"/>
    </row>
    <row r="646" spans="1:6" x14ac:dyDescent="0.2">
      <c r="A646" s="275"/>
      <c r="B646" s="78"/>
      <c r="C646" s="189"/>
      <c r="D646" s="185"/>
      <c r="E646" s="186"/>
      <c r="F646" s="187"/>
    </row>
    <row r="647" spans="1:6" x14ac:dyDescent="0.2">
      <c r="A647" s="275"/>
      <c r="B647" s="78"/>
      <c r="C647" s="189"/>
      <c r="D647" s="185"/>
      <c r="E647" s="186"/>
      <c r="F647" s="187"/>
    </row>
    <row r="648" spans="1:6" x14ac:dyDescent="0.2">
      <c r="A648" s="275"/>
      <c r="B648" s="78"/>
      <c r="C648" s="189"/>
      <c r="D648" s="185"/>
      <c r="E648" s="186"/>
      <c r="F648" s="187"/>
    </row>
    <row r="649" spans="1:6" x14ac:dyDescent="0.2">
      <c r="A649" s="275"/>
      <c r="B649" s="78"/>
      <c r="C649" s="189"/>
      <c r="D649" s="185"/>
      <c r="E649" s="186"/>
      <c r="F649" s="187"/>
    </row>
    <row r="650" spans="1:6" x14ac:dyDescent="0.2">
      <c r="A650" s="275"/>
      <c r="B650" s="78"/>
      <c r="C650" s="189"/>
      <c r="D650" s="185"/>
      <c r="E650" s="186"/>
      <c r="F650" s="187"/>
    </row>
    <row r="651" spans="1:6" x14ac:dyDescent="0.2">
      <c r="A651" s="275"/>
      <c r="B651" s="78"/>
      <c r="C651" s="189"/>
      <c r="D651" s="185"/>
      <c r="E651" s="186"/>
      <c r="F651" s="187"/>
    </row>
    <row r="652" spans="1:6" x14ac:dyDescent="0.2">
      <c r="A652" s="275"/>
      <c r="B652" s="78"/>
      <c r="C652" s="189"/>
      <c r="D652" s="185"/>
      <c r="E652" s="186"/>
      <c r="F652" s="187"/>
    </row>
    <row r="653" spans="1:6" x14ac:dyDescent="0.2">
      <c r="A653" s="275"/>
      <c r="B653" s="78"/>
      <c r="C653" s="189"/>
      <c r="D653" s="185"/>
      <c r="E653" s="186"/>
      <c r="F653" s="187"/>
    </row>
    <row r="654" spans="1:6" x14ac:dyDescent="0.2">
      <c r="A654" s="275"/>
      <c r="B654" s="78"/>
      <c r="C654" s="189"/>
      <c r="D654" s="185"/>
      <c r="E654" s="186"/>
      <c r="F654" s="187"/>
    </row>
    <row r="655" spans="1:6" x14ac:dyDescent="0.2">
      <c r="A655" s="275"/>
      <c r="B655" s="78"/>
      <c r="C655" s="189"/>
      <c r="D655" s="185"/>
      <c r="E655" s="186"/>
      <c r="F655" s="187"/>
    </row>
    <row r="656" spans="1:6" x14ac:dyDescent="0.2">
      <c r="A656" s="275"/>
      <c r="B656" s="78"/>
      <c r="C656" s="189"/>
      <c r="D656" s="185"/>
      <c r="E656" s="186"/>
      <c r="F656" s="187"/>
    </row>
    <row r="657" spans="1:6" x14ac:dyDescent="0.2">
      <c r="A657" s="275"/>
      <c r="B657" s="78"/>
      <c r="C657" s="189"/>
      <c r="D657" s="185"/>
      <c r="E657" s="186"/>
      <c r="F657" s="187"/>
    </row>
    <row r="658" spans="1:6" x14ac:dyDescent="0.2">
      <c r="A658" s="275"/>
      <c r="B658" s="78"/>
      <c r="C658" s="189"/>
      <c r="D658" s="185"/>
      <c r="E658" s="186"/>
      <c r="F658" s="187"/>
    </row>
    <row r="659" spans="1:6" x14ac:dyDescent="0.2">
      <c r="A659" s="275"/>
      <c r="B659" s="78"/>
      <c r="C659" s="189"/>
      <c r="D659" s="185"/>
      <c r="E659" s="186"/>
      <c r="F659" s="187"/>
    </row>
    <row r="660" spans="1:6" x14ac:dyDescent="0.2">
      <c r="A660" s="275"/>
      <c r="B660" s="78"/>
      <c r="C660" s="189"/>
      <c r="D660" s="185"/>
      <c r="E660" s="186"/>
      <c r="F660" s="187"/>
    </row>
    <row r="661" spans="1:6" x14ac:dyDescent="0.2">
      <c r="A661" s="275"/>
      <c r="B661" s="78"/>
      <c r="C661" s="189"/>
      <c r="D661" s="185"/>
      <c r="E661" s="186"/>
      <c r="F661" s="187"/>
    </row>
    <row r="662" spans="1:6" x14ac:dyDescent="0.2">
      <c r="A662" s="275"/>
      <c r="B662" s="78"/>
      <c r="C662" s="189"/>
      <c r="D662" s="185"/>
      <c r="E662" s="186"/>
      <c r="F662" s="187"/>
    </row>
    <row r="663" spans="1:6" x14ac:dyDescent="0.2">
      <c r="A663" s="275"/>
      <c r="B663" s="78"/>
      <c r="C663" s="189"/>
      <c r="D663" s="185"/>
      <c r="E663" s="186"/>
      <c r="F663" s="187"/>
    </row>
    <row r="664" spans="1:6" x14ac:dyDescent="0.2">
      <c r="A664" s="275"/>
      <c r="B664" s="78"/>
      <c r="C664" s="189"/>
      <c r="D664" s="185"/>
      <c r="E664" s="186"/>
      <c r="F664" s="187"/>
    </row>
    <row r="665" spans="1:6" x14ac:dyDescent="0.2">
      <c r="A665" s="275"/>
      <c r="B665" s="78"/>
      <c r="C665" s="189"/>
      <c r="D665" s="185"/>
      <c r="E665" s="186"/>
      <c r="F665" s="187"/>
    </row>
    <row r="666" spans="1:6" x14ac:dyDescent="0.2">
      <c r="A666" s="275"/>
      <c r="B666" s="78"/>
      <c r="C666" s="189"/>
      <c r="D666" s="185"/>
      <c r="E666" s="186"/>
      <c r="F666" s="187"/>
    </row>
    <row r="667" spans="1:6" x14ac:dyDescent="0.2">
      <c r="A667" s="275"/>
      <c r="B667" s="78"/>
      <c r="C667" s="189"/>
      <c r="D667" s="185"/>
      <c r="E667" s="186"/>
      <c r="F667" s="187"/>
    </row>
    <row r="668" spans="1:6" x14ac:dyDescent="0.2">
      <c r="A668" s="275"/>
      <c r="B668" s="78"/>
      <c r="C668" s="189"/>
      <c r="D668" s="185"/>
      <c r="E668" s="186"/>
      <c r="F668" s="187"/>
    </row>
    <row r="669" spans="1:6" x14ac:dyDescent="0.2">
      <c r="A669" s="275"/>
      <c r="B669" s="78"/>
      <c r="C669" s="189"/>
      <c r="D669" s="185"/>
      <c r="E669" s="186"/>
      <c r="F669" s="187"/>
    </row>
    <row r="670" spans="1:6" x14ac:dyDescent="0.2">
      <c r="A670" s="275"/>
      <c r="B670" s="78"/>
      <c r="C670" s="189"/>
      <c r="D670" s="185"/>
      <c r="E670" s="186"/>
      <c r="F670" s="187"/>
    </row>
    <row r="671" spans="1:6" x14ac:dyDescent="0.2">
      <c r="A671" s="275"/>
      <c r="B671" s="78"/>
      <c r="C671" s="189"/>
      <c r="D671" s="185"/>
      <c r="E671" s="186"/>
      <c r="F671" s="187"/>
    </row>
    <row r="672" spans="1:6" x14ac:dyDescent="0.2">
      <c r="A672" s="275"/>
      <c r="B672" s="78"/>
      <c r="C672" s="189"/>
      <c r="D672" s="185"/>
      <c r="E672" s="186"/>
      <c r="F672" s="187"/>
    </row>
    <row r="673" spans="1:6" x14ac:dyDescent="0.2">
      <c r="A673" s="275"/>
      <c r="B673" s="78"/>
      <c r="C673" s="189"/>
      <c r="D673" s="185"/>
      <c r="E673" s="186"/>
      <c r="F673" s="187"/>
    </row>
    <row r="674" spans="1:6" x14ac:dyDescent="0.2">
      <c r="A674" s="275"/>
      <c r="B674" s="78"/>
      <c r="C674" s="189"/>
      <c r="D674" s="185"/>
      <c r="E674" s="186"/>
      <c r="F674" s="187"/>
    </row>
    <row r="675" spans="1:6" x14ac:dyDescent="0.2">
      <c r="A675" s="275"/>
      <c r="B675" s="78"/>
      <c r="C675" s="189"/>
      <c r="D675" s="185"/>
      <c r="E675" s="186"/>
      <c r="F675" s="187"/>
    </row>
    <row r="676" spans="1:6" x14ac:dyDescent="0.2">
      <c r="A676" s="275"/>
      <c r="B676" s="78"/>
      <c r="C676" s="189"/>
      <c r="D676" s="185"/>
      <c r="E676" s="186"/>
      <c r="F676" s="187"/>
    </row>
    <row r="677" spans="1:6" x14ac:dyDescent="0.2">
      <c r="A677" s="275"/>
      <c r="B677" s="78"/>
      <c r="C677" s="189"/>
      <c r="D677" s="185"/>
      <c r="E677" s="186"/>
      <c r="F677" s="187"/>
    </row>
    <row r="678" spans="1:6" x14ac:dyDescent="0.2">
      <c r="A678" s="275"/>
      <c r="B678" s="78"/>
      <c r="C678" s="189"/>
      <c r="D678" s="185"/>
      <c r="E678" s="186"/>
      <c r="F678" s="187"/>
    </row>
    <row r="679" spans="1:6" x14ac:dyDescent="0.2">
      <c r="A679" s="275"/>
      <c r="B679" s="78"/>
      <c r="C679" s="189"/>
      <c r="D679" s="185"/>
      <c r="E679" s="186"/>
      <c r="F679" s="187"/>
    </row>
    <row r="680" spans="1:6" x14ac:dyDescent="0.2">
      <c r="A680" s="275"/>
      <c r="B680" s="78"/>
      <c r="C680" s="189"/>
      <c r="D680" s="185"/>
      <c r="E680" s="186"/>
      <c r="F680" s="187"/>
    </row>
    <row r="681" spans="1:6" x14ac:dyDescent="0.2">
      <c r="A681" s="275"/>
      <c r="B681" s="78"/>
      <c r="C681" s="189"/>
      <c r="D681" s="185"/>
      <c r="E681" s="186"/>
      <c r="F681" s="187"/>
    </row>
    <row r="682" spans="1:6" x14ac:dyDescent="0.2">
      <c r="A682" s="275"/>
      <c r="B682" s="78"/>
      <c r="C682" s="189"/>
      <c r="D682" s="185"/>
      <c r="E682" s="186"/>
      <c r="F682" s="187"/>
    </row>
    <row r="683" spans="1:6" x14ac:dyDescent="0.2">
      <c r="A683" s="275"/>
      <c r="B683" s="78"/>
      <c r="C683" s="189"/>
      <c r="D683" s="185"/>
      <c r="E683" s="186"/>
      <c r="F683" s="187"/>
    </row>
    <row r="684" spans="1:6" x14ac:dyDescent="0.2">
      <c r="A684" s="275"/>
      <c r="B684" s="78"/>
      <c r="C684" s="189"/>
      <c r="D684" s="185"/>
      <c r="E684" s="186"/>
      <c r="F684" s="187"/>
    </row>
    <row r="685" spans="1:6" x14ac:dyDescent="0.2">
      <c r="A685" s="275"/>
      <c r="B685" s="78"/>
      <c r="C685" s="189"/>
      <c r="D685" s="185"/>
      <c r="E685" s="186"/>
      <c r="F685" s="187"/>
    </row>
    <row r="686" spans="1:6" x14ac:dyDescent="0.2">
      <c r="A686" s="275"/>
      <c r="B686" s="78"/>
      <c r="C686" s="189"/>
      <c r="D686" s="185"/>
      <c r="E686" s="186"/>
      <c r="F686" s="187"/>
    </row>
    <row r="687" spans="1:6" x14ac:dyDescent="0.2">
      <c r="A687" s="275"/>
      <c r="B687" s="78"/>
      <c r="C687" s="189"/>
      <c r="D687" s="185"/>
      <c r="E687" s="186"/>
      <c r="F687" s="187"/>
    </row>
    <row r="688" spans="1:6" x14ac:dyDescent="0.2">
      <c r="A688" s="275"/>
      <c r="B688" s="78"/>
      <c r="C688" s="189"/>
      <c r="D688" s="185"/>
      <c r="E688" s="186"/>
      <c r="F688" s="187"/>
    </row>
    <row r="689" spans="1:6" x14ac:dyDescent="0.2">
      <c r="A689" s="275"/>
      <c r="B689" s="78"/>
      <c r="C689" s="189"/>
      <c r="D689" s="185"/>
      <c r="E689" s="186"/>
      <c r="F689" s="187"/>
    </row>
    <row r="690" spans="1:6" x14ac:dyDescent="0.2">
      <c r="A690" s="275"/>
      <c r="B690" s="78"/>
      <c r="C690" s="189"/>
      <c r="D690" s="185"/>
      <c r="E690" s="186"/>
      <c r="F690" s="187"/>
    </row>
    <row r="691" spans="1:6" x14ac:dyDescent="0.2">
      <c r="A691" s="275"/>
      <c r="B691" s="78"/>
      <c r="C691" s="189"/>
      <c r="D691" s="185"/>
      <c r="E691" s="186"/>
      <c r="F691" s="187"/>
    </row>
    <row r="692" spans="1:6" x14ac:dyDescent="0.2">
      <c r="A692" s="275"/>
      <c r="B692" s="78"/>
      <c r="C692" s="189"/>
      <c r="D692" s="185"/>
      <c r="E692" s="186"/>
      <c r="F692" s="187"/>
    </row>
    <row r="693" spans="1:6" x14ac:dyDescent="0.2">
      <c r="A693" s="275"/>
      <c r="B693" s="78"/>
      <c r="C693" s="189"/>
      <c r="D693" s="185"/>
      <c r="E693" s="186"/>
      <c r="F693" s="187"/>
    </row>
    <row r="694" spans="1:6" x14ac:dyDescent="0.2">
      <c r="A694" s="275"/>
      <c r="B694" s="78"/>
      <c r="C694" s="189"/>
      <c r="D694" s="185"/>
      <c r="E694" s="186"/>
      <c r="F694" s="187"/>
    </row>
    <row r="695" spans="1:6" x14ac:dyDescent="0.2">
      <c r="A695" s="275"/>
      <c r="B695" s="78"/>
      <c r="C695" s="189"/>
      <c r="D695" s="185"/>
      <c r="E695" s="186"/>
      <c r="F695" s="187"/>
    </row>
    <row r="696" spans="1:6" x14ac:dyDescent="0.2">
      <c r="A696" s="275"/>
      <c r="B696" s="78"/>
      <c r="C696" s="189"/>
      <c r="D696" s="185"/>
      <c r="E696" s="186"/>
      <c r="F696" s="187"/>
    </row>
    <row r="697" spans="1:6" x14ac:dyDescent="0.2">
      <c r="A697" s="275"/>
      <c r="B697" s="78"/>
      <c r="C697" s="189"/>
      <c r="D697" s="185"/>
      <c r="E697" s="186"/>
      <c r="F697" s="187"/>
    </row>
    <row r="698" spans="1:6" x14ac:dyDescent="0.2">
      <c r="A698" s="275"/>
      <c r="B698" s="78"/>
      <c r="C698" s="189"/>
      <c r="D698" s="185"/>
      <c r="E698" s="186"/>
      <c r="F698" s="187"/>
    </row>
    <row r="699" spans="1:6" x14ac:dyDescent="0.2">
      <c r="A699" s="275"/>
      <c r="B699" s="78"/>
      <c r="C699" s="189"/>
      <c r="D699" s="185"/>
      <c r="E699" s="186"/>
      <c r="F699" s="187"/>
    </row>
    <row r="700" spans="1:6" x14ac:dyDescent="0.2">
      <c r="A700" s="275"/>
      <c r="B700" s="78"/>
      <c r="C700" s="189"/>
      <c r="D700" s="185"/>
      <c r="E700" s="186"/>
      <c r="F700" s="187"/>
    </row>
    <row r="701" spans="1:6" x14ac:dyDescent="0.2">
      <c r="A701" s="275"/>
      <c r="B701" s="78"/>
      <c r="C701" s="189"/>
      <c r="D701" s="185"/>
      <c r="E701" s="186"/>
      <c r="F701" s="187"/>
    </row>
    <row r="702" spans="1:6" x14ac:dyDescent="0.2">
      <c r="A702" s="275"/>
      <c r="B702" s="78"/>
      <c r="C702" s="189"/>
      <c r="D702" s="185"/>
      <c r="E702" s="186"/>
      <c r="F702" s="187"/>
    </row>
    <row r="703" spans="1:6" x14ac:dyDescent="0.2">
      <c r="A703" s="275"/>
      <c r="B703" s="78"/>
      <c r="C703" s="189"/>
      <c r="D703" s="185"/>
      <c r="E703" s="186"/>
      <c r="F703" s="187"/>
    </row>
    <row r="704" spans="1:6" x14ac:dyDescent="0.2">
      <c r="A704" s="275"/>
      <c r="B704" s="78"/>
      <c r="C704" s="189"/>
      <c r="D704" s="185"/>
      <c r="E704" s="186"/>
      <c r="F704" s="187"/>
    </row>
    <row r="705" spans="1:6" x14ac:dyDescent="0.2">
      <c r="A705" s="275"/>
      <c r="B705" s="78"/>
      <c r="C705" s="189"/>
      <c r="D705" s="185"/>
      <c r="E705" s="186"/>
      <c r="F705" s="187"/>
    </row>
    <row r="706" spans="1:6" x14ac:dyDescent="0.2">
      <c r="A706" s="275"/>
      <c r="B706" s="78"/>
      <c r="C706" s="189"/>
      <c r="D706" s="185"/>
      <c r="E706" s="186"/>
      <c r="F706" s="187"/>
    </row>
    <row r="707" spans="1:6" x14ac:dyDescent="0.2">
      <c r="A707" s="275"/>
      <c r="B707" s="78"/>
      <c r="C707" s="189"/>
      <c r="D707" s="185"/>
      <c r="E707" s="186"/>
      <c r="F707" s="187"/>
    </row>
    <row r="708" spans="1:6" x14ac:dyDescent="0.2">
      <c r="A708" s="275"/>
      <c r="B708" s="78"/>
      <c r="C708" s="189"/>
      <c r="D708" s="185"/>
      <c r="E708" s="186"/>
      <c r="F708" s="187"/>
    </row>
    <row r="709" spans="1:6" x14ac:dyDescent="0.2">
      <c r="A709" s="275"/>
      <c r="B709" s="78"/>
      <c r="C709" s="189"/>
      <c r="D709" s="185"/>
      <c r="E709" s="186"/>
      <c r="F709" s="187"/>
    </row>
    <row r="710" spans="1:6" x14ac:dyDescent="0.2">
      <c r="A710" s="275"/>
      <c r="B710" s="78"/>
      <c r="C710" s="189"/>
      <c r="D710" s="185"/>
      <c r="E710" s="186"/>
      <c r="F710" s="187"/>
    </row>
    <row r="711" spans="1:6" x14ac:dyDescent="0.2">
      <c r="A711" s="275"/>
      <c r="B711" s="78"/>
      <c r="C711" s="189"/>
      <c r="D711" s="185"/>
      <c r="E711" s="186"/>
      <c r="F711" s="187"/>
    </row>
    <row r="712" spans="1:6" x14ac:dyDescent="0.2">
      <c r="A712" s="275"/>
      <c r="B712" s="78"/>
      <c r="C712" s="189"/>
      <c r="D712" s="185"/>
      <c r="E712" s="186"/>
      <c r="F712" s="187"/>
    </row>
    <row r="713" spans="1:6" x14ac:dyDescent="0.2">
      <c r="A713" s="275"/>
      <c r="B713" s="78"/>
      <c r="C713" s="189"/>
      <c r="D713" s="185"/>
      <c r="E713" s="186"/>
      <c r="F713" s="187"/>
    </row>
    <row r="714" spans="1:6" x14ac:dyDescent="0.2">
      <c r="A714" s="275"/>
      <c r="B714" s="78"/>
      <c r="C714" s="189"/>
      <c r="D714" s="185"/>
      <c r="E714" s="186"/>
      <c r="F714" s="187"/>
    </row>
    <row r="715" spans="1:6" x14ac:dyDescent="0.2">
      <c r="A715" s="275"/>
      <c r="B715" s="78"/>
      <c r="C715" s="189"/>
      <c r="D715" s="185"/>
      <c r="E715" s="186"/>
      <c r="F715" s="187"/>
    </row>
    <row r="716" spans="1:6" x14ac:dyDescent="0.2">
      <c r="A716" s="275"/>
      <c r="B716" s="78"/>
      <c r="C716" s="189"/>
      <c r="D716" s="185"/>
      <c r="E716" s="186"/>
      <c r="F716" s="187"/>
    </row>
    <row r="717" spans="1:6" x14ac:dyDescent="0.2">
      <c r="A717" s="275"/>
      <c r="B717" s="78"/>
      <c r="C717" s="189"/>
      <c r="D717" s="185"/>
      <c r="E717" s="186"/>
      <c r="F717" s="187"/>
    </row>
    <row r="718" spans="1:6" x14ac:dyDescent="0.2">
      <c r="A718" s="275"/>
      <c r="B718" s="78"/>
      <c r="C718" s="189"/>
      <c r="D718" s="185"/>
      <c r="E718" s="186"/>
      <c r="F718" s="187"/>
    </row>
    <row r="719" spans="1:6" x14ac:dyDescent="0.2">
      <c r="A719" s="275"/>
      <c r="B719" s="78"/>
      <c r="C719" s="189"/>
      <c r="D719" s="185"/>
      <c r="E719" s="186"/>
      <c r="F719" s="187"/>
    </row>
    <row r="720" spans="1:6" x14ac:dyDescent="0.2">
      <c r="A720" s="275"/>
      <c r="B720" s="78"/>
      <c r="C720" s="189"/>
      <c r="D720" s="185"/>
      <c r="E720" s="186"/>
      <c r="F720" s="187"/>
    </row>
    <row r="721" spans="1:6" x14ac:dyDescent="0.2">
      <c r="A721" s="275"/>
      <c r="B721" s="78"/>
      <c r="C721" s="189"/>
      <c r="D721" s="185"/>
      <c r="E721" s="186"/>
      <c r="F721" s="187"/>
    </row>
    <row r="722" spans="1:6" x14ac:dyDescent="0.2">
      <c r="A722" s="275"/>
      <c r="B722" s="78"/>
      <c r="C722" s="189"/>
      <c r="D722" s="185"/>
      <c r="E722" s="186"/>
      <c r="F722" s="187"/>
    </row>
    <row r="723" spans="1:6" x14ac:dyDescent="0.2">
      <c r="A723" s="275"/>
      <c r="B723" s="78"/>
      <c r="C723" s="189"/>
      <c r="D723" s="185"/>
      <c r="E723" s="186"/>
      <c r="F723" s="187"/>
    </row>
    <row r="724" spans="1:6" x14ac:dyDescent="0.2">
      <c r="A724" s="275"/>
      <c r="B724" s="78"/>
      <c r="C724" s="189"/>
      <c r="D724" s="185"/>
      <c r="E724" s="186"/>
      <c r="F724" s="187"/>
    </row>
    <row r="725" spans="1:6" x14ac:dyDescent="0.2">
      <c r="A725" s="275"/>
      <c r="B725" s="78"/>
      <c r="C725" s="189"/>
      <c r="D725" s="185"/>
      <c r="E725" s="186"/>
      <c r="F725" s="187"/>
    </row>
    <row r="726" spans="1:6" x14ac:dyDescent="0.2">
      <c r="A726" s="275"/>
      <c r="B726" s="78"/>
      <c r="C726" s="189"/>
      <c r="D726" s="185"/>
      <c r="E726" s="186"/>
      <c r="F726" s="187"/>
    </row>
    <row r="727" spans="1:6" x14ac:dyDescent="0.2">
      <c r="A727" s="275"/>
      <c r="B727" s="78"/>
      <c r="C727" s="189"/>
      <c r="D727" s="185"/>
      <c r="E727" s="186"/>
      <c r="F727" s="187"/>
    </row>
    <row r="728" spans="1:6" x14ac:dyDescent="0.2">
      <c r="A728" s="275"/>
      <c r="B728" s="78"/>
      <c r="C728" s="189"/>
      <c r="D728" s="185"/>
      <c r="E728" s="186"/>
      <c r="F728" s="187"/>
    </row>
    <row r="729" spans="1:6" x14ac:dyDescent="0.2">
      <c r="A729" s="275"/>
      <c r="B729" s="78"/>
      <c r="C729" s="189"/>
      <c r="D729" s="185"/>
      <c r="E729" s="186"/>
      <c r="F729" s="187"/>
    </row>
    <row r="730" spans="1:6" x14ac:dyDescent="0.2">
      <c r="A730" s="275"/>
      <c r="B730" s="78"/>
      <c r="C730" s="189"/>
      <c r="D730" s="185"/>
      <c r="E730" s="186"/>
      <c r="F730" s="187"/>
    </row>
    <row r="731" spans="1:6" x14ac:dyDescent="0.2">
      <c r="A731" s="275"/>
      <c r="B731" s="78"/>
      <c r="C731" s="189"/>
      <c r="D731" s="185"/>
      <c r="E731" s="186"/>
      <c r="F731" s="187"/>
    </row>
    <row r="732" spans="1:6" x14ac:dyDescent="0.2">
      <c r="A732" s="275"/>
      <c r="B732" s="78"/>
      <c r="C732" s="189"/>
      <c r="D732" s="185"/>
      <c r="E732" s="186"/>
      <c r="F732" s="187"/>
    </row>
    <row r="733" spans="1:6" x14ac:dyDescent="0.2">
      <c r="A733" s="275"/>
      <c r="B733" s="78"/>
      <c r="C733" s="189"/>
      <c r="D733" s="185"/>
      <c r="E733" s="186"/>
      <c r="F733" s="187"/>
    </row>
    <row r="734" spans="1:6" x14ac:dyDescent="0.2">
      <c r="A734" s="275"/>
      <c r="B734" s="78"/>
      <c r="C734" s="189"/>
      <c r="D734" s="185"/>
      <c r="E734" s="186"/>
      <c r="F734" s="187"/>
    </row>
    <row r="735" spans="1:6" x14ac:dyDescent="0.2">
      <c r="A735" s="275"/>
      <c r="B735" s="78"/>
      <c r="C735" s="189"/>
      <c r="D735" s="185"/>
      <c r="E735" s="186"/>
      <c r="F735" s="187"/>
    </row>
    <row r="736" spans="1:6" x14ac:dyDescent="0.2">
      <c r="A736" s="275"/>
      <c r="B736" s="78"/>
      <c r="C736" s="189"/>
      <c r="D736" s="185"/>
      <c r="E736" s="186"/>
      <c r="F736" s="187"/>
    </row>
    <row r="737" spans="1:6" x14ac:dyDescent="0.2">
      <c r="A737" s="275"/>
      <c r="B737" s="78"/>
      <c r="C737" s="189"/>
      <c r="D737" s="185"/>
      <c r="E737" s="186"/>
      <c r="F737" s="187"/>
    </row>
    <row r="738" spans="1:6" x14ac:dyDescent="0.2">
      <c r="A738" s="275"/>
      <c r="B738" s="78"/>
      <c r="C738" s="189"/>
      <c r="D738" s="185"/>
      <c r="E738" s="186"/>
      <c r="F738" s="187"/>
    </row>
    <row r="739" spans="1:6" x14ac:dyDescent="0.2">
      <c r="A739" s="275"/>
      <c r="B739" s="78"/>
      <c r="C739" s="189"/>
      <c r="D739" s="185"/>
      <c r="E739" s="186"/>
      <c r="F739" s="187"/>
    </row>
    <row r="740" spans="1:6" x14ac:dyDescent="0.2">
      <c r="A740" s="275"/>
      <c r="B740" s="78"/>
      <c r="C740" s="189"/>
      <c r="D740" s="185"/>
      <c r="E740" s="186"/>
      <c r="F740" s="187"/>
    </row>
    <row r="741" spans="1:6" x14ac:dyDescent="0.2">
      <c r="A741" s="275"/>
      <c r="B741" s="78"/>
      <c r="C741" s="189"/>
      <c r="D741" s="185"/>
      <c r="E741" s="186"/>
      <c r="F741" s="187"/>
    </row>
    <row r="742" spans="1:6" x14ac:dyDescent="0.2">
      <c r="A742" s="275"/>
      <c r="B742" s="78"/>
      <c r="C742" s="189"/>
      <c r="D742" s="185"/>
      <c r="E742" s="186"/>
      <c r="F742" s="187"/>
    </row>
    <row r="743" spans="1:6" x14ac:dyDescent="0.2">
      <c r="A743" s="275"/>
      <c r="B743" s="78"/>
      <c r="C743" s="189"/>
      <c r="D743" s="185"/>
      <c r="E743" s="186"/>
      <c r="F743" s="187"/>
    </row>
    <row r="744" spans="1:6" x14ac:dyDescent="0.2">
      <c r="A744" s="275"/>
      <c r="B744" s="78"/>
      <c r="C744" s="189"/>
      <c r="D744" s="185"/>
      <c r="E744" s="186"/>
      <c r="F744" s="187"/>
    </row>
    <row r="745" spans="1:6" x14ac:dyDescent="0.2">
      <c r="A745" s="275"/>
      <c r="B745" s="78"/>
      <c r="C745" s="189"/>
      <c r="D745" s="185"/>
      <c r="E745" s="186"/>
      <c r="F745" s="187"/>
    </row>
    <row r="746" spans="1:6" x14ac:dyDescent="0.2">
      <c r="A746" s="275"/>
      <c r="B746" s="78"/>
      <c r="C746" s="189"/>
      <c r="D746" s="185"/>
      <c r="E746" s="186"/>
      <c r="F746" s="187"/>
    </row>
    <row r="747" spans="1:6" x14ac:dyDescent="0.2">
      <c r="A747" s="275"/>
      <c r="B747" s="78"/>
      <c r="C747" s="189"/>
      <c r="D747" s="185"/>
      <c r="E747" s="186"/>
      <c r="F747" s="187"/>
    </row>
    <row r="748" spans="1:6" x14ac:dyDescent="0.2">
      <c r="A748" s="275"/>
      <c r="B748" s="78"/>
      <c r="C748" s="189"/>
      <c r="D748" s="185"/>
      <c r="E748" s="186"/>
      <c r="F748" s="187"/>
    </row>
    <row r="749" spans="1:6" x14ac:dyDescent="0.2">
      <c r="A749" s="275"/>
      <c r="B749" s="78"/>
      <c r="C749" s="189"/>
      <c r="D749" s="185"/>
      <c r="E749" s="186"/>
      <c r="F749" s="187"/>
    </row>
    <row r="750" spans="1:6" x14ac:dyDescent="0.2">
      <c r="A750" s="275"/>
      <c r="B750" s="78"/>
      <c r="C750" s="189"/>
      <c r="D750" s="185"/>
      <c r="E750" s="186"/>
      <c r="F750" s="187"/>
    </row>
    <row r="751" spans="1:6" x14ac:dyDescent="0.2">
      <c r="A751" s="275"/>
      <c r="B751" s="78"/>
      <c r="C751" s="189"/>
      <c r="D751" s="185"/>
      <c r="E751" s="186"/>
      <c r="F751" s="187"/>
    </row>
    <row r="752" spans="1:6" x14ac:dyDescent="0.2">
      <c r="A752" s="275"/>
      <c r="B752" s="78"/>
      <c r="C752" s="189"/>
      <c r="D752" s="185"/>
      <c r="E752" s="186"/>
      <c r="F752" s="187"/>
    </row>
    <row r="753" spans="1:6" x14ac:dyDescent="0.2">
      <c r="A753" s="275"/>
      <c r="B753" s="78"/>
      <c r="C753" s="189"/>
      <c r="D753" s="185"/>
      <c r="E753" s="186"/>
      <c r="F753" s="187"/>
    </row>
    <row r="754" spans="1:6" x14ac:dyDescent="0.2">
      <c r="A754" s="275"/>
      <c r="B754" s="78"/>
      <c r="C754" s="189"/>
      <c r="D754" s="185"/>
      <c r="E754" s="186"/>
      <c r="F754" s="187"/>
    </row>
    <row r="755" spans="1:6" x14ac:dyDescent="0.2">
      <c r="A755" s="275"/>
      <c r="B755" s="78"/>
      <c r="C755" s="189"/>
      <c r="D755" s="185"/>
      <c r="E755" s="186"/>
      <c r="F755" s="187"/>
    </row>
    <row r="756" spans="1:6" x14ac:dyDescent="0.2">
      <c r="A756" s="275"/>
      <c r="B756" s="78"/>
      <c r="C756" s="189"/>
      <c r="D756" s="185"/>
      <c r="E756" s="186"/>
      <c r="F756" s="187"/>
    </row>
    <row r="757" spans="1:6" x14ac:dyDescent="0.2">
      <c r="A757" s="275"/>
      <c r="B757" s="78"/>
      <c r="C757" s="189"/>
      <c r="D757" s="185"/>
      <c r="E757" s="186"/>
      <c r="F757" s="187"/>
    </row>
    <row r="758" spans="1:6" x14ac:dyDescent="0.2">
      <c r="A758" s="275"/>
      <c r="B758" s="78"/>
      <c r="C758" s="189"/>
      <c r="D758" s="185"/>
      <c r="E758" s="186"/>
      <c r="F758" s="187"/>
    </row>
    <row r="759" spans="1:6" x14ac:dyDescent="0.2">
      <c r="A759" s="275"/>
      <c r="B759" s="78"/>
      <c r="C759" s="189"/>
      <c r="D759" s="185"/>
      <c r="E759" s="186"/>
      <c r="F759" s="187"/>
    </row>
    <row r="760" spans="1:6" x14ac:dyDescent="0.2">
      <c r="A760" s="275"/>
      <c r="B760" s="78"/>
      <c r="C760" s="189"/>
      <c r="D760" s="185"/>
      <c r="E760" s="186"/>
      <c r="F760" s="187"/>
    </row>
    <row r="761" spans="1:6" x14ac:dyDescent="0.2">
      <c r="A761" s="275"/>
      <c r="B761" s="78"/>
      <c r="C761" s="189"/>
      <c r="D761" s="185"/>
      <c r="E761" s="186"/>
      <c r="F761" s="187"/>
    </row>
    <row r="762" spans="1:6" x14ac:dyDescent="0.2">
      <c r="A762" s="275"/>
      <c r="B762" s="78"/>
      <c r="C762" s="189"/>
      <c r="D762" s="185"/>
      <c r="E762" s="186"/>
      <c r="F762" s="187"/>
    </row>
    <row r="763" spans="1:6" x14ac:dyDescent="0.2">
      <c r="A763" s="275"/>
      <c r="B763" s="78"/>
      <c r="C763" s="189"/>
      <c r="D763" s="185"/>
      <c r="E763" s="186"/>
      <c r="F763" s="187"/>
    </row>
    <row r="764" spans="1:6" x14ac:dyDescent="0.2">
      <c r="A764" s="275"/>
      <c r="B764" s="78"/>
      <c r="C764" s="189"/>
      <c r="D764" s="185"/>
      <c r="E764" s="186"/>
      <c r="F764" s="187"/>
    </row>
    <row r="765" spans="1:6" x14ac:dyDescent="0.2">
      <c r="A765" s="275"/>
      <c r="B765" s="78"/>
      <c r="C765" s="189"/>
      <c r="D765" s="185"/>
      <c r="E765" s="186"/>
      <c r="F765" s="187"/>
    </row>
    <row r="766" spans="1:6" x14ac:dyDescent="0.2">
      <c r="A766" s="275"/>
      <c r="B766" s="78"/>
      <c r="C766" s="189"/>
      <c r="D766" s="185"/>
      <c r="E766" s="186"/>
      <c r="F766" s="187"/>
    </row>
    <row r="767" spans="1:6" x14ac:dyDescent="0.2">
      <c r="A767" s="275"/>
      <c r="B767" s="78"/>
      <c r="C767" s="189"/>
      <c r="D767" s="185"/>
      <c r="E767" s="186"/>
      <c r="F767" s="187"/>
    </row>
    <row r="768" spans="1:6" x14ac:dyDescent="0.2">
      <c r="A768" s="275"/>
      <c r="B768" s="78"/>
      <c r="C768" s="189"/>
      <c r="D768" s="185"/>
      <c r="E768" s="186"/>
      <c r="F768" s="187"/>
    </row>
    <row r="769" spans="1:6" x14ac:dyDescent="0.2">
      <c r="A769" s="275"/>
      <c r="B769" s="78"/>
      <c r="C769" s="189"/>
      <c r="D769" s="185"/>
      <c r="E769" s="186"/>
      <c r="F769" s="187"/>
    </row>
    <row r="770" spans="1:6" x14ac:dyDescent="0.2">
      <c r="A770" s="275"/>
      <c r="B770" s="78"/>
      <c r="C770" s="189"/>
      <c r="D770" s="185"/>
      <c r="E770" s="186"/>
      <c r="F770" s="187"/>
    </row>
    <row r="771" spans="1:6" x14ac:dyDescent="0.2">
      <c r="A771" s="275"/>
      <c r="B771" s="78"/>
      <c r="C771" s="189"/>
      <c r="D771" s="185"/>
      <c r="E771" s="186"/>
      <c r="F771" s="187"/>
    </row>
    <row r="772" spans="1:6" x14ac:dyDescent="0.2">
      <c r="A772" s="275"/>
      <c r="B772" s="78"/>
      <c r="C772" s="189"/>
      <c r="D772" s="185"/>
      <c r="E772" s="186"/>
      <c r="F772" s="187"/>
    </row>
    <row r="773" spans="1:6" x14ac:dyDescent="0.2">
      <c r="A773" s="275"/>
      <c r="B773" s="78"/>
      <c r="C773" s="189"/>
      <c r="D773" s="185"/>
      <c r="E773" s="186"/>
      <c r="F773" s="187"/>
    </row>
    <row r="774" spans="1:6" x14ac:dyDescent="0.2">
      <c r="A774" s="275"/>
      <c r="B774" s="78"/>
      <c r="C774" s="189"/>
      <c r="D774" s="185"/>
      <c r="E774" s="186"/>
      <c r="F774" s="187"/>
    </row>
    <row r="775" spans="1:6" x14ac:dyDescent="0.2">
      <c r="A775" s="275"/>
      <c r="B775" s="78"/>
      <c r="C775" s="189"/>
      <c r="D775" s="185"/>
      <c r="E775" s="186"/>
      <c r="F775" s="187"/>
    </row>
    <row r="776" spans="1:6" x14ac:dyDescent="0.2">
      <c r="A776" s="275"/>
      <c r="B776" s="78"/>
      <c r="C776" s="189"/>
      <c r="D776" s="185"/>
      <c r="E776" s="186"/>
      <c r="F776" s="187"/>
    </row>
    <row r="777" spans="1:6" x14ac:dyDescent="0.2">
      <c r="A777" s="275"/>
      <c r="B777" s="78"/>
      <c r="C777" s="189"/>
      <c r="D777" s="185"/>
      <c r="E777" s="186"/>
      <c r="F777" s="187"/>
    </row>
    <row r="778" spans="1:6" x14ac:dyDescent="0.2">
      <c r="A778" s="275"/>
      <c r="B778" s="78"/>
      <c r="C778" s="189"/>
      <c r="D778" s="185"/>
      <c r="E778" s="186"/>
      <c r="F778" s="187"/>
    </row>
    <row r="779" spans="1:6" x14ac:dyDescent="0.2">
      <c r="A779" s="275"/>
      <c r="B779" s="78"/>
      <c r="C779" s="189"/>
      <c r="D779" s="185"/>
      <c r="E779" s="186"/>
      <c r="F779" s="187"/>
    </row>
    <row r="780" spans="1:6" x14ac:dyDescent="0.2">
      <c r="A780" s="275"/>
      <c r="B780" s="78"/>
      <c r="C780" s="189"/>
      <c r="D780" s="185"/>
      <c r="E780" s="186"/>
      <c r="F780" s="187"/>
    </row>
    <row r="781" spans="1:6" x14ac:dyDescent="0.2">
      <c r="A781" s="275"/>
      <c r="B781" s="78"/>
      <c r="C781" s="189"/>
      <c r="D781" s="185"/>
      <c r="E781" s="186"/>
      <c r="F781" s="187"/>
    </row>
    <row r="782" spans="1:6" x14ac:dyDescent="0.2">
      <c r="A782" s="275"/>
      <c r="B782" s="78"/>
      <c r="C782" s="189"/>
      <c r="D782" s="185"/>
      <c r="E782" s="186"/>
      <c r="F782" s="187"/>
    </row>
    <row r="783" spans="1:6" x14ac:dyDescent="0.2">
      <c r="A783" s="275"/>
      <c r="B783" s="78"/>
      <c r="C783" s="189"/>
      <c r="D783" s="185"/>
      <c r="E783" s="186"/>
      <c r="F783" s="187"/>
    </row>
    <row r="784" spans="1:6" x14ac:dyDescent="0.2">
      <c r="A784" s="275"/>
      <c r="B784" s="78"/>
      <c r="C784" s="189"/>
      <c r="D784" s="185"/>
      <c r="E784" s="186"/>
      <c r="F784" s="187"/>
    </row>
    <row r="785" spans="1:6" x14ac:dyDescent="0.2">
      <c r="A785" s="275"/>
      <c r="B785" s="78"/>
      <c r="C785" s="189"/>
      <c r="D785" s="185"/>
      <c r="E785" s="186"/>
      <c r="F785" s="187"/>
    </row>
    <row r="786" spans="1:6" x14ac:dyDescent="0.2">
      <c r="A786" s="275"/>
      <c r="B786" s="78"/>
      <c r="C786" s="189"/>
      <c r="D786" s="185"/>
      <c r="E786" s="186"/>
      <c r="F786" s="187"/>
    </row>
    <row r="787" spans="1:6" x14ac:dyDescent="0.2">
      <c r="A787" s="275"/>
      <c r="B787" s="78"/>
      <c r="C787" s="189"/>
      <c r="D787" s="185"/>
      <c r="E787" s="186"/>
      <c r="F787" s="187"/>
    </row>
    <row r="788" spans="1:6" x14ac:dyDescent="0.2">
      <c r="A788" s="275"/>
      <c r="B788" s="78"/>
      <c r="C788" s="189"/>
      <c r="D788" s="185"/>
      <c r="E788" s="186"/>
      <c r="F788" s="187"/>
    </row>
    <row r="789" spans="1:6" x14ac:dyDescent="0.2">
      <c r="A789" s="275"/>
      <c r="B789" s="78"/>
      <c r="C789" s="189"/>
      <c r="D789" s="185"/>
      <c r="E789" s="186"/>
      <c r="F789" s="187"/>
    </row>
    <row r="790" spans="1:6" x14ac:dyDescent="0.2">
      <c r="A790" s="275"/>
      <c r="B790" s="78"/>
      <c r="C790" s="189"/>
      <c r="D790" s="185"/>
      <c r="E790" s="186"/>
      <c r="F790" s="187"/>
    </row>
    <row r="791" spans="1:6" x14ac:dyDescent="0.2">
      <c r="A791" s="275"/>
      <c r="B791" s="78"/>
      <c r="C791" s="189"/>
      <c r="D791" s="185"/>
      <c r="E791" s="186"/>
      <c r="F791" s="187"/>
    </row>
    <row r="792" spans="1:6" x14ac:dyDescent="0.2">
      <c r="A792" s="275"/>
      <c r="B792" s="78"/>
      <c r="C792" s="189"/>
      <c r="D792" s="185"/>
      <c r="E792" s="186"/>
      <c r="F792" s="187"/>
    </row>
    <row r="793" spans="1:6" x14ac:dyDescent="0.2">
      <c r="A793" s="275"/>
      <c r="B793" s="78"/>
      <c r="C793" s="189"/>
      <c r="D793" s="185"/>
      <c r="E793" s="186"/>
      <c r="F793" s="187"/>
    </row>
    <row r="794" spans="1:6" x14ac:dyDescent="0.2">
      <c r="A794" s="275"/>
      <c r="B794" s="78"/>
      <c r="C794" s="189"/>
      <c r="D794" s="185"/>
      <c r="E794" s="186"/>
      <c r="F794" s="187"/>
    </row>
    <row r="795" spans="1:6" x14ac:dyDescent="0.2">
      <c r="A795" s="275"/>
      <c r="B795" s="78"/>
      <c r="C795" s="189"/>
      <c r="D795" s="185"/>
      <c r="E795" s="186"/>
      <c r="F795" s="187"/>
    </row>
    <row r="796" spans="1:6" x14ac:dyDescent="0.2">
      <c r="A796" s="275"/>
      <c r="B796" s="78"/>
      <c r="C796" s="189"/>
      <c r="D796" s="185"/>
      <c r="E796" s="186"/>
      <c r="F796" s="187"/>
    </row>
    <row r="797" spans="1:6" x14ac:dyDescent="0.2">
      <c r="A797" s="275"/>
      <c r="B797" s="78"/>
      <c r="C797" s="189"/>
      <c r="D797" s="185"/>
      <c r="E797" s="186"/>
      <c r="F797" s="187"/>
    </row>
    <row r="798" spans="1:6" x14ac:dyDescent="0.2">
      <c r="A798" s="275"/>
      <c r="B798" s="78"/>
      <c r="C798" s="189"/>
      <c r="D798" s="185"/>
      <c r="E798" s="186"/>
      <c r="F798" s="187"/>
    </row>
    <row r="799" spans="1:6" x14ac:dyDescent="0.2">
      <c r="A799" s="275"/>
      <c r="B799" s="78"/>
      <c r="C799" s="189"/>
      <c r="D799" s="185"/>
      <c r="E799" s="186"/>
      <c r="F799" s="187"/>
    </row>
    <row r="800" spans="1:6" x14ac:dyDescent="0.2">
      <c r="A800" s="275"/>
      <c r="B800" s="78"/>
      <c r="C800" s="189"/>
      <c r="D800" s="185"/>
      <c r="E800" s="186"/>
      <c r="F800" s="187"/>
    </row>
    <row r="801" spans="1:6" x14ac:dyDescent="0.2">
      <c r="A801" s="275"/>
      <c r="B801" s="78"/>
      <c r="C801" s="189"/>
      <c r="D801" s="185"/>
      <c r="E801" s="186"/>
      <c r="F801" s="187"/>
    </row>
    <row r="802" spans="1:6" x14ac:dyDescent="0.2">
      <c r="A802" s="275"/>
      <c r="B802" s="78"/>
      <c r="C802" s="189"/>
      <c r="D802" s="185"/>
      <c r="E802" s="186"/>
      <c r="F802" s="187"/>
    </row>
    <row r="803" spans="1:6" x14ac:dyDescent="0.2">
      <c r="A803" s="275"/>
      <c r="B803" s="78"/>
      <c r="C803" s="189"/>
      <c r="D803" s="185"/>
      <c r="E803" s="186"/>
      <c r="F803" s="187"/>
    </row>
    <row r="804" spans="1:6" x14ac:dyDescent="0.2">
      <c r="A804" s="275"/>
      <c r="B804" s="78"/>
      <c r="C804" s="189"/>
      <c r="D804" s="185"/>
      <c r="E804" s="186"/>
      <c r="F804" s="187"/>
    </row>
    <row r="805" spans="1:6" x14ac:dyDescent="0.2">
      <c r="A805" s="275"/>
      <c r="B805" s="78"/>
      <c r="C805" s="189"/>
      <c r="D805" s="185"/>
      <c r="E805" s="186"/>
      <c r="F805" s="187"/>
    </row>
    <row r="806" spans="1:6" x14ac:dyDescent="0.2">
      <c r="A806" s="275"/>
      <c r="B806" s="78"/>
      <c r="C806" s="189"/>
      <c r="D806" s="185"/>
      <c r="E806" s="186"/>
      <c r="F806" s="187"/>
    </row>
    <row r="807" spans="1:6" x14ac:dyDescent="0.2">
      <c r="A807" s="275"/>
      <c r="B807" s="78"/>
      <c r="C807" s="189"/>
      <c r="D807" s="185"/>
      <c r="E807" s="186"/>
      <c r="F807" s="187"/>
    </row>
    <row r="808" spans="1:6" x14ac:dyDescent="0.2">
      <c r="A808" s="275"/>
      <c r="B808" s="78"/>
      <c r="C808" s="189"/>
      <c r="D808" s="185"/>
      <c r="E808" s="186"/>
      <c r="F808" s="187"/>
    </row>
    <row r="809" spans="1:6" x14ac:dyDescent="0.2">
      <c r="A809" s="275"/>
      <c r="B809" s="78"/>
      <c r="C809" s="189"/>
      <c r="D809" s="185"/>
      <c r="E809" s="186"/>
      <c r="F809" s="187"/>
    </row>
    <row r="810" spans="1:6" x14ac:dyDescent="0.2">
      <c r="A810" s="275"/>
      <c r="B810" s="78"/>
      <c r="C810" s="189"/>
      <c r="D810" s="185"/>
      <c r="E810" s="186"/>
      <c r="F810" s="187"/>
    </row>
    <row r="811" spans="1:6" x14ac:dyDescent="0.2">
      <c r="A811" s="275"/>
      <c r="B811" s="78"/>
      <c r="C811" s="189"/>
      <c r="D811" s="185"/>
      <c r="E811" s="186"/>
      <c r="F811" s="187"/>
    </row>
    <row r="812" spans="1:6" x14ac:dyDescent="0.2">
      <c r="A812" s="275"/>
      <c r="B812" s="78"/>
      <c r="C812" s="189"/>
      <c r="D812" s="185"/>
      <c r="E812" s="186"/>
      <c r="F812" s="187"/>
    </row>
    <row r="813" spans="1:6" x14ac:dyDescent="0.2">
      <c r="A813" s="275"/>
      <c r="B813" s="78"/>
      <c r="C813" s="189"/>
      <c r="D813" s="185"/>
      <c r="E813" s="186"/>
      <c r="F813" s="187"/>
    </row>
    <row r="814" spans="1:6" x14ac:dyDescent="0.2">
      <c r="A814" s="275"/>
      <c r="B814" s="78"/>
      <c r="C814" s="189"/>
      <c r="D814" s="185"/>
      <c r="E814" s="186"/>
      <c r="F814" s="187"/>
    </row>
    <row r="815" spans="1:6" x14ac:dyDescent="0.2">
      <c r="A815" s="275"/>
      <c r="B815" s="78"/>
      <c r="C815" s="189"/>
      <c r="D815" s="185"/>
      <c r="E815" s="186"/>
      <c r="F815" s="187"/>
    </row>
    <row r="816" spans="1:6" x14ac:dyDescent="0.2">
      <c r="A816" s="275"/>
      <c r="B816" s="78"/>
      <c r="C816" s="189"/>
      <c r="D816" s="185"/>
      <c r="E816" s="186"/>
      <c r="F816" s="187"/>
    </row>
    <row r="817" spans="1:6" x14ac:dyDescent="0.2">
      <c r="A817" s="275"/>
      <c r="B817" s="78"/>
      <c r="C817" s="189"/>
      <c r="D817" s="185"/>
      <c r="E817" s="186"/>
      <c r="F817" s="187"/>
    </row>
    <row r="818" spans="1:6" x14ac:dyDescent="0.2">
      <c r="A818" s="275"/>
      <c r="B818" s="78"/>
      <c r="C818" s="189"/>
      <c r="D818" s="185"/>
      <c r="E818" s="186"/>
      <c r="F818" s="187"/>
    </row>
    <row r="819" spans="1:6" x14ac:dyDescent="0.2">
      <c r="A819" s="275"/>
      <c r="B819" s="78"/>
      <c r="C819" s="189"/>
      <c r="D819" s="185"/>
      <c r="E819" s="186"/>
      <c r="F819" s="187"/>
    </row>
    <row r="820" spans="1:6" x14ac:dyDescent="0.2">
      <c r="A820" s="275"/>
      <c r="B820" s="78"/>
      <c r="C820" s="189"/>
      <c r="D820" s="185"/>
      <c r="E820" s="186"/>
      <c r="F820" s="187"/>
    </row>
    <row r="821" spans="1:6" x14ac:dyDescent="0.2">
      <c r="A821" s="275"/>
      <c r="B821" s="78"/>
      <c r="C821" s="189"/>
      <c r="D821" s="185"/>
      <c r="E821" s="186"/>
      <c r="F821" s="187"/>
    </row>
    <row r="822" spans="1:6" x14ac:dyDescent="0.2">
      <c r="A822" s="275"/>
      <c r="B822" s="78"/>
      <c r="C822" s="189"/>
      <c r="D822" s="185"/>
      <c r="E822" s="186"/>
      <c r="F822" s="187"/>
    </row>
    <row r="823" spans="1:6" x14ac:dyDescent="0.2">
      <c r="A823" s="275"/>
      <c r="B823" s="78"/>
      <c r="C823" s="189"/>
      <c r="D823" s="185"/>
      <c r="E823" s="186"/>
      <c r="F823" s="187"/>
    </row>
    <row r="824" spans="1:6" x14ac:dyDescent="0.2">
      <c r="A824" s="275"/>
      <c r="B824" s="78"/>
      <c r="C824" s="189"/>
      <c r="D824" s="185"/>
      <c r="E824" s="186"/>
      <c r="F824" s="187"/>
    </row>
    <row r="825" spans="1:6" x14ac:dyDescent="0.2">
      <c r="A825" s="275"/>
      <c r="B825" s="78"/>
      <c r="C825" s="189"/>
      <c r="D825" s="185"/>
      <c r="E825" s="186"/>
      <c r="F825" s="187"/>
    </row>
    <row r="826" spans="1:6" x14ac:dyDescent="0.2">
      <c r="A826" s="275"/>
      <c r="B826" s="78"/>
      <c r="C826" s="189"/>
      <c r="D826" s="185"/>
      <c r="E826" s="186"/>
      <c r="F826" s="187"/>
    </row>
    <row r="827" spans="1:6" x14ac:dyDescent="0.2">
      <c r="A827" s="275"/>
      <c r="B827" s="78"/>
      <c r="C827" s="189"/>
      <c r="D827" s="185"/>
      <c r="E827" s="186"/>
      <c r="F827" s="187"/>
    </row>
    <row r="828" spans="1:6" x14ac:dyDescent="0.2">
      <c r="A828" s="275"/>
      <c r="B828" s="78"/>
      <c r="C828" s="189"/>
      <c r="D828" s="185"/>
      <c r="E828" s="186"/>
      <c r="F828" s="187"/>
    </row>
    <row r="829" spans="1:6" x14ac:dyDescent="0.2">
      <c r="A829" s="275"/>
      <c r="B829" s="78"/>
      <c r="C829" s="189"/>
      <c r="D829" s="185"/>
      <c r="E829" s="186"/>
      <c r="F829" s="187"/>
    </row>
    <row r="830" spans="1:6" x14ac:dyDescent="0.2">
      <c r="A830" s="275"/>
      <c r="B830" s="78"/>
      <c r="C830" s="189"/>
      <c r="D830" s="185"/>
      <c r="E830" s="186"/>
      <c r="F830" s="187"/>
    </row>
    <row r="831" spans="1:6" x14ac:dyDescent="0.2">
      <c r="A831" s="275"/>
      <c r="B831" s="78"/>
      <c r="C831" s="189"/>
      <c r="D831" s="185"/>
      <c r="E831" s="186"/>
      <c r="F831" s="187"/>
    </row>
    <row r="832" spans="1:6" x14ac:dyDescent="0.2">
      <c r="A832" s="275"/>
      <c r="B832" s="78"/>
      <c r="C832" s="189"/>
      <c r="D832" s="185"/>
      <c r="E832" s="186"/>
      <c r="F832" s="187"/>
    </row>
    <row r="833" spans="1:6" x14ac:dyDescent="0.2">
      <c r="A833" s="275"/>
      <c r="B833" s="78"/>
      <c r="C833" s="189"/>
      <c r="D833" s="185"/>
      <c r="E833" s="186"/>
      <c r="F833" s="187"/>
    </row>
    <row r="834" spans="1:6" x14ac:dyDescent="0.2">
      <c r="A834" s="275"/>
      <c r="B834" s="78"/>
      <c r="C834" s="189"/>
      <c r="D834" s="185"/>
      <c r="E834" s="186"/>
      <c r="F834" s="187"/>
    </row>
    <row r="835" spans="1:6" x14ac:dyDescent="0.2">
      <c r="A835" s="275"/>
      <c r="B835" s="78"/>
      <c r="C835" s="189"/>
      <c r="D835" s="185"/>
      <c r="E835" s="186"/>
      <c r="F835" s="187"/>
    </row>
    <row r="836" spans="1:6" x14ac:dyDescent="0.2">
      <c r="A836" s="275"/>
      <c r="B836" s="78"/>
      <c r="C836" s="189"/>
      <c r="D836" s="185"/>
      <c r="E836" s="186"/>
      <c r="F836" s="187"/>
    </row>
    <row r="837" spans="1:6" x14ac:dyDescent="0.2">
      <c r="A837" s="275"/>
      <c r="B837" s="78"/>
      <c r="C837" s="189"/>
      <c r="D837" s="185"/>
      <c r="E837" s="186"/>
      <c r="F837" s="187"/>
    </row>
    <row r="838" spans="1:6" x14ac:dyDescent="0.2">
      <c r="A838" s="275"/>
      <c r="B838" s="78"/>
      <c r="C838" s="189"/>
      <c r="D838" s="185"/>
      <c r="E838" s="186"/>
      <c r="F838" s="187"/>
    </row>
    <row r="839" spans="1:6" x14ac:dyDescent="0.2">
      <c r="A839" s="275"/>
      <c r="B839" s="78"/>
      <c r="C839" s="189"/>
      <c r="D839" s="185"/>
      <c r="E839" s="186"/>
      <c r="F839" s="187"/>
    </row>
    <row r="840" spans="1:6" x14ac:dyDescent="0.2">
      <c r="A840" s="275"/>
      <c r="B840" s="78"/>
      <c r="C840" s="189"/>
      <c r="D840" s="185"/>
      <c r="E840" s="186"/>
      <c r="F840" s="187"/>
    </row>
    <row r="841" spans="1:6" x14ac:dyDescent="0.2">
      <c r="A841" s="275"/>
      <c r="B841" s="78"/>
      <c r="C841" s="189"/>
      <c r="D841" s="185"/>
      <c r="E841" s="186"/>
      <c r="F841" s="187"/>
    </row>
    <row r="842" spans="1:6" x14ac:dyDescent="0.2">
      <c r="A842" s="275"/>
      <c r="B842" s="78"/>
      <c r="C842" s="189"/>
      <c r="D842" s="185"/>
      <c r="E842" s="186"/>
      <c r="F842" s="187"/>
    </row>
    <row r="843" spans="1:6" x14ac:dyDescent="0.2">
      <c r="A843" s="275"/>
      <c r="B843" s="78"/>
      <c r="C843" s="189"/>
      <c r="D843" s="185"/>
      <c r="E843" s="186"/>
      <c r="F843" s="187"/>
    </row>
    <row r="844" spans="1:6" x14ac:dyDescent="0.2">
      <c r="A844" s="275"/>
      <c r="B844" s="78"/>
      <c r="C844" s="189"/>
      <c r="D844" s="185"/>
      <c r="E844" s="186"/>
      <c r="F844" s="187"/>
    </row>
    <row r="845" spans="1:6" x14ac:dyDescent="0.2">
      <c r="A845" s="275"/>
      <c r="B845" s="78"/>
      <c r="C845" s="189"/>
      <c r="D845" s="185"/>
      <c r="E845" s="186"/>
      <c r="F845" s="187"/>
    </row>
    <row r="846" spans="1:6" x14ac:dyDescent="0.2">
      <c r="A846" s="275"/>
      <c r="B846" s="78"/>
      <c r="C846" s="189"/>
      <c r="D846" s="185"/>
      <c r="E846" s="186"/>
      <c r="F846" s="187"/>
    </row>
    <row r="847" spans="1:6" x14ac:dyDescent="0.2">
      <c r="A847" s="275"/>
      <c r="B847" s="78"/>
      <c r="C847" s="189"/>
      <c r="D847" s="185"/>
      <c r="E847" s="186"/>
      <c r="F847" s="187"/>
    </row>
    <row r="848" spans="1:6" x14ac:dyDescent="0.2">
      <c r="A848" s="275"/>
      <c r="B848" s="78"/>
      <c r="C848" s="189"/>
      <c r="D848" s="185"/>
      <c r="E848" s="186"/>
      <c r="F848" s="187"/>
    </row>
    <row r="849" spans="1:6" x14ac:dyDescent="0.2">
      <c r="A849" s="275"/>
      <c r="B849" s="78"/>
      <c r="C849" s="189"/>
      <c r="D849" s="185"/>
      <c r="E849" s="186"/>
      <c r="F849" s="187"/>
    </row>
    <row r="850" spans="1:6" x14ac:dyDescent="0.2">
      <c r="A850" s="275"/>
      <c r="B850" s="78"/>
      <c r="C850" s="189"/>
      <c r="D850" s="185"/>
      <c r="E850" s="186"/>
      <c r="F850" s="187"/>
    </row>
    <row r="851" spans="1:6" x14ac:dyDescent="0.2">
      <c r="A851" s="275"/>
      <c r="B851" s="78"/>
      <c r="C851" s="189"/>
      <c r="D851" s="185"/>
      <c r="E851" s="186"/>
      <c r="F851" s="187"/>
    </row>
    <row r="852" spans="1:6" x14ac:dyDescent="0.2">
      <c r="A852" s="275"/>
      <c r="B852" s="78"/>
      <c r="C852" s="189"/>
      <c r="D852" s="185"/>
      <c r="E852" s="186"/>
      <c r="F852" s="187"/>
    </row>
    <row r="853" spans="1:6" x14ac:dyDescent="0.2">
      <c r="A853" s="275"/>
      <c r="B853" s="78"/>
      <c r="C853" s="189"/>
      <c r="D853" s="185"/>
      <c r="E853" s="186"/>
      <c r="F853" s="187"/>
    </row>
    <row r="854" spans="1:6" x14ac:dyDescent="0.2">
      <c r="A854" s="275"/>
      <c r="B854" s="78"/>
      <c r="C854" s="189"/>
      <c r="D854" s="185"/>
      <c r="E854" s="186"/>
      <c r="F854" s="187"/>
    </row>
    <row r="855" spans="1:6" x14ac:dyDescent="0.2">
      <c r="A855" s="275"/>
      <c r="B855" s="78"/>
      <c r="C855" s="189"/>
      <c r="D855" s="185"/>
      <c r="E855" s="186"/>
      <c r="F855" s="187"/>
    </row>
    <row r="856" spans="1:6" x14ac:dyDescent="0.2">
      <c r="A856" s="275"/>
      <c r="B856" s="78"/>
      <c r="C856" s="189"/>
      <c r="D856" s="185"/>
      <c r="E856" s="186"/>
      <c r="F856" s="187"/>
    </row>
    <row r="857" spans="1:6" x14ac:dyDescent="0.2">
      <c r="A857" s="275"/>
      <c r="B857" s="78"/>
      <c r="C857" s="189"/>
      <c r="D857" s="185"/>
      <c r="E857" s="186"/>
      <c r="F857" s="187"/>
    </row>
    <row r="858" spans="1:6" x14ac:dyDescent="0.2">
      <c r="A858" s="275"/>
      <c r="B858" s="78"/>
      <c r="C858" s="189"/>
      <c r="D858" s="185"/>
      <c r="E858" s="186"/>
      <c r="F858" s="187"/>
    </row>
    <row r="859" spans="1:6" x14ac:dyDescent="0.2">
      <c r="A859" s="275"/>
      <c r="B859" s="78"/>
      <c r="C859" s="189"/>
      <c r="D859" s="185"/>
      <c r="E859" s="186"/>
      <c r="F859" s="187"/>
    </row>
    <row r="860" spans="1:6" x14ac:dyDescent="0.2">
      <c r="A860" s="275"/>
      <c r="B860" s="78"/>
      <c r="C860" s="189"/>
      <c r="D860" s="185"/>
      <c r="E860" s="186"/>
      <c r="F860" s="187"/>
    </row>
    <row r="861" spans="1:6" x14ac:dyDescent="0.2">
      <c r="A861" s="275"/>
      <c r="B861" s="78"/>
      <c r="C861" s="189"/>
      <c r="D861" s="185"/>
      <c r="E861" s="186"/>
      <c r="F861" s="187"/>
    </row>
    <row r="862" spans="1:6" x14ac:dyDescent="0.2">
      <c r="A862" s="275"/>
      <c r="B862" s="78"/>
      <c r="C862" s="189"/>
      <c r="D862" s="185"/>
      <c r="E862" s="186"/>
      <c r="F862" s="187"/>
    </row>
    <row r="863" spans="1:6" x14ac:dyDescent="0.2">
      <c r="A863" s="275"/>
      <c r="B863" s="78"/>
      <c r="C863" s="189"/>
      <c r="D863" s="185"/>
      <c r="E863" s="186"/>
      <c r="F863" s="187"/>
    </row>
    <row r="864" spans="1:6" x14ac:dyDescent="0.2">
      <c r="A864" s="275"/>
      <c r="B864" s="78"/>
      <c r="C864" s="189"/>
      <c r="D864" s="185"/>
      <c r="E864" s="186"/>
      <c r="F864" s="187"/>
    </row>
    <row r="865" spans="1:6" x14ac:dyDescent="0.2">
      <c r="A865" s="275"/>
      <c r="B865" s="78"/>
      <c r="C865" s="189"/>
      <c r="D865" s="185"/>
      <c r="E865" s="186"/>
      <c r="F865" s="187"/>
    </row>
    <row r="866" spans="1:6" x14ac:dyDescent="0.2">
      <c r="A866" s="275"/>
      <c r="B866" s="78"/>
      <c r="C866" s="189"/>
      <c r="D866" s="185"/>
      <c r="E866" s="186"/>
      <c r="F866" s="187"/>
    </row>
    <row r="867" spans="1:6" x14ac:dyDescent="0.2">
      <c r="A867" s="275"/>
      <c r="B867" s="78"/>
      <c r="C867" s="189"/>
      <c r="D867" s="185"/>
      <c r="E867" s="186"/>
      <c r="F867" s="187"/>
    </row>
    <row r="868" spans="1:6" x14ac:dyDescent="0.2">
      <c r="A868" s="275"/>
      <c r="B868" s="78"/>
      <c r="C868" s="189"/>
      <c r="D868" s="185"/>
      <c r="E868" s="186"/>
      <c r="F868" s="187"/>
    </row>
    <row r="869" spans="1:6" x14ac:dyDescent="0.2">
      <c r="A869" s="275"/>
      <c r="B869" s="78"/>
      <c r="C869" s="189"/>
      <c r="D869" s="185"/>
      <c r="E869" s="186"/>
      <c r="F869" s="187"/>
    </row>
    <row r="870" spans="1:6" x14ac:dyDescent="0.2">
      <c r="A870" s="275"/>
      <c r="B870" s="78"/>
      <c r="C870" s="189"/>
      <c r="D870" s="185"/>
      <c r="E870" s="186"/>
      <c r="F870" s="187"/>
    </row>
    <row r="871" spans="1:6" x14ac:dyDescent="0.2">
      <c r="A871" s="275"/>
      <c r="B871" s="78"/>
      <c r="C871" s="189"/>
      <c r="D871" s="185"/>
      <c r="E871" s="186"/>
      <c r="F871" s="187"/>
    </row>
    <row r="872" spans="1:6" x14ac:dyDescent="0.2">
      <c r="A872" s="275"/>
      <c r="B872" s="78"/>
      <c r="C872" s="189"/>
      <c r="D872" s="185"/>
      <c r="E872" s="186"/>
      <c r="F872" s="187"/>
    </row>
    <row r="873" spans="1:6" x14ac:dyDescent="0.2">
      <c r="A873" s="275"/>
      <c r="B873" s="78"/>
      <c r="C873" s="189"/>
      <c r="D873" s="185"/>
      <c r="E873" s="186"/>
      <c r="F873" s="187"/>
    </row>
    <row r="874" spans="1:6" x14ac:dyDescent="0.2">
      <c r="A874" s="275"/>
      <c r="B874" s="78"/>
      <c r="C874" s="189"/>
      <c r="D874" s="185"/>
      <c r="E874" s="186"/>
      <c r="F874" s="187"/>
    </row>
    <row r="875" spans="1:6" x14ac:dyDescent="0.2">
      <c r="A875" s="275"/>
      <c r="B875" s="78"/>
      <c r="C875" s="189"/>
      <c r="D875" s="185"/>
      <c r="E875" s="186"/>
      <c r="F875" s="187"/>
    </row>
    <row r="876" spans="1:6" x14ac:dyDescent="0.2">
      <c r="A876" s="275"/>
      <c r="B876" s="78"/>
      <c r="C876" s="189"/>
      <c r="D876" s="185"/>
      <c r="E876" s="186"/>
      <c r="F876" s="187"/>
    </row>
    <row r="877" spans="1:6" x14ac:dyDescent="0.2">
      <c r="A877" s="275"/>
      <c r="B877" s="78"/>
      <c r="C877" s="189"/>
      <c r="D877" s="185"/>
      <c r="E877" s="186"/>
      <c r="F877" s="187"/>
    </row>
    <row r="878" spans="1:6" x14ac:dyDescent="0.2">
      <c r="A878" s="275"/>
      <c r="B878" s="78"/>
      <c r="C878" s="189"/>
      <c r="D878" s="185"/>
      <c r="E878" s="186"/>
      <c r="F878" s="187"/>
    </row>
    <row r="879" spans="1:6" x14ac:dyDescent="0.2">
      <c r="A879" s="275"/>
      <c r="B879" s="78"/>
      <c r="C879" s="189"/>
      <c r="D879" s="185"/>
      <c r="E879" s="186"/>
      <c r="F879" s="187"/>
    </row>
    <row r="880" spans="1:6" x14ac:dyDescent="0.2">
      <c r="A880" s="275"/>
      <c r="B880" s="78"/>
      <c r="C880" s="189"/>
      <c r="D880" s="185"/>
      <c r="E880" s="186"/>
      <c r="F880" s="187"/>
    </row>
    <row r="881" spans="1:6" x14ac:dyDescent="0.2">
      <c r="A881" s="275"/>
      <c r="B881" s="78"/>
      <c r="C881" s="189"/>
      <c r="D881" s="185"/>
      <c r="E881" s="186"/>
      <c r="F881" s="187"/>
    </row>
    <row r="882" spans="1:6" x14ac:dyDescent="0.2">
      <c r="A882" s="275"/>
      <c r="B882" s="78"/>
      <c r="C882" s="189"/>
      <c r="D882" s="185"/>
      <c r="E882" s="186"/>
      <c r="F882" s="187"/>
    </row>
    <row r="883" spans="1:6" x14ac:dyDescent="0.2">
      <c r="A883" s="275"/>
      <c r="B883" s="78"/>
      <c r="C883" s="189"/>
      <c r="D883" s="185"/>
      <c r="E883" s="186"/>
      <c r="F883" s="187"/>
    </row>
    <row r="884" spans="1:6" x14ac:dyDescent="0.2">
      <c r="A884" s="275"/>
      <c r="B884" s="78"/>
      <c r="C884" s="189"/>
      <c r="D884" s="185"/>
      <c r="E884" s="186"/>
      <c r="F884" s="187"/>
    </row>
    <row r="885" spans="1:6" x14ac:dyDescent="0.2">
      <c r="A885" s="275"/>
      <c r="B885" s="78"/>
      <c r="C885" s="189"/>
      <c r="D885" s="185"/>
      <c r="E885" s="186"/>
      <c r="F885" s="187"/>
    </row>
    <row r="886" spans="1:6" x14ac:dyDescent="0.2">
      <c r="A886" s="275"/>
      <c r="B886" s="78"/>
      <c r="C886" s="189"/>
      <c r="D886" s="185"/>
      <c r="E886" s="186"/>
      <c r="F886" s="187"/>
    </row>
    <row r="887" spans="1:6" x14ac:dyDescent="0.2">
      <c r="A887" s="275"/>
      <c r="B887" s="78"/>
      <c r="C887" s="189"/>
      <c r="D887" s="185"/>
      <c r="E887" s="186"/>
      <c r="F887" s="187"/>
    </row>
    <row r="888" spans="1:6" x14ac:dyDescent="0.2">
      <c r="A888" s="275"/>
      <c r="B888" s="78"/>
      <c r="C888" s="189"/>
      <c r="D888" s="185"/>
      <c r="E888" s="186"/>
      <c r="F888" s="187"/>
    </row>
    <row r="889" spans="1:6" x14ac:dyDescent="0.2">
      <c r="A889" s="275"/>
      <c r="B889" s="78"/>
      <c r="C889" s="189"/>
      <c r="D889" s="185"/>
      <c r="E889" s="186"/>
      <c r="F889" s="187"/>
    </row>
    <row r="890" spans="1:6" x14ac:dyDescent="0.2">
      <c r="A890" s="275"/>
      <c r="B890" s="78"/>
      <c r="C890" s="189"/>
      <c r="D890" s="185"/>
      <c r="E890" s="186"/>
      <c r="F890" s="187"/>
    </row>
    <row r="891" spans="1:6" x14ac:dyDescent="0.2">
      <c r="A891" s="275"/>
      <c r="B891" s="78"/>
      <c r="C891" s="189"/>
      <c r="D891" s="185"/>
      <c r="E891" s="186"/>
      <c r="F891" s="187"/>
    </row>
    <row r="892" spans="1:6" x14ac:dyDescent="0.2">
      <c r="A892" s="275"/>
      <c r="B892" s="78"/>
      <c r="C892" s="189"/>
      <c r="D892" s="185"/>
      <c r="E892" s="186"/>
      <c r="F892" s="187"/>
    </row>
    <row r="893" spans="1:6" x14ac:dyDescent="0.2">
      <c r="A893" s="275"/>
      <c r="B893" s="78"/>
      <c r="C893" s="189"/>
      <c r="D893" s="185"/>
      <c r="E893" s="186"/>
      <c r="F893" s="187"/>
    </row>
    <row r="894" spans="1:6" x14ac:dyDescent="0.2">
      <c r="A894" s="275"/>
      <c r="B894" s="78"/>
      <c r="C894" s="189"/>
      <c r="D894" s="185"/>
      <c r="E894" s="186"/>
      <c r="F894" s="187"/>
    </row>
    <row r="895" spans="1:6" x14ac:dyDescent="0.2">
      <c r="A895" s="275"/>
      <c r="B895" s="78"/>
      <c r="C895" s="189"/>
      <c r="D895" s="185"/>
      <c r="E895" s="186"/>
      <c r="F895" s="187"/>
    </row>
    <row r="896" spans="1:6" x14ac:dyDescent="0.2">
      <c r="A896" s="275"/>
      <c r="B896" s="78"/>
      <c r="C896" s="189"/>
      <c r="D896" s="185"/>
      <c r="E896" s="186"/>
      <c r="F896" s="187"/>
    </row>
    <row r="897" spans="1:6" x14ac:dyDescent="0.2">
      <c r="A897" s="275"/>
      <c r="B897" s="78"/>
      <c r="C897" s="189"/>
      <c r="D897" s="185"/>
      <c r="E897" s="186"/>
      <c r="F897" s="187"/>
    </row>
    <row r="898" spans="1:6" x14ac:dyDescent="0.2">
      <c r="A898" s="275"/>
      <c r="B898" s="78"/>
      <c r="C898" s="189"/>
      <c r="D898" s="185"/>
      <c r="E898" s="186"/>
      <c r="F898" s="187"/>
    </row>
    <row r="899" spans="1:6" x14ac:dyDescent="0.2">
      <c r="A899" s="275"/>
      <c r="B899" s="78"/>
      <c r="C899" s="189"/>
      <c r="D899" s="185"/>
      <c r="E899" s="186"/>
      <c r="F899" s="187"/>
    </row>
    <row r="900" spans="1:6" x14ac:dyDescent="0.2">
      <c r="A900" s="275"/>
      <c r="B900" s="78"/>
      <c r="C900" s="189"/>
      <c r="D900" s="185"/>
      <c r="E900" s="186"/>
      <c r="F900" s="187"/>
    </row>
    <row r="901" spans="1:6" x14ac:dyDescent="0.2">
      <c r="A901" s="275"/>
      <c r="B901" s="78"/>
      <c r="C901" s="189"/>
      <c r="D901" s="185"/>
      <c r="E901" s="186"/>
      <c r="F901" s="187"/>
    </row>
    <row r="902" spans="1:6" x14ac:dyDescent="0.2">
      <c r="A902" s="275"/>
      <c r="B902" s="78"/>
      <c r="C902" s="189"/>
      <c r="D902" s="185"/>
      <c r="E902" s="186"/>
      <c r="F902" s="187"/>
    </row>
    <row r="903" spans="1:6" x14ac:dyDescent="0.2">
      <c r="A903" s="275"/>
      <c r="B903" s="78"/>
      <c r="C903" s="189"/>
      <c r="D903" s="185"/>
      <c r="E903" s="186"/>
      <c r="F903" s="187"/>
    </row>
    <row r="904" spans="1:6" x14ac:dyDescent="0.2">
      <c r="A904" s="275"/>
      <c r="B904" s="78"/>
      <c r="C904" s="189"/>
      <c r="D904" s="185"/>
      <c r="E904" s="186"/>
      <c r="F904" s="187"/>
    </row>
    <row r="905" spans="1:6" x14ac:dyDescent="0.2">
      <c r="A905" s="275"/>
      <c r="B905" s="78"/>
      <c r="C905" s="189"/>
      <c r="D905" s="185"/>
      <c r="E905" s="186"/>
      <c r="F905" s="187"/>
    </row>
    <row r="906" spans="1:6" x14ac:dyDescent="0.2">
      <c r="A906" s="275"/>
      <c r="B906" s="78"/>
      <c r="C906" s="189"/>
      <c r="D906" s="185"/>
      <c r="E906" s="186"/>
      <c r="F906" s="187"/>
    </row>
    <row r="907" spans="1:6" x14ac:dyDescent="0.2">
      <c r="A907" s="275"/>
      <c r="B907" s="78"/>
      <c r="C907" s="189"/>
      <c r="D907" s="185"/>
      <c r="E907" s="186"/>
      <c r="F907" s="187"/>
    </row>
    <row r="908" spans="1:6" x14ac:dyDescent="0.2">
      <c r="A908" s="275"/>
      <c r="B908" s="78"/>
      <c r="C908" s="189"/>
      <c r="D908" s="185"/>
      <c r="E908" s="186"/>
      <c r="F908" s="187"/>
    </row>
    <row r="909" spans="1:6" x14ac:dyDescent="0.2">
      <c r="A909" s="275"/>
      <c r="B909" s="78"/>
      <c r="C909" s="189"/>
      <c r="D909" s="185"/>
      <c r="E909" s="186"/>
      <c r="F909" s="187"/>
    </row>
    <row r="910" spans="1:6" x14ac:dyDescent="0.2">
      <c r="A910" s="275"/>
      <c r="B910" s="78"/>
      <c r="C910" s="189"/>
      <c r="D910" s="185"/>
      <c r="E910" s="186"/>
      <c r="F910" s="187"/>
    </row>
    <row r="911" spans="1:6" x14ac:dyDescent="0.2">
      <c r="A911" s="275"/>
      <c r="B911" s="78"/>
      <c r="C911" s="189"/>
      <c r="D911" s="185"/>
      <c r="E911" s="186"/>
      <c r="F911" s="187"/>
    </row>
    <row r="912" spans="1:6" x14ac:dyDescent="0.2">
      <c r="A912" s="275"/>
      <c r="B912" s="78"/>
      <c r="C912" s="189"/>
      <c r="D912" s="185"/>
      <c r="E912" s="186"/>
      <c r="F912" s="187"/>
    </row>
    <row r="913" spans="1:6" x14ac:dyDescent="0.2">
      <c r="A913" s="275"/>
      <c r="B913" s="78"/>
      <c r="C913" s="189"/>
      <c r="D913" s="185"/>
      <c r="E913" s="186"/>
      <c r="F913" s="187"/>
    </row>
    <row r="914" spans="1:6" x14ac:dyDescent="0.2">
      <c r="A914" s="275"/>
      <c r="B914" s="78"/>
      <c r="C914" s="189"/>
      <c r="D914" s="185"/>
      <c r="E914" s="186"/>
      <c r="F914" s="187"/>
    </row>
    <row r="915" spans="1:6" x14ac:dyDescent="0.2">
      <c r="A915" s="275"/>
      <c r="B915" s="78"/>
      <c r="C915" s="189"/>
      <c r="D915" s="185"/>
      <c r="E915" s="186"/>
      <c r="F915" s="187"/>
    </row>
    <row r="916" spans="1:6" x14ac:dyDescent="0.2">
      <c r="A916" s="275"/>
      <c r="B916" s="78"/>
      <c r="C916" s="189"/>
      <c r="D916" s="185"/>
      <c r="E916" s="186"/>
      <c r="F916" s="187"/>
    </row>
    <row r="917" spans="1:6" x14ac:dyDescent="0.2">
      <c r="A917" s="275"/>
      <c r="B917" s="78"/>
      <c r="C917" s="189"/>
      <c r="D917" s="185"/>
      <c r="E917" s="186"/>
      <c r="F917" s="187"/>
    </row>
    <row r="918" spans="1:6" x14ac:dyDescent="0.2">
      <c r="A918" s="275"/>
      <c r="B918" s="78"/>
      <c r="C918" s="189"/>
      <c r="D918" s="185"/>
      <c r="E918" s="186"/>
      <c r="F918" s="187"/>
    </row>
    <row r="919" spans="1:6" x14ac:dyDescent="0.2">
      <c r="A919" s="275"/>
      <c r="B919" s="78"/>
      <c r="C919" s="189"/>
      <c r="D919" s="185"/>
      <c r="E919" s="186"/>
      <c r="F919" s="187"/>
    </row>
    <row r="920" spans="1:6" x14ac:dyDescent="0.2">
      <c r="A920" s="275"/>
      <c r="B920" s="78"/>
      <c r="C920" s="189"/>
      <c r="D920" s="185"/>
      <c r="E920" s="186"/>
      <c r="F920" s="187"/>
    </row>
    <row r="921" spans="1:6" x14ac:dyDescent="0.2">
      <c r="A921" s="275"/>
      <c r="B921" s="78"/>
      <c r="C921" s="189"/>
      <c r="D921" s="185"/>
      <c r="E921" s="186"/>
      <c r="F921" s="187"/>
    </row>
    <row r="922" spans="1:6" x14ac:dyDescent="0.2">
      <c r="A922" s="275"/>
      <c r="B922" s="78"/>
      <c r="C922" s="189"/>
      <c r="D922" s="185"/>
      <c r="E922" s="186"/>
      <c r="F922" s="187"/>
    </row>
    <row r="923" spans="1:6" x14ac:dyDescent="0.2">
      <c r="A923" s="275"/>
      <c r="B923" s="78"/>
      <c r="C923" s="189"/>
      <c r="D923" s="185"/>
      <c r="E923" s="186"/>
      <c r="F923" s="187"/>
    </row>
    <row r="924" spans="1:6" x14ac:dyDescent="0.2">
      <c r="A924" s="275"/>
      <c r="B924" s="78"/>
      <c r="C924" s="189"/>
      <c r="D924" s="185"/>
      <c r="E924" s="186"/>
      <c r="F924" s="187"/>
    </row>
    <row r="925" spans="1:6" x14ac:dyDescent="0.2">
      <c r="A925" s="275"/>
      <c r="B925" s="78"/>
      <c r="C925" s="189"/>
      <c r="D925" s="185"/>
      <c r="E925" s="186"/>
      <c r="F925" s="187"/>
    </row>
    <row r="926" spans="1:6" x14ac:dyDescent="0.2">
      <c r="A926" s="275"/>
      <c r="B926" s="78"/>
      <c r="C926" s="189"/>
      <c r="D926" s="185"/>
      <c r="E926" s="186"/>
      <c r="F926" s="187"/>
    </row>
    <row r="927" spans="1:6" x14ac:dyDescent="0.2">
      <c r="A927" s="275"/>
      <c r="B927" s="78"/>
      <c r="C927" s="189"/>
      <c r="D927" s="185"/>
      <c r="E927" s="186"/>
      <c r="F927" s="187"/>
    </row>
    <row r="928" spans="1:6" x14ac:dyDescent="0.2">
      <c r="A928" s="275"/>
      <c r="B928" s="78"/>
      <c r="C928" s="189"/>
      <c r="D928" s="185"/>
      <c r="E928" s="186"/>
      <c r="F928" s="187"/>
    </row>
    <row r="929" spans="1:6" x14ac:dyDescent="0.2">
      <c r="A929" s="275"/>
      <c r="B929" s="78"/>
      <c r="C929" s="189"/>
      <c r="D929" s="185"/>
      <c r="E929" s="186"/>
      <c r="F929" s="187"/>
    </row>
    <row r="930" spans="1:6" x14ac:dyDescent="0.2">
      <c r="A930" s="275"/>
      <c r="B930" s="78"/>
      <c r="C930" s="189"/>
      <c r="D930" s="185"/>
      <c r="E930" s="186"/>
      <c r="F930" s="187"/>
    </row>
    <row r="931" spans="1:6" x14ac:dyDescent="0.2">
      <c r="A931" s="275"/>
      <c r="B931" s="78"/>
      <c r="C931" s="189"/>
      <c r="D931" s="185"/>
      <c r="E931" s="186"/>
      <c r="F931" s="187"/>
    </row>
    <row r="932" spans="1:6" x14ac:dyDescent="0.2">
      <c r="A932" s="275"/>
      <c r="B932" s="78"/>
      <c r="C932" s="189"/>
      <c r="D932" s="185"/>
      <c r="E932" s="186"/>
      <c r="F932" s="187"/>
    </row>
    <row r="933" spans="1:6" x14ac:dyDescent="0.2">
      <c r="A933" s="275"/>
      <c r="B933" s="78"/>
      <c r="C933" s="189"/>
      <c r="D933" s="185"/>
      <c r="E933" s="186"/>
      <c r="F933" s="187"/>
    </row>
    <row r="934" spans="1:6" x14ac:dyDescent="0.2">
      <c r="A934" s="275"/>
      <c r="B934" s="78"/>
      <c r="C934" s="189"/>
      <c r="D934" s="185"/>
      <c r="E934" s="186"/>
      <c r="F934" s="187"/>
    </row>
    <row r="935" spans="1:6" x14ac:dyDescent="0.2">
      <c r="A935" s="275"/>
      <c r="B935" s="78"/>
      <c r="C935" s="189"/>
      <c r="D935" s="185"/>
      <c r="E935" s="186"/>
      <c r="F935" s="187"/>
    </row>
    <row r="936" spans="1:6" x14ac:dyDescent="0.2">
      <c r="A936" s="275"/>
      <c r="B936" s="78"/>
      <c r="C936" s="189"/>
      <c r="D936" s="185"/>
      <c r="E936" s="186"/>
      <c r="F936" s="187"/>
    </row>
    <row r="937" spans="1:6" x14ac:dyDescent="0.2">
      <c r="A937" s="275"/>
      <c r="B937" s="78"/>
      <c r="C937" s="189"/>
      <c r="D937" s="185"/>
      <c r="E937" s="186"/>
      <c r="F937" s="187"/>
    </row>
    <row r="938" spans="1:6" x14ac:dyDescent="0.2">
      <c r="A938" s="275"/>
      <c r="B938" s="78"/>
      <c r="C938" s="189"/>
      <c r="D938" s="185"/>
      <c r="E938" s="186"/>
      <c r="F938" s="187"/>
    </row>
    <row r="939" spans="1:6" x14ac:dyDescent="0.2">
      <c r="A939" s="275"/>
      <c r="B939" s="78"/>
      <c r="C939" s="189"/>
      <c r="D939" s="185"/>
      <c r="E939" s="186"/>
      <c r="F939" s="187"/>
    </row>
    <row r="940" spans="1:6" x14ac:dyDescent="0.2">
      <c r="A940" s="275"/>
      <c r="B940" s="78"/>
      <c r="C940" s="189"/>
      <c r="D940" s="185"/>
      <c r="E940" s="186"/>
      <c r="F940" s="187"/>
    </row>
    <row r="941" spans="1:6" x14ac:dyDescent="0.2">
      <c r="A941" s="275"/>
      <c r="B941" s="78"/>
      <c r="C941" s="189"/>
      <c r="D941" s="185"/>
      <c r="E941" s="186"/>
      <c r="F941" s="187"/>
    </row>
    <row r="942" spans="1:6" x14ac:dyDescent="0.2">
      <c r="A942" s="275"/>
      <c r="B942" s="78"/>
      <c r="C942" s="189"/>
      <c r="D942" s="185"/>
      <c r="E942" s="186"/>
      <c r="F942" s="187"/>
    </row>
    <row r="943" spans="1:6" x14ac:dyDescent="0.2">
      <c r="A943" s="275"/>
      <c r="B943" s="78"/>
      <c r="C943" s="189"/>
      <c r="D943" s="185"/>
      <c r="E943" s="186"/>
      <c r="F943" s="187"/>
    </row>
    <row r="944" spans="1:6" x14ac:dyDescent="0.2">
      <c r="A944" s="275"/>
      <c r="B944" s="78"/>
      <c r="C944" s="189"/>
      <c r="D944" s="185"/>
      <c r="E944" s="186"/>
      <c r="F944" s="187"/>
    </row>
    <row r="945" spans="1:6" x14ac:dyDescent="0.2">
      <c r="A945" s="275"/>
      <c r="B945" s="78"/>
      <c r="C945" s="189"/>
      <c r="D945" s="185"/>
      <c r="E945" s="186"/>
      <c r="F945" s="187"/>
    </row>
    <row r="946" spans="1:6" x14ac:dyDescent="0.2">
      <c r="A946" s="275"/>
      <c r="B946" s="78"/>
      <c r="C946" s="189"/>
      <c r="D946" s="185"/>
      <c r="E946" s="186"/>
      <c r="F946" s="187"/>
    </row>
    <row r="947" spans="1:6" x14ac:dyDescent="0.2">
      <c r="A947" s="275"/>
      <c r="B947" s="78"/>
      <c r="C947" s="189"/>
      <c r="D947" s="185"/>
      <c r="E947" s="186"/>
      <c r="F947" s="187"/>
    </row>
    <row r="948" spans="1:6" x14ac:dyDescent="0.2">
      <c r="A948" s="275"/>
      <c r="B948" s="78"/>
      <c r="C948" s="189"/>
      <c r="D948" s="185"/>
      <c r="E948" s="186"/>
      <c r="F948" s="187"/>
    </row>
    <row r="949" spans="1:6" x14ac:dyDescent="0.2">
      <c r="A949" s="275"/>
      <c r="B949" s="78"/>
      <c r="C949" s="189"/>
      <c r="D949" s="185"/>
      <c r="E949" s="186"/>
      <c r="F949" s="187"/>
    </row>
    <row r="950" spans="1:6" x14ac:dyDescent="0.2">
      <c r="A950" s="275"/>
      <c r="B950" s="78"/>
      <c r="C950" s="189"/>
      <c r="D950" s="185"/>
      <c r="E950" s="186"/>
      <c r="F950" s="187"/>
    </row>
    <row r="951" spans="1:6" x14ac:dyDescent="0.2">
      <c r="A951" s="275"/>
      <c r="B951" s="78"/>
      <c r="C951" s="189"/>
      <c r="D951" s="185"/>
      <c r="E951" s="186"/>
      <c r="F951" s="187"/>
    </row>
    <row r="952" spans="1:6" x14ac:dyDescent="0.2">
      <c r="A952" s="275"/>
      <c r="B952" s="78"/>
      <c r="C952" s="189"/>
      <c r="D952" s="185"/>
      <c r="E952" s="186"/>
      <c r="F952" s="187"/>
    </row>
    <row r="953" spans="1:6" x14ac:dyDescent="0.2">
      <c r="A953" s="275"/>
      <c r="B953" s="78"/>
      <c r="C953" s="189"/>
      <c r="D953" s="185"/>
      <c r="E953" s="186"/>
      <c r="F953" s="187"/>
    </row>
    <row r="954" spans="1:6" x14ac:dyDescent="0.2">
      <c r="A954" s="275"/>
      <c r="B954" s="78"/>
      <c r="C954" s="189"/>
      <c r="D954" s="185"/>
      <c r="E954" s="186"/>
      <c r="F954" s="187"/>
    </row>
    <row r="955" spans="1:6" x14ac:dyDescent="0.2">
      <c r="A955" s="275"/>
      <c r="B955" s="78"/>
      <c r="C955" s="189"/>
      <c r="D955" s="185"/>
      <c r="E955" s="186"/>
      <c r="F955" s="187"/>
    </row>
    <row r="956" spans="1:6" x14ac:dyDescent="0.2">
      <c r="A956" s="275"/>
      <c r="B956" s="78"/>
      <c r="C956" s="189"/>
      <c r="D956" s="185"/>
      <c r="E956" s="186"/>
      <c r="F956" s="187"/>
    </row>
    <row r="957" spans="1:6" x14ac:dyDescent="0.2">
      <c r="A957" s="275"/>
      <c r="B957" s="78"/>
      <c r="C957" s="189"/>
      <c r="D957" s="185"/>
      <c r="E957" s="186"/>
      <c r="F957" s="187"/>
    </row>
    <row r="958" spans="1:6" x14ac:dyDescent="0.2">
      <c r="A958" s="275"/>
      <c r="B958" s="78"/>
      <c r="C958" s="189"/>
      <c r="D958" s="185"/>
      <c r="E958" s="186"/>
      <c r="F958" s="187"/>
    </row>
    <row r="959" spans="1:6" x14ac:dyDescent="0.2">
      <c r="A959" s="275"/>
      <c r="B959" s="78"/>
      <c r="C959" s="189"/>
      <c r="D959" s="185"/>
      <c r="E959" s="186"/>
      <c r="F959" s="187"/>
    </row>
    <row r="960" spans="1:6" x14ac:dyDescent="0.2">
      <c r="A960" s="275"/>
      <c r="B960" s="78"/>
      <c r="C960" s="189"/>
      <c r="D960" s="185"/>
      <c r="E960" s="186"/>
      <c r="F960" s="187"/>
    </row>
    <row r="961" spans="1:6" x14ac:dyDescent="0.2">
      <c r="A961" s="275"/>
      <c r="B961" s="78"/>
      <c r="C961" s="189"/>
      <c r="D961" s="185"/>
      <c r="E961" s="186"/>
      <c r="F961" s="187"/>
    </row>
    <row r="962" spans="1:6" x14ac:dyDescent="0.2">
      <c r="A962" s="275"/>
      <c r="B962" s="78"/>
      <c r="C962" s="189"/>
      <c r="D962" s="185"/>
      <c r="E962" s="186"/>
      <c r="F962" s="187"/>
    </row>
    <row r="963" spans="1:6" x14ac:dyDescent="0.2">
      <c r="A963" s="275"/>
      <c r="B963" s="78"/>
      <c r="C963" s="189"/>
      <c r="D963" s="185"/>
      <c r="E963" s="186"/>
      <c r="F963" s="187"/>
    </row>
    <row r="964" spans="1:6" x14ac:dyDescent="0.2">
      <c r="A964" s="275"/>
      <c r="B964" s="78"/>
      <c r="C964" s="189"/>
      <c r="D964" s="185"/>
      <c r="E964" s="186"/>
      <c r="F964" s="187"/>
    </row>
    <row r="965" spans="1:6" x14ac:dyDescent="0.2">
      <c r="A965" s="275"/>
      <c r="B965" s="78"/>
      <c r="C965" s="189"/>
      <c r="D965" s="185"/>
      <c r="E965" s="186"/>
      <c r="F965" s="187"/>
    </row>
    <row r="966" spans="1:6" x14ac:dyDescent="0.2">
      <c r="A966" s="275"/>
      <c r="B966" s="78"/>
      <c r="C966" s="189"/>
      <c r="D966" s="185"/>
      <c r="E966" s="186"/>
      <c r="F966" s="187"/>
    </row>
    <row r="967" spans="1:6" x14ac:dyDescent="0.2">
      <c r="A967" s="275"/>
      <c r="B967" s="78"/>
      <c r="C967" s="189"/>
      <c r="D967" s="185"/>
      <c r="E967" s="186"/>
      <c r="F967" s="187"/>
    </row>
    <row r="968" spans="1:6" x14ac:dyDescent="0.2">
      <c r="A968" s="275"/>
      <c r="B968" s="78"/>
      <c r="C968" s="189"/>
      <c r="D968" s="185"/>
      <c r="E968" s="186"/>
      <c r="F968" s="187"/>
    </row>
    <row r="969" spans="1:6" x14ac:dyDescent="0.2">
      <c r="A969" s="275"/>
      <c r="B969" s="78"/>
      <c r="C969" s="189"/>
      <c r="D969" s="185"/>
      <c r="E969" s="186"/>
      <c r="F969" s="187"/>
    </row>
    <row r="970" spans="1:6" x14ac:dyDescent="0.2">
      <c r="A970" s="275"/>
      <c r="B970" s="78"/>
      <c r="C970" s="189"/>
      <c r="D970" s="185"/>
      <c r="E970" s="186"/>
      <c r="F970" s="187"/>
    </row>
    <row r="971" spans="1:6" x14ac:dyDescent="0.2">
      <c r="A971" s="275"/>
      <c r="B971" s="78"/>
      <c r="C971" s="189"/>
      <c r="D971" s="185"/>
      <c r="E971" s="186"/>
      <c r="F971" s="187"/>
    </row>
    <row r="972" spans="1:6" x14ac:dyDescent="0.2">
      <c r="A972" s="275"/>
      <c r="B972" s="78"/>
      <c r="C972" s="189"/>
      <c r="D972" s="185"/>
      <c r="E972" s="186"/>
      <c r="F972" s="187"/>
    </row>
    <row r="973" spans="1:6" x14ac:dyDescent="0.2">
      <c r="A973" s="275"/>
      <c r="B973" s="78"/>
      <c r="C973" s="189"/>
      <c r="D973" s="185"/>
      <c r="E973" s="186"/>
      <c r="F973" s="187"/>
    </row>
    <row r="974" spans="1:6" x14ac:dyDescent="0.2">
      <c r="A974" s="275"/>
      <c r="B974" s="78"/>
      <c r="C974" s="189"/>
      <c r="D974" s="185"/>
      <c r="E974" s="186"/>
      <c r="F974" s="187"/>
    </row>
    <row r="975" spans="1:6" x14ac:dyDescent="0.2">
      <c r="A975" s="275"/>
      <c r="B975" s="78"/>
      <c r="C975" s="189"/>
      <c r="D975" s="185"/>
      <c r="E975" s="186"/>
      <c r="F975" s="187"/>
    </row>
    <row r="976" spans="1:6" x14ac:dyDescent="0.2">
      <c r="A976" s="275"/>
      <c r="B976" s="78"/>
      <c r="C976" s="189"/>
      <c r="D976" s="185"/>
      <c r="E976" s="186"/>
      <c r="F976" s="187"/>
    </row>
    <row r="977" spans="1:6" x14ac:dyDescent="0.2">
      <c r="A977" s="275"/>
      <c r="B977" s="78"/>
      <c r="C977" s="189"/>
      <c r="D977" s="185"/>
      <c r="E977" s="186"/>
      <c r="F977" s="187"/>
    </row>
    <row r="978" spans="1:6" x14ac:dyDescent="0.2">
      <c r="A978" s="275"/>
      <c r="B978" s="78"/>
      <c r="C978" s="189"/>
      <c r="D978" s="185"/>
      <c r="E978" s="186"/>
      <c r="F978" s="187"/>
    </row>
    <row r="979" spans="1:6" x14ac:dyDescent="0.2">
      <c r="A979" s="275"/>
      <c r="B979" s="78"/>
      <c r="C979" s="189"/>
      <c r="D979" s="185"/>
      <c r="E979" s="186"/>
      <c r="F979" s="187"/>
    </row>
    <row r="980" spans="1:6" x14ac:dyDescent="0.2">
      <c r="A980" s="275"/>
      <c r="B980" s="78"/>
      <c r="C980" s="189"/>
      <c r="D980" s="185"/>
      <c r="E980" s="186"/>
      <c r="F980" s="187"/>
    </row>
    <row r="981" spans="1:6" x14ac:dyDescent="0.2">
      <c r="A981" s="275"/>
      <c r="B981" s="78"/>
      <c r="C981" s="189"/>
      <c r="D981" s="185"/>
      <c r="E981" s="186"/>
      <c r="F981" s="187"/>
    </row>
    <row r="982" spans="1:6" x14ac:dyDescent="0.2">
      <c r="A982" s="275"/>
      <c r="B982" s="78"/>
      <c r="C982" s="189"/>
      <c r="D982" s="185"/>
      <c r="E982" s="186"/>
      <c r="F982" s="187"/>
    </row>
    <row r="983" spans="1:6" x14ac:dyDescent="0.2">
      <c r="A983" s="275"/>
      <c r="B983" s="78"/>
      <c r="C983" s="189"/>
      <c r="D983" s="185"/>
      <c r="E983" s="186"/>
      <c r="F983" s="187"/>
    </row>
    <row r="984" spans="1:6" x14ac:dyDescent="0.2">
      <c r="A984" s="275"/>
      <c r="B984" s="78"/>
      <c r="C984" s="189"/>
      <c r="D984" s="185"/>
      <c r="E984" s="186"/>
      <c r="F984" s="187"/>
    </row>
    <row r="985" spans="1:6" x14ac:dyDescent="0.2">
      <c r="A985" s="275"/>
      <c r="B985" s="78"/>
      <c r="C985" s="189"/>
      <c r="D985" s="185"/>
      <c r="E985" s="186"/>
      <c r="F985" s="187"/>
    </row>
    <row r="986" spans="1:6" x14ac:dyDescent="0.2">
      <c r="A986" s="275"/>
      <c r="B986" s="78"/>
      <c r="C986" s="189"/>
      <c r="D986" s="185"/>
      <c r="E986" s="186"/>
      <c r="F986" s="187"/>
    </row>
    <row r="987" spans="1:6" x14ac:dyDescent="0.2">
      <c r="A987" s="275"/>
      <c r="B987" s="78"/>
      <c r="C987" s="189"/>
      <c r="D987" s="185"/>
      <c r="E987" s="186"/>
      <c r="F987" s="187"/>
    </row>
    <row r="988" spans="1:6" x14ac:dyDescent="0.2">
      <c r="A988" s="275"/>
      <c r="B988" s="78"/>
      <c r="C988" s="189"/>
      <c r="D988" s="185"/>
      <c r="E988" s="186"/>
      <c r="F988" s="187"/>
    </row>
    <row r="989" spans="1:6" x14ac:dyDescent="0.2">
      <c r="A989" s="275"/>
      <c r="B989" s="78"/>
      <c r="C989" s="189"/>
      <c r="D989" s="185"/>
      <c r="E989" s="186"/>
      <c r="F989" s="187"/>
    </row>
    <row r="990" spans="1:6" x14ac:dyDescent="0.2">
      <c r="A990" s="275"/>
      <c r="B990" s="78"/>
      <c r="C990" s="189"/>
      <c r="D990" s="185"/>
      <c r="E990" s="186"/>
      <c r="F990" s="187"/>
    </row>
    <row r="991" spans="1:6" x14ac:dyDescent="0.2">
      <c r="A991" s="275"/>
      <c r="B991" s="78"/>
      <c r="C991" s="189"/>
      <c r="D991" s="185"/>
      <c r="E991" s="186"/>
      <c r="F991" s="187"/>
    </row>
    <row r="992" spans="1:6" x14ac:dyDescent="0.2">
      <c r="A992" s="275"/>
      <c r="B992" s="78"/>
      <c r="C992" s="189"/>
      <c r="D992" s="185"/>
      <c r="E992" s="186"/>
      <c r="F992" s="187"/>
    </row>
    <row r="993" spans="1:6" x14ac:dyDescent="0.2">
      <c r="A993" s="275"/>
      <c r="B993" s="78"/>
      <c r="C993" s="189"/>
      <c r="D993" s="185"/>
      <c r="E993" s="186"/>
      <c r="F993" s="187"/>
    </row>
    <row r="994" spans="1:6" x14ac:dyDescent="0.2">
      <c r="A994" s="275"/>
      <c r="B994" s="78"/>
      <c r="C994" s="189"/>
      <c r="D994" s="185"/>
      <c r="E994" s="186"/>
      <c r="F994" s="187"/>
    </row>
    <row r="995" spans="1:6" x14ac:dyDescent="0.2">
      <c r="A995" s="275"/>
      <c r="B995" s="78"/>
      <c r="C995" s="189"/>
      <c r="D995" s="185"/>
      <c r="E995" s="186"/>
      <c r="F995" s="187"/>
    </row>
    <row r="996" spans="1:6" x14ac:dyDescent="0.2">
      <c r="A996" s="275"/>
      <c r="B996" s="78"/>
      <c r="C996" s="189"/>
      <c r="D996" s="185"/>
      <c r="E996" s="186"/>
      <c r="F996" s="187"/>
    </row>
    <row r="997" spans="1:6" x14ac:dyDescent="0.2">
      <c r="A997" s="275"/>
      <c r="B997" s="78"/>
      <c r="C997" s="189"/>
      <c r="D997" s="185"/>
      <c r="E997" s="186"/>
      <c r="F997" s="187"/>
    </row>
    <row r="998" spans="1:6" x14ac:dyDescent="0.2">
      <c r="A998" s="275"/>
      <c r="B998" s="78"/>
      <c r="C998" s="189"/>
      <c r="D998" s="185"/>
      <c r="E998" s="186"/>
      <c r="F998" s="187"/>
    </row>
    <row r="999" spans="1:6" x14ac:dyDescent="0.2">
      <c r="A999" s="275"/>
      <c r="B999" s="78"/>
      <c r="C999" s="189"/>
      <c r="D999" s="185"/>
      <c r="E999" s="186"/>
      <c r="F999" s="187"/>
    </row>
    <row r="1000" spans="1:6" x14ac:dyDescent="0.2">
      <c r="A1000" s="275"/>
      <c r="B1000" s="78"/>
      <c r="C1000" s="189"/>
      <c r="D1000" s="185"/>
      <c r="E1000" s="186"/>
      <c r="F1000" s="187"/>
    </row>
    <row r="1001" spans="1:6" x14ac:dyDescent="0.2">
      <c r="A1001" s="275"/>
      <c r="B1001" s="78"/>
      <c r="C1001" s="189"/>
      <c r="D1001" s="185"/>
      <c r="E1001" s="186"/>
      <c r="F1001" s="187"/>
    </row>
    <row r="1002" spans="1:6" x14ac:dyDescent="0.2">
      <c r="A1002" s="275"/>
      <c r="B1002" s="78"/>
      <c r="C1002" s="189"/>
      <c r="D1002" s="185"/>
      <c r="E1002" s="186"/>
      <c r="F1002" s="187"/>
    </row>
    <row r="1003" spans="1:6" x14ac:dyDescent="0.2">
      <c r="A1003" s="275"/>
      <c r="B1003" s="78"/>
      <c r="C1003" s="189"/>
      <c r="D1003" s="185"/>
      <c r="E1003" s="186"/>
      <c r="F1003" s="187"/>
    </row>
    <row r="1004" spans="1:6" x14ac:dyDescent="0.2">
      <c r="A1004" s="275"/>
      <c r="B1004" s="78"/>
      <c r="C1004" s="189"/>
      <c r="D1004" s="185"/>
      <c r="E1004" s="186"/>
      <c r="F1004" s="187"/>
    </row>
    <row r="1005" spans="1:6" x14ac:dyDescent="0.2">
      <c r="A1005" s="275"/>
      <c r="B1005" s="78"/>
      <c r="C1005" s="189"/>
      <c r="D1005" s="185"/>
      <c r="E1005" s="186"/>
      <c r="F1005" s="187"/>
    </row>
    <row r="1006" spans="1:6" x14ac:dyDescent="0.2">
      <c r="A1006" s="275"/>
      <c r="B1006" s="78"/>
      <c r="C1006" s="189"/>
      <c r="D1006" s="185"/>
      <c r="E1006" s="186"/>
      <c r="F1006" s="187"/>
    </row>
    <row r="1007" spans="1:6" x14ac:dyDescent="0.2">
      <c r="A1007" s="275"/>
      <c r="B1007" s="78"/>
      <c r="C1007" s="189"/>
      <c r="D1007" s="185"/>
      <c r="E1007" s="186"/>
      <c r="F1007" s="187"/>
    </row>
    <row r="1008" spans="1:6" x14ac:dyDescent="0.2">
      <c r="A1008" s="275"/>
      <c r="B1008" s="78"/>
      <c r="C1008" s="189"/>
      <c r="D1008" s="185"/>
      <c r="E1008" s="186"/>
      <c r="F1008" s="187"/>
    </row>
    <row r="1009" spans="1:6" x14ac:dyDescent="0.2">
      <c r="A1009" s="275"/>
      <c r="B1009" s="78"/>
      <c r="C1009" s="189"/>
      <c r="D1009" s="185"/>
      <c r="E1009" s="186"/>
      <c r="F1009" s="187"/>
    </row>
    <row r="1010" spans="1:6" x14ac:dyDescent="0.2">
      <c r="A1010" s="275"/>
      <c r="B1010" s="78"/>
      <c r="C1010" s="189"/>
      <c r="D1010" s="185"/>
      <c r="E1010" s="186"/>
      <c r="F1010" s="187"/>
    </row>
    <row r="1011" spans="1:6" x14ac:dyDescent="0.2">
      <c r="A1011" s="275"/>
      <c r="B1011" s="78"/>
      <c r="C1011" s="189"/>
      <c r="D1011" s="185"/>
      <c r="E1011" s="186"/>
      <c r="F1011" s="187"/>
    </row>
    <row r="1012" spans="1:6" x14ac:dyDescent="0.2">
      <c r="A1012" s="275"/>
      <c r="B1012" s="78"/>
      <c r="C1012" s="189"/>
      <c r="D1012" s="185"/>
      <c r="E1012" s="186"/>
      <c r="F1012" s="187"/>
    </row>
    <row r="1013" spans="1:6" x14ac:dyDescent="0.2">
      <c r="A1013" s="275"/>
      <c r="B1013" s="78"/>
      <c r="C1013" s="189"/>
      <c r="D1013" s="185"/>
      <c r="E1013" s="186"/>
      <c r="F1013" s="187"/>
    </row>
    <row r="1014" spans="1:6" x14ac:dyDescent="0.2">
      <c r="A1014" s="275"/>
      <c r="B1014" s="78"/>
      <c r="C1014" s="189"/>
      <c r="D1014" s="185"/>
      <c r="E1014" s="186"/>
      <c r="F1014" s="187"/>
    </row>
    <row r="1015" spans="1:6" x14ac:dyDescent="0.2">
      <c r="A1015" s="275"/>
      <c r="B1015" s="78"/>
      <c r="C1015" s="189"/>
      <c r="D1015" s="185"/>
      <c r="E1015" s="186"/>
      <c r="F1015" s="187"/>
    </row>
    <row r="1016" spans="1:6" x14ac:dyDescent="0.2">
      <c r="A1016" s="275"/>
      <c r="B1016" s="78"/>
      <c r="C1016" s="189"/>
      <c r="D1016" s="185"/>
      <c r="E1016" s="186"/>
      <c r="F1016" s="187"/>
    </row>
    <row r="1017" spans="1:6" x14ac:dyDescent="0.2">
      <c r="A1017" s="275"/>
      <c r="B1017" s="78"/>
      <c r="C1017" s="189"/>
      <c r="D1017" s="185"/>
      <c r="E1017" s="186"/>
      <c r="F1017" s="187"/>
    </row>
    <row r="1018" spans="1:6" x14ac:dyDescent="0.2">
      <c r="A1018" s="275"/>
      <c r="B1018" s="78"/>
      <c r="C1018" s="189"/>
      <c r="D1018" s="185"/>
      <c r="E1018" s="186"/>
      <c r="F1018" s="187"/>
    </row>
    <row r="1019" spans="1:6" x14ac:dyDescent="0.2">
      <c r="A1019" s="275"/>
      <c r="B1019" s="78"/>
      <c r="C1019" s="189"/>
      <c r="D1019" s="185"/>
      <c r="E1019" s="186"/>
      <c r="F1019" s="187"/>
    </row>
    <row r="1020" spans="1:6" x14ac:dyDescent="0.2">
      <c r="A1020" s="275"/>
      <c r="B1020" s="78"/>
      <c r="C1020" s="189"/>
      <c r="D1020" s="185"/>
      <c r="E1020" s="186"/>
      <c r="F1020" s="187"/>
    </row>
    <row r="1021" spans="1:6" x14ac:dyDescent="0.2">
      <c r="A1021" s="275"/>
      <c r="B1021" s="78"/>
      <c r="C1021" s="189"/>
      <c r="D1021" s="185"/>
      <c r="E1021" s="186"/>
      <c r="F1021" s="187"/>
    </row>
    <row r="1022" spans="1:6" x14ac:dyDescent="0.2">
      <c r="A1022" s="275"/>
      <c r="B1022" s="78"/>
      <c r="C1022" s="189"/>
      <c r="D1022" s="185"/>
      <c r="E1022" s="186"/>
      <c r="F1022" s="187"/>
    </row>
    <row r="1023" spans="1:6" x14ac:dyDescent="0.2">
      <c r="A1023" s="275"/>
      <c r="B1023" s="78"/>
      <c r="C1023" s="189"/>
      <c r="D1023" s="185"/>
      <c r="E1023" s="186"/>
      <c r="F1023" s="187"/>
    </row>
    <row r="1024" spans="1:6" x14ac:dyDescent="0.2">
      <c r="A1024" s="275"/>
      <c r="B1024" s="78"/>
      <c r="C1024" s="189"/>
      <c r="D1024" s="185"/>
      <c r="E1024" s="186"/>
      <c r="F1024" s="187"/>
    </row>
    <row r="1025" spans="1:6" x14ac:dyDescent="0.2">
      <c r="A1025" s="275"/>
      <c r="B1025" s="78"/>
      <c r="C1025" s="189"/>
      <c r="D1025" s="185"/>
      <c r="E1025" s="186"/>
      <c r="F1025" s="187"/>
    </row>
    <row r="1026" spans="1:6" x14ac:dyDescent="0.2">
      <c r="A1026" s="275"/>
      <c r="B1026" s="78"/>
      <c r="C1026" s="189"/>
      <c r="D1026" s="185"/>
      <c r="E1026" s="186"/>
      <c r="F1026" s="187"/>
    </row>
    <row r="1027" spans="1:6" x14ac:dyDescent="0.2">
      <c r="A1027" s="275"/>
      <c r="B1027" s="78"/>
      <c r="C1027" s="189"/>
      <c r="D1027" s="185"/>
      <c r="E1027" s="186"/>
      <c r="F1027" s="187"/>
    </row>
    <row r="1028" spans="1:6" x14ac:dyDescent="0.2">
      <c r="A1028" s="275"/>
      <c r="B1028" s="78"/>
      <c r="C1028" s="189"/>
      <c r="D1028" s="185"/>
      <c r="E1028" s="186"/>
      <c r="F1028" s="187"/>
    </row>
    <row r="1029" spans="1:6" x14ac:dyDescent="0.2">
      <c r="A1029" s="275"/>
      <c r="B1029" s="78"/>
      <c r="C1029" s="189"/>
      <c r="D1029" s="185"/>
      <c r="E1029" s="186"/>
      <c r="F1029" s="187"/>
    </row>
    <row r="1030" spans="1:6" x14ac:dyDescent="0.2">
      <c r="A1030" s="275"/>
      <c r="B1030" s="78"/>
      <c r="C1030" s="189"/>
      <c r="D1030" s="185"/>
      <c r="E1030" s="186"/>
      <c r="F1030" s="187"/>
    </row>
    <row r="1031" spans="1:6" x14ac:dyDescent="0.2">
      <c r="A1031" s="275"/>
      <c r="B1031" s="78"/>
      <c r="C1031" s="189"/>
      <c r="D1031" s="185"/>
      <c r="E1031" s="186"/>
      <c r="F1031" s="187"/>
    </row>
    <row r="1032" spans="1:6" x14ac:dyDescent="0.2">
      <c r="A1032" s="275"/>
      <c r="B1032" s="78"/>
      <c r="C1032" s="189"/>
      <c r="D1032" s="185"/>
      <c r="E1032" s="186"/>
      <c r="F1032" s="187"/>
    </row>
    <row r="1033" spans="1:6" x14ac:dyDescent="0.2">
      <c r="A1033" s="275"/>
      <c r="B1033" s="78"/>
      <c r="C1033" s="189"/>
      <c r="D1033" s="185"/>
      <c r="E1033" s="186"/>
      <c r="F1033" s="187"/>
    </row>
    <row r="1034" spans="1:6" x14ac:dyDescent="0.2">
      <c r="A1034" s="275"/>
      <c r="B1034" s="78"/>
      <c r="C1034" s="189"/>
      <c r="D1034" s="185"/>
      <c r="E1034" s="186"/>
      <c r="F1034" s="187"/>
    </row>
    <row r="1035" spans="1:6" x14ac:dyDescent="0.2">
      <c r="A1035" s="275"/>
      <c r="B1035" s="78"/>
      <c r="C1035" s="189"/>
      <c r="D1035" s="185"/>
      <c r="E1035" s="186"/>
      <c r="F1035" s="187"/>
    </row>
    <row r="1036" spans="1:6" x14ac:dyDescent="0.2">
      <c r="A1036" s="275"/>
      <c r="B1036" s="78"/>
      <c r="C1036" s="189"/>
      <c r="D1036" s="185"/>
      <c r="E1036" s="186"/>
      <c r="F1036" s="187"/>
    </row>
    <row r="1037" spans="1:6" x14ac:dyDescent="0.2">
      <c r="A1037" s="275"/>
      <c r="B1037" s="78"/>
      <c r="C1037" s="189"/>
      <c r="D1037" s="185"/>
      <c r="E1037" s="186"/>
      <c r="F1037" s="187"/>
    </row>
    <row r="1038" spans="1:6" x14ac:dyDescent="0.2">
      <c r="A1038" s="275"/>
      <c r="B1038" s="78"/>
      <c r="C1038" s="189"/>
      <c r="D1038" s="185"/>
      <c r="E1038" s="186"/>
      <c r="F1038" s="187"/>
    </row>
    <row r="1039" spans="1:6" x14ac:dyDescent="0.2">
      <c r="A1039" s="275"/>
      <c r="B1039" s="78"/>
      <c r="C1039" s="189"/>
      <c r="D1039" s="185"/>
      <c r="E1039" s="186"/>
      <c r="F1039" s="187"/>
    </row>
    <row r="1040" spans="1:6" x14ac:dyDescent="0.2">
      <c r="A1040" s="275"/>
      <c r="B1040" s="78"/>
      <c r="C1040" s="189"/>
      <c r="D1040" s="185"/>
      <c r="E1040" s="186"/>
      <c r="F1040" s="187"/>
    </row>
    <row r="1041" spans="1:6" x14ac:dyDescent="0.2">
      <c r="A1041" s="275"/>
      <c r="B1041" s="78"/>
      <c r="C1041" s="189"/>
      <c r="D1041" s="185"/>
      <c r="E1041" s="186"/>
      <c r="F1041" s="187"/>
    </row>
    <row r="1042" spans="1:6" x14ac:dyDescent="0.2">
      <c r="A1042" s="275"/>
      <c r="B1042" s="78"/>
      <c r="C1042" s="189"/>
      <c r="D1042" s="185"/>
      <c r="E1042" s="186"/>
      <c r="F1042" s="187"/>
    </row>
    <row r="1043" spans="1:6" x14ac:dyDescent="0.2">
      <c r="A1043" s="275"/>
      <c r="B1043" s="78"/>
      <c r="C1043" s="189"/>
      <c r="D1043" s="185"/>
      <c r="E1043" s="186"/>
      <c r="F1043" s="187"/>
    </row>
    <row r="1044" spans="1:6" x14ac:dyDescent="0.2">
      <c r="A1044" s="275"/>
      <c r="B1044" s="78"/>
      <c r="C1044" s="189"/>
      <c r="D1044" s="185"/>
      <c r="E1044" s="186"/>
      <c r="F1044" s="187"/>
    </row>
    <row r="1045" spans="1:6" x14ac:dyDescent="0.2">
      <c r="A1045" s="275"/>
      <c r="B1045" s="78"/>
      <c r="C1045" s="189"/>
      <c r="D1045" s="185"/>
      <c r="E1045" s="186"/>
      <c r="F1045" s="187"/>
    </row>
    <row r="1046" spans="1:6" x14ac:dyDescent="0.2">
      <c r="A1046" s="275"/>
      <c r="B1046" s="78"/>
      <c r="C1046" s="189"/>
      <c r="D1046" s="185"/>
      <c r="E1046" s="186"/>
      <c r="F1046" s="187"/>
    </row>
    <row r="1047" spans="1:6" x14ac:dyDescent="0.2">
      <c r="A1047" s="275"/>
      <c r="B1047" s="78"/>
      <c r="C1047" s="189"/>
      <c r="D1047" s="185"/>
      <c r="E1047" s="186"/>
      <c r="F1047" s="187"/>
    </row>
    <row r="1048" spans="1:6" x14ac:dyDescent="0.2">
      <c r="A1048" s="275"/>
      <c r="B1048" s="78"/>
      <c r="C1048" s="189"/>
      <c r="D1048" s="185"/>
      <c r="E1048" s="186"/>
      <c r="F1048" s="187"/>
    </row>
    <row r="1049" spans="1:6" x14ac:dyDescent="0.2">
      <c r="A1049" s="275"/>
      <c r="B1049" s="78"/>
      <c r="C1049" s="189"/>
      <c r="D1049" s="185"/>
      <c r="E1049" s="186"/>
      <c r="F1049" s="187"/>
    </row>
    <row r="1050" spans="1:6" x14ac:dyDescent="0.2">
      <c r="A1050" s="275"/>
      <c r="B1050" s="78"/>
      <c r="C1050" s="189"/>
      <c r="D1050" s="185"/>
      <c r="E1050" s="186"/>
      <c r="F1050" s="187"/>
    </row>
    <row r="1051" spans="1:6" x14ac:dyDescent="0.2">
      <c r="A1051" s="275"/>
      <c r="B1051" s="78"/>
      <c r="C1051" s="189"/>
      <c r="D1051" s="185"/>
      <c r="E1051" s="186"/>
      <c r="F1051" s="187"/>
    </row>
    <row r="1052" spans="1:6" x14ac:dyDescent="0.2">
      <c r="A1052" s="275"/>
      <c r="B1052" s="78"/>
      <c r="C1052" s="189"/>
      <c r="D1052" s="185"/>
      <c r="E1052" s="186"/>
      <c r="F1052" s="187"/>
    </row>
    <row r="1053" spans="1:6" x14ac:dyDescent="0.2">
      <c r="A1053" s="275"/>
      <c r="B1053" s="78"/>
      <c r="C1053" s="189"/>
      <c r="D1053" s="185"/>
      <c r="E1053" s="186"/>
      <c r="F1053" s="187"/>
    </row>
    <row r="1054" spans="1:6" x14ac:dyDescent="0.2">
      <c r="A1054" s="275"/>
      <c r="B1054" s="78"/>
      <c r="C1054" s="189"/>
      <c r="D1054" s="185"/>
      <c r="E1054" s="186"/>
      <c r="F1054" s="187"/>
    </row>
    <row r="1055" spans="1:6" x14ac:dyDescent="0.2">
      <c r="A1055" s="275"/>
      <c r="B1055" s="78"/>
      <c r="C1055" s="189"/>
      <c r="D1055" s="185"/>
      <c r="E1055" s="186"/>
      <c r="F1055" s="187"/>
    </row>
    <row r="1056" spans="1:6" x14ac:dyDescent="0.2">
      <c r="A1056" s="275"/>
      <c r="B1056" s="78"/>
      <c r="C1056" s="189"/>
      <c r="D1056" s="185"/>
      <c r="E1056" s="186"/>
      <c r="F1056" s="187"/>
    </row>
    <row r="1057" spans="1:6" x14ac:dyDescent="0.2">
      <c r="A1057" s="275"/>
      <c r="B1057" s="78"/>
      <c r="C1057" s="189"/>
      <c r="D1057" s="185"/>
      <c r="E1057" s="186"/>
      <c r="F1057" s="187"/>
    </row>
    <row r="1058" spans="1:6" x14ac:dyDescent="0.2">
      <c r="A1058" s="275"/>
      <c r="B1058" s="78"/>
      <c r="C1058" s="189"/>
      <c r="D1058" s="185"/>
      <c r="E1058" s="186"/>
      <c r="F1058" s="187"/>
    </row>
    <row r="1059" spans="1:6" x14ac:dyDescent="0.2">
      <c r="A1059" s="275"/>
      <c r="B1059" s="78"/>
      <c r="C1059" s="189"/>
      <c r="D1059" s="185"/>
      <c r="E1059" s="186"/>
      <c r="F1059" s="187"/>
    </row>
    <row r="1060" spans="1:6" x14ac:dyDescent="0.2">
      <c r="A1060" s="275"/>
      <c r="B1060" s="78"/>
      <c r="C1060" s="189"/>
      <c r="D1060" s="185"/>
      <c r="E1060" s="186"/>
      <c r="F1060" s="187"/>
    </row>
    <row r="1061" spans="1:6" x14ac:dyDescent="0.2">
      <c r="A1061" s="275"/>
      <c r="B1061" s="78"/>
      <c r="C1061" s="189"/>
      <c r="D1061" s="185"/>
      <c r="E1061" s="186"/>
      <c r="F1061" s="187"/>
    </row>
    <row r="1062" spans="1:6" x14ac:dyDescent="0.2">
      <c r="A1062" s="275"/>
      <c r="B1062" s="78"/>
      <c r="C1062" s="189"/>
      <c r="D1062" s="185"/>
      <c r="E1062" s="186"/>
      <c r="F1062" s="187"/>
    </row>
    <row r="1063" spans="1:6" x14ac:dyDescent="0.2">
      <c r="A1063" s="275"/>
      <c r="B1063" s="78"/>
      <c r="C1063" s="189"/>
      <c r="D1063" s="185"/>
      <c r="E1063" s="186"/>
      <c r="F1063" s="187"/>
    </row>
    <row r="1064" spans="1:6" x14ac:dyDescent="0.2">
      <c r="A1064" s="275"/>
      <c r="B1064" s="78"/>
      <c r="C1064" s="189"/>
      <c r="D1064" s="185"/>
      <c r="E1064" s="186"/>
      <c r="F1064" s="187"/>
    </row>
    <row r="1065" spans="1:6" x14ac:dyDescent="0.2">
      <c r="A1065" s="275"/>
      <c r="B1065" s="78"/>
      <c r="C1065" s="189"/>
      <c r="D1065" s="185"/>
      <c r="E1065" s="186"/>
      <c r="F1065" s="187"/>
    </row>
    <row r="1066" spans="1:6" x14ac:dyDescent="0.2">
      <c r="A1066" s="275"/>
      <c r="B1066" s="78"/>
      <c r="C1066" s="189"/>
      <c r="D1066" s="185"/>
      <c r="E1066" s="186"/>
      <c r="F1066" s="187"/>
    </row>
    <row r="1067" spans="1:6" x14ac:dyDescent="0.2">
      <c r="A1067" s="275"/>
      <c r="B1067" s="78"/>
      <c r="C1067" s="189"/>
      <c r="D1067" s="185"/>
      <c r="E1067" s="186"/>
      <c r="F1067" s="187"/>
    </row>
    <row r="1068" spans="1:6" x14ac:dyDescent="0.2">
      <c r="A1068" s="275"/>
      <c r="B1068" s="78"/>
      <c r="C1068" s="189"/>
      <c r="D1068" s="185"/>
      <c r="E1068" s="186"/>
      <c r="F1068" s="187"/>
    </row>
    <row r="1069" spans="1:6" x14ac:dyDescent="0.2">
      <c r="A1069" s="275"/>
      <c r="B1069" s="78"/>
      <c r="C1069" s="189"/>
      <c r="D1069" s="185"/>
      <c r="E1069" s="186"/>
      <c r="F1069" s="187"/>
    </row>
    <row r="1070" spans="1:6" x14ac:dyDescent="0.2">
      <c r="A1070" s="275"/>
      <c r="B1070" s="78"/>
      <c r="C1070" s="189"/>
      <c r="D1070" s="185"/>
      <c r="E1070" s="186"/>
      <c r="F1070" s="187"/>
    </row>
    <row r="1071" spans="1:6" x14ac:dyDescent="0.2">
      <c r="A1071" s="275"/>
      <c r="B1071" s="78"/>
      <c r="C1071" s="189"/>
      <c r="D1071" s="185"/>
      <c r="E1071" s="186"/>
      <c r="F1071" s="187"/>
    </row>
    <row r="1072" spans="1:6" x14ac:dyDescent="0.2">
      <c r="A1072" s="275"/>
      <c r="B1072" s="78"/>
      <c r="C1072" s="189"/>
      <c r="D1072" s="185"/>
      <c r="E1072" s="186"/>
      <c r="F1072" s="187"/>
    </row>
    <row r="1073" spans="1:6" x14ac:dyDescent="0.2">
      <c r="A1073" s="275"/>
      <c r="B1073" s="78"/>
      <c r="C1073" s="189"/>
      <c r="D1073" s="185"/>
      <c r="E1073" s="186"/>
      <c r="F1073" s="187"/>
    </row>
    <row r="1074" spans="1:6" x14ac:dyDescent="0.2">
      <c r="A1074" s="275"/>
      <c r="B1074" s="78"/>
      <c r="C1074" s="189"/>
      <c r="D1074" s="185"/>
      <c r="E1074" s="186"/>
      <c r="F1074" s="187"/>
    </row>
    <row r="1075" spans="1:6" x14ac:dyDescent="0.2">
      <c r="A1075" s="275"/>
      <c r="B1075" s="78"/>
      <c r="C1075" s="189"/>
      <c r="D1075" s="185"/>
      <c r="E1075" s="186"/>
      <c r="F1075" s="187"/>
    </row>
    <row r="1076" spans="1:6" x14ac:dyDescent="0.2">
      <c r="A1076" s="275"/>
      <c r="B1076" s="78"/>
      <c r="C1076" s="189"/>
      <c r="D1076" s="185"/>
      <c r="E1076" s="186"/>
      <c r="F1076" s="187"/>
    </row>
    <row r="1077" spans="1:6" x14ac:dyDescent="0.2">
      <c r="A1077" s="275"/>
      <c r="B1077" s="78"/>
      <c r="C1077" s="189"/>
      <c r="D1077" s="185"/>
      <c r="E1077" s="186"/>
      <c r="F1077" s="187"/>
    </row>
    <row r="1078" spans="1:6" x14ac:dyDescent="0.2">
      <c r="A1078" s="275"/>
      <c r="B1078" s="78"/>
      <c r="C1078" s="189"/>
      <c r="D1078" s="185"/>
      <c r="E1078" s="186"/>
      <c r="F1078" s="187"/>
    </row>
    <row r="1079" spans="1:6" x14ac:dyDescent="0.2">
      <c r="A1079" s="275"/>
      <c r="B1079" s="78"/>
      <c r="C1079" s="189"/>
      <c r="D1079" s="185"/>
      <c r="E1079" s="186"/>
      <c r="F1079" s="187"/>
    </row>
    <row r="1080" spans="1:6" x14ac:dyDescent="0.2">
      <c r="A1080" s="275"/>
      <c r="B1080" s="78"/>
      <c r="C1080" s="189"/>
      <c r="D1080" s="185"/>
      <c r="E1080" s="186"/>
      <c r="F1080" s="187"/>
    </row>
    <row r="1081" spans="1:6" x14ac:dyDescent="0.2">
      <c r="A1081" s="275"/>
      <c r="B1081" s="78"/>
      <c r="C1081" s="189"/>
      <c r="D1081" s="185"/>
      <c r="E1081" s="186"/>
      <c r="F1081" s="187"/>
    </row>
    <row r="1082" spans="1:6" x14ac:dyDescent="0.2">
      <c r="A1082" s="275"/>
      <c r="B1082" s="78"/>
      <c r="C1082" s="189"/>
      <c r="D1082" s="185"/>
      <c r="E1082" s="186"/>
      <c r="F1082" s="187"/>
    </row>
    <row r="1083" spans="1:6" x14ac:dyDescent="0.2">
      <c r="A1083" s="275"/>
      <c r="B1083" s="78"/>
      <c r="C1083" s="189"/>
      <c r="D1083" s="185"/>
      <c r="E1083" s="186"/>
      <c r="F1083" s="187"/>
    </row>
    <row r="1084" spans="1:6" x14ac:dyDescent="0.2">
      <c r="A1084" s="275"/>
      <c r="B1084" s="78"/>
      <c r="C1084" s="189"/>
      <c r="D1084" s="185"/>
      <c r="E1084" s="186"/>
      <c r="F1084" s="187"/>
    </row>
    <row r="1085" spans="1:6" x14ac:dyDescent="0.2">
      <c r="A1085" s="275"/>
      <c r="B1085" s="78"/>
      <c r="C1085" s="189"/>
      <c r="D1085" s="185"/>
      <c r="E1085" s="186"/>
      <c r="F1085" s="187"/>
    </row>
    <row r="1086" spans="1:6" x14ac:dyDescent="0.2">
      <c r="A1086" s="275"/>
      <c r="B1086" s="78"/>
      <c r="C1086" s="189"/>
      <c r="D1086" s="185"/>
      <c r="E1086" s="186"/>
      <c r="F1086" s="187"/>
    </row>
    <row r="1087" spans="1:6" x14ac:dyDescent="0.2">
      <c r="A1087" s="275"/>
      <c r="B1087" s="78"/>
      <c r="C1087" s="189"/>
      <c r="D1087" s="185"/>
      <c r="E1087" s="186"/>
      <c r="F1087" s="187"/>
    </row>
    <row r="1088" spans="1:6" x14ac:dyDescent="0.2">
      <c r="A1088" s="275"/>
      <c r="B1088" s="78"/>
      <c r="C1088" s="189"/>
      <c r="D1088" s="185"/>
      <c r="E1088" s="186"/>
      <c r="F1088" s="187"/>
    </row>
    <row r="1089" spans="1:6" x14ac:dyDescent="0.2">
      <c r="A1089" s="275"/>
      <c r="B1089" s="78"/>
      <c r="C1089" s="189"/>
      <c r="D1089" s="185"/>
      <c r="E1089" s="186"/>
      <c r="F1089" s="187"/>
    </row>
    <row r="1090" spans="1:6" x14ac:dyDescent="0.2">
      <c r="A1090" s="275"/>
      <c r="B1090" s="78"/>
      <c r="C1090" s="189"/>
      <c r="D1090" s="185"/>
      <c r="E1090" s="186"/>
      <c r="F1090" s="187"/>
    </row>
    <row r="1091" spans="1:6" x14ac:dyDescent="0.2">
      <c r="A1091" s="275"/>
      <c r="B1091" s="78"/>
      <c r="C1091" s="189"/>
      <c r="D1091" s="185"/>
      <c r="E1091" s="186"/>
      <c r="F1091" s="187"/>
    </row>
    <row r="1092" spans="1:6" x14ac:dyDescent="0.2">
      <c r="A1092" s="275"/>
      <c r="B1092" s="78"/>
      <c r="C1092" s="189"/>
      <c r="D1092" s="185"/>
      <c r="E1092" s="186"/>
      <c r="F1092" s="187"/>
    </row>
    <row r="1093" spans="1:6" x14ac:dyDescent="0.2">
      <c r="A1093" s="275"/>
      <c r="B1093" s="78"/>
      <c r="C1093" s="189"/>
      <c r="D1093" s="185"/>
      <c r="E1093" s="186"/>
      <c r="F1093" s="187"/>
    </row>
    <row r="1094" spans="1:6" x14ac:dyDescent="0.2">
      <c r="A1094" s="275"/>
      <c r="B1094" s="78"/>
      <c r="C1094" s="189"/>
      <c r="D1094" s="185"/>
      <c r="E1094" s="186"/>
      <c r="F1094" s="187"/>
    </row>
    <row r="1095" spans="1:6" x14ac:dyDescent="0.2">
      <c r="A1095" s="275"/>
      <c r="B1095" s="78"/>
      <c r="C1095" s="189"/>
      <c r="D1095" s="185"/>
      <c r="E1095" s="186"/>
      <c r="F1095" s="187"/>
    </row>
    <row r="1096" spans="1:6" x14ac:dyDescent="0.2">
      <c r="A1096" s="275"/>
      <c r="B1096" s="78"/>
      <c r="C1096" s="189"/>
      <c r="D1096" s="185"/>
      <c r="E1096" s="186"/>
      <c r="F1096" s="187"/>
    </row>
    <row r="1097" spans="1:6" x14ac:dyDescent="0.2">
      <c r="A1097" s="275"/>
      <c r="B1097" s="78"/>
      <c r="C1097" s="189"/>
      <c r="D1097" s="185"/>
      <c r="E1097" s="186"/>
      <c r="F1097" s="187"/>
    </row>
    <row r="1098" spans="1:6" x14ac:dyDescent="0.2">
      <c r="A1098" s="275"/>
      <c r="B1098" s="78"/>
      <c r="C1098" s="189"/>
      <c r="D1098" s="185"/>
      <c r="E1098" s="186"/>
      <c r="F1098" s="187"/>
    </row>
    <row r="1099" spans="1:6" x14ac:dyDescent="0.2">
      <c r="A1099" s="275"/>
      <c r="B1099" s="78"/>
      <c r="C1099" s="189"/>
      <c r="D1099" s="185"/>
      <c r="E1099" s="186"/>
      <c r="F1099" s="187"/>
    </row>
    <row r="1100" spans="1:6" x14ac:dyDescent="0.2">
      <c r="A1100" s="275"/>
      <c r="B1100" s="78"/>
      <c r="C1100" s="189"/>
      <c r="D1100" s="185"/>
      <c r="E1100" s="186"/>
      <c r="F1100" s="187"/>
    </row>
    <row r="1101" spans="1:6" x14ac:dyDescent="0.2">
      <c r="A1101" s="275"/>
      <c r="B1101" s="78"/>
      <c r="C1101" s="189"/>
      <c r="D1101" s="185"/>
      <c r="E1101" s="186"/>
      <c r="F1101" s="187"/>
    </row>
    <row r="1102" spans="1:6" x14ac:dyDescent="0.2">
      <c r="A1102" s="275"/>
      <c r="B1102" s="78"/>
      <c r="C1102" s="189"/>
      <c r="D1102" s="185"/>
      <c r="E1102" s="186"/>
      <c r="F1102" s="187"/>
    </row>
    <row r="1103" spans="1:6" x14ac:dyDescent="0.2">
      <c r="A1103" s="275"/>
      <c r="B1103" s="78"/>
      <c r="C1103" s="189"/>
      <c r="D1103" s="185"/>
      <c r="E1103" s="186"/>
      <c r="F1103" s="187"/>
    </row>
    <row r="1104" spans="1:6" x14ac:dyDescent="0.2">
      <c r="A1104" s="275"/>
      <c r="B1104" s="78"/>
      <c r="C1104" s="189"/>
      <c r="D1104" s="185"/>
      <c r="E1104" s="186"/>
      <c r="F1104" s="187"/>
    </row>
    <row r="1105" spans="1:6" x14ac:dyDescent="0.2">
      <c r="A1105" s="275"/>
      <c r="B1105" s="78"/>
      <c r="C1105" s="189"/>
      <c r="D1105" s="185"/>
      <c r="E1105" s="186"/>
      <c r="F1105" s="187"/>
    </row>
    <row r="1106" spans="1:6" x14ac:dyDescent="0.2">
      <c r="A1106" s="275"/>
      <c r="B1106" s="78"/>
      <c r="C1106" s="189"/>
      <c r="D1106" s="185"/>
      <c r="E1106" s="186"/>
      <c r="F1106" s="187"/>
    </row>
    <row r="1107" spans="1:6" x14ac:dyDescent="0.2">
      <c r="A1107" s="275"/>
      <c r="B1107" s="78"/>
      <c r="C1107" s="189"/>
      <c r="D1107" s="185"/>
      <c r="E1107" s="186"/>
      <c r="F1107" s="187"/>
    </row>
    <row r="1108" spans="1:6" x14ac:dyDescent="0.2">
      <c r="A1108" s="275"/>
      <c r="B1108" s="78"/>
      <c r="C1108" s="189"/>
      <c r="D1108" s="185"/>
      <c r="E1108" s="186"/>
      <c r="F1108" s="187"/>
    </row>
    <row r="1109" spans="1:6" x14ac:dyDescent="0.2">
      <c r="A1109" s="275"/>
      <c r="B1109" s="78"/>
      <c r="C1109" s="189"/>
      <c r="D1109" s="185"/>
      <c r="E1109" s="186"/>
      <c r="F1109" s="187"/>
    </row>
    <row r="1110" spans="1:6" x14ac:dyDescent="0.2">
      <c r="A1110" s="275"/>
      <c r="B1110" s="78"/>
      <c r="C1110" s="189"/>
      <c r="D1110" s="185"/>
      <c r="E1110" s="186"/>
      <c r="F1110" s="187"/>
    </row>
    <row r="1111" spans="1:6" x14ac:dyDescent="0.2">
      <c r="A1111" s="275"/>
      <c r="B1111" s="78"/>
      <c r="C1111" s="189"/>
      <c r="D1111" s="185"/>
      <c r="E1111" s="186"/>
      <c r="F1111" s="187"/>
    </row>
    <row r="1112" spans="1:6" x14ac:dyDescent="0.2">
      <c r="A1112" s="275"/>
      <c r="B1112" s="78"/>
      <c r="C1112" s="189"/>
      <c r="D1112" s="185"/>
      <c r="E1112" s="186"/>
      <c r="F1112" s="187"/>
    </row>
    <row r="1113" spans="1:6" x14ac:dyDescent="0.2">
      <c r="A1113" s="275"/>
      <c r="B1113" s="78"/>
      <c r="C1113" s="189"/>
      <c r="D1113" s="185"/>
      <c r="E1113" s="186"/>
      <c r="F1113" s="187"/>
    </row>
    <row r="1114" spans="1:6" x14ac:dyDescent="0.2">
      <c r="A1114" s="275"/>
      <c r="B1114" s="78"/>
      <c r="C1114" s="189"/>
      <c r="D1114" s="185"/>
      <c r="E1114" s="186"/>
      <c r="F1114" s="187"/>
    </row>
    <row r="1115" spans="1:6" x14ac:dyDescent="0.2">
      <c r="A1115" s="275"/>
      <c r="B1115" s="78"/>
      <c r="C1115" s="189"/>
      <c r="D1115" s="185"/>
      <c r="E1115" s="186"/>
      <c r="F1115" s="187"/>
    </row>
    <row r="1116" spans="1:6" x14ac:dyDescent="0.2">
      <c r="A1116" s="275"/>
      <c r="B1116" s="78"/>
      <c r="C1116" s="189"/>
      <c r="D1116" s="185"/>
      <c r="E1116" s="186"/>
      <c r="F1116" s="187"/>
    </row>
    <row r="1117" spans="1:6" x14ac:dyDescent="0.2">
      <c r="A1117" s="275"/>
      <c r="B1117" s="78"/>
      <c r="C1117" s="189"/>
      <c r="D1117" s="185"/>
      <c r="E1117" s="186"/>
      <c r="F1117" s="187"/>
    </row>
    <row r="1118" spans="1:6" x14ac:dyDescent="0.2">
      <c r="A1118" s="275"/>
      <c r="B1118" s="78"/>
      <c r="C1118" s="189"/>
      <c r="D1118" s="185"/>
      <c r="E1118" s="186"/>
      <c r="F1118" s="187"/>
    </row>
    <row r="1119" spans="1:6" x14ac:dyDescent="0.2">
      <c r="A1119" s="275"/>
      <c r="B1119" s="78"/>
      <c r="C1119" s="189"/>
      <c r="D1119" s="185"/>
      <c r="E1119" s="186"/>
      <c r="F1119" s="187"/>
    </row>
    <row r="1120" spans="1:6" x14ac:dyDescent="0.2">
      <c r="A1120" s="275"/>
      <c r="B1120" s="78"/>
      <c r="C1120" s="189"/>
      <c r="D1120" s="185"/>
      <c r="E1120" s="186"/>
      <c r="F1120" s="187"/>
    </row>
    <row r="1121" spans="1:6" x14ac:dyDescent="0.2">
      <c r="A1121" s="275"/>
      <c r="B1121" s="78"/>
      <c r="C1121" s="189"/>
      <c r="D1121" s="185"/>
      <c r="E1121" s="186"/>
      <c r="F1121" s="187"/>
    </row>
    <row r="1122" spans="1:6" x14ac:dyDescent="0.2">
      <c r="A1122" s="275"/>
      <c r="B1122" s="78"/>
      <c r="C1122" s="189"/>
      <c r="D1122" s="185"/>
      <c r="E1122" s="186"/>
      <c r="F1122" s="187"/>
    </row>
    <row r="1123" spans="1:6" x14ac:dyDescent="0.2">
      <c r="A1123" s="275"/>
      <c r="B1123" s="78"/>
      <c r="C1123" s="189"/>
      <c r="D1123" s="185"/>
      <c r="E1123" s="186"/>
      <c r="F1123" s="187"/>
    </row>
    <row r="1124" spans="1:6" x14ac:dyDescent="0.2">
      <c r="A1124" s="275"/>
      <c r="B1124" s="78"/>
      <c r="C1124" s="189"/>
      <c r="D1124" s="185"/>
      <c r="E1124" s="186"/>
      <c r="F1124" s="187"/>
    </row>
    <row r="1125" spans="1:6" x14ac:dyDescent="0.2">
      <c r="A1125" s="275"/>
      <c r="B1125" s="78"/>
      <c r="C1125" s="189"/>
      <c r="D1125" s="185"/>
      <c r="E1125" s="186"/>
      <c r="F1125" s="187"/>
    </row>
    <row r="1126" spans="1:6" x14ac:dyDescent="0.2">
      <c r="A1126" s="275"/>
      <c r="B1126" s="78"/>
      <c r="C1126" s="189"/>
      <c r="D1126" s="185"/>
      <c r="E1126" s="186"/>
      <c r="F1126" s="187"/>
    </row>
    <row r="1127" spans="1:6" x14ac:dyDescent="0.2">
      <c r="A1127" s="275"/>
      <c r="B1127" s="78"/>
      <c r="C1127" s="189"/>
      <c r="D1127" s="185"/>
      <c r="E1127" s="186"/>
      <c r="F1127" s="187"/>
    </row>
    <row r="1128" spans="1:6" x14ac:dyDescent="0.2">
      <c r="A1128" s="275"/>
      <c r="B1128" s="78"/>
      <c r="C1128" s="189"/>
      <c r="D1128" s="185"/>
      <c r="E1128" s="186"/>
      <c r="F1128" s="187"/>
    </row>
    <row r="1129" spans="1:6" x14ac:dyDescent="0.2">
      <c r="A1129" s="275"/>
      <c r="B1129" s="78"/>
      <c r="C1129" s="189"/>
      <c r="D1129" s="185"/>
      <c r="E1129" s="186"/>
      <c r="F1129" s="187"/>
    </row>
    <row r="1130" spans="1:6" x14ac:dyDescent="0.2">
      <c r="A1130" s="275"/>
      <c r="B1130" s="78"/>
      <c r="C1130" s="189"/>
      <c r="D1130" s="185"/>
      <c r="E1130" s="186"/>
      <c r="F1130" s="187"/>
    </row>
    <row r="1131" spans="1:6" x14ac:dyDescent="0.2">
      <c r="A1131" s="275"/>
      <c r="B1131" s="78"/>
      <c r="C1131" s="189"/>
      <c r="D1131" s="185"/>
      <c r="E1131" s="186"/>
      <c r="F1131" s="187"/>
    </row>
    <row r="1132" spans="1:6" x14ac:dyDescent="0.2">
      <c r="A1132" s="275"/>
      <c r="B1132" s="78"/>
      <c r="C1132" s="189"/>
      <c r="D1132" s="185"/>
      <c r="E1132" s="186"/>
      <c r="F1132" s="187"/>
    </row>
    <row r="1133" spans="1:6" x14ac:dyDescent="0.2">
      <c r="A1133" s="275"/>
      <c r="B1133" s="78"/>
      <c r="C1133" s="189"/>
      <c r="D1133" s="185"/>
      <c r="E1133" s="186"/>
      <c r="F1133" s="187"/>
    </row>
    <row r="1134" spans="1:6" x14ac:dyDescent="0.2">
      <c r="A1134" s="275"/>
      <c r="B1134" s="78"/>
      <c r="C1134" s="189"/>
      <c r="D1134" s="185"/>
      <c r="E1134" s="186"/>
      <c r="F1134" s="187"/>
    </row>
    <row r="1135" spans="1:6" x14ac:dyDescent="0.2">
      <c r="A1135" s="275"/>
      <c r="B1135" s="78"/>
      <c r="C1135" s="189"/>
      <c r="D1135" s="185"/>
      <c r="E1135" s="186"/>
      <c r="F1135" s="187"/>
    </row>
    <row r="1136" spans="1:6" x14ac:dyDescent="0.2">
      <c r="A1136" s="275"/>
      <c r="B1136" s="78"/>
      <c r="C1136" s="189"/>
      <c r="D1136" s="185"/>
      <c r="E1136" s="186"/>
      <c r="F1136" s="187"/>
    </row>
    <row r="1137" spans="1:6" x14ac:dyDescent="0.2">
      <c r="A1137" s="275"/>
      <c r="B1137" s="78"/>
      <c r="C1137" s="189"/>
      <c r="D1137" s="185"/>
      <c r="E1137" s="186"/>
      <c r="F1137" s="187"/>
    </row>
    <row r="1138" spans="1:6" x14ac:dyDescent="0.2">
      <c r="A1138" s="275"/>
      <c r="B1138" s="78"/>
      <c r="C1138" s="189"/>
      <c r="D1138" s="185"/>
      <c r="E1138" s="186"/>
      <c r="F1138" s="187"/>
    </row>
    <row r="1139" spans="1:6" x14ac:dyDescent="0.2">
      <c r="A1139" s="275"/>
      <c r="B1139" s="78"/>
      <c r="C1139" s="189"/>
      <c r="D1139" s="185"/>
      <c r="E1139" s="186"/>
      <c r="F1139" s="187"/>
    </row>
    <row r="1140" spans="1:6" x14ac:dyDescent="0.2">
      <c r="A1140" s="275"/>
      <c r="B1140" s="78"/>
      <c r="C1140" s="189"/>
      <c r="D1140" s="185"/>
      <c r="E1140" s="186"/>
      <c r="F1140" s="187"/>
    </row>
    <row r="1141" spans="1:6" x14ac:dyDescent="0.2">
      <c r="A1141" s="275"/>
      <c r="B1141" s="78"/>
      <c r="C1141" s="189"/>
      <c r="D1141" s="185"/>
      <c r="E1141" s="186"/>
      <c r="F1141" s="187"/>
    </row>
    <row r="1142" spans="1:6" x14ac:dyDescent="0.2">
      <c r="A1142" s="275"/>
      <c r="B1142" s="78"/>
      <c r="C1142" s="189"/>
      <c r="D1142" s="185"/>
      <c r="E1142" s="186"/>
      <c r="F1142" s="187"/>
    </row>
    <row r="1143" spans="1:6" x14ac:dyDescent="0.2">
      <c r="A1143" s="275"/>
      <c r="B1143" s="78"/>
      <c r="C1143" s="189"/>
      <c r="D1143" s="185"/>
      <c r="E1143" s="186"/>
      <c r="F1143" s="187"/>
    </row>
    <row r="1144" spans="1:6" x14ac:dyDescent="0.2">
      <c r="A1144" s="275"/>
      <c r="B1144" s="78"/>
      <c r="C1144" s="189"/>
      <c r="D1144" s="185"/>
      <c r="E1144" s="186"/>
      <c r="F1144" s="187"/>
    </row>
    <row r="1145" spans="1:6" x14ac:dyDescent="0.2">
      <c r="A1145" s="275"/>
      <c r="B1145" s="78"/>
      <c r="C1145" s="189"/>
      <c r="D1145" s="185"/>
      <c r="E1145" s="186"/>
      <c r="F1145" s="187"/>
    </row>
    <row r="1146" spans="1:6" x14ac:dyDescent="0.2">
      <c r="A1146" s="275"/>
      <c r="B1146" s="78"/>
      <c r="C1146" s="189"/>
      <c r="D1146" s="185"/>
      <c r="E1146" s="186"/>
      <c r="F1146" s="187"/>
    </row>
    <row r="1147" spans="1:6" x14ac:dyDescent="0.2">
      <c r="A1147" s="275"/>
      <c r="B1147" s="78"/>
      <c r="C1147" s="189"/>
      <c r="D1147" s="185"/>
      <c r="E1147" s="186"/>
      <c r="F1147" s="187"/>
    </row>
    <row r="1148" spans="1:6" x14ac:dyDescent="0.2">
      <c r="A1148" s="275"/>
      <c r="B1148" s="78"/>
      <c r="C1148" s="189"/>
      <c r="D1148" s="185"/>
      <c r="E1148" s="186"/>
      <c r="F1148" s="187"/>
    </row>
    <row r="1149" spans="1:6" x14ac:dyDescent="0.2">
      <c r="A1149" s="275"/>
      <c r="B1149" s="78"/>
      <c r="C1149" s="189"/>
      <c r="D1149" s="185"/>
      <c r="E1149" s="186"/>
      <c r="F1149" s="187"/>
    </row>
    <row r="1150" spans="1:6" x14ac:dyDescent="0.2">
      <c r="A1150" s="275"/>
      <c r="B1150" s="78"/>
      <c r="C1150" s="189"/>
      <c r="D1150" s="185"/>
      <c r="E1150" s="186"/>
      <c r="F1150" s="187"/>
    </row>
    <row r="1151" spans="1:6" x14ac:dyDescent="0.2">
      <c r="A1151" s="275"/>
      <c r="B1151" s="78"/>
      <c r="C1151" s="189"/>
      <c r="D1151" s="185"/>
      <c r="E1151" s="186"/>
      <c r="F1151" s="187"/>
    </row>
    <row r="1152" spans="1:6" x14ac:dyDescent="0.2">
      <c r="A1152" s="275"/>
      <c r="B1152" s="78"/>
      <c r="C1152" s="189"/>
      <c r="D1152" s="185"/>
      <c r="E1152" s="186"/>
      <c r="F1152" s="187"/>
    </row>
    <row r="1153" spans="1:6" x14ac:dyDescent="0.2">
      <c r="A1153" s="275"/>
      <c r="B1153" s="78"/>
      <c r="C1153" s="189"/>
      <c r="D1153" s="185"/>
      <c r="E1153" s="186"/>
      <c r="F1153" s="187"/>
    </row>
    <row r="1154" spans="1:6" x14ac:dyDescent="0.2">
      <c r="A1154" s="275"/>
      <c r="B1154" s="78"/>
      <c r="C1154" s="189"/>
      <c r="D1154" s="185"/>
      <c r="E1154" s="186"/>
      <c r="F1154" s="187"/>
    </row>
    <row r="1155" spans="1:6" x14ac:dyDescent="0.2">
      <c r="A1155" s="275"/>
      <c r="B1155" s="78"/>
      <c r="C1155" s="189"/>
      <c r="D1155" s="185"/>
      <c r="E1155" s="186"/>
      <c r="F1155" s="187"/>
    </row>
    <row r="1156" spans="1:6" x14ac:dyDescent="0.2">
      <c r="A1156" s="275"/>
      <c r="B1156" s="78"/>
      <c r="C1156" s="189"/>
      <c r="D1156" s="185"/>
      <c r="E1156" s="186"/>
      <c r="F1156" s="187"/>
    </row>
    <row r="1157" spans="1:6" x14ac:dyDescent="0.2">
      <c r="A1157" s="275"/>
      <c r="B1157" s="78"/>
      <c r="C1157" s="189"/>
      <c r="D1157" s="185"/>
      <c r="E1157" s="186"/>
      <c r="F1157" s="187"/>
    </row>
    <row r="1158" spans="1:6" x14ac:dyDescent="0.2">
      <c r="A1158" s="275"/>
      <c r="B1158" s="78"/>
      <c r="C1158" s="189"/>
      <c r="D1158" s="185"/>
      <c r="E1158" s="186"/>
      <c r="F1158" s="187"/>
    </row>
    <row r="1159" spans="1:6" x14ac:dyDescent="0.2">
      <c r="A1159" s="275"/>
      <c r="B1159" s="78"/>
      <c r="C1159" s="189"/>
      <c r="D1159" s="185"/>
      <c r="E1159" s="186"/>
      <c r="F1159" s="187"/>
    </row>
    <row r="1160" spans="1:6" x14ac:dyDescent="0.2">
      <c r="A1160" s="275"/>
      <c r="B1160" s="78"/>
      <c r="C1160" s="189"/>
      <c r="D1160" s="185"/>
      <c r="E1160" s="186"/>
      <c r="F1160" s="187"/>
    </row>
    <row r="1161" spans="1:6" x14ac:dyDescent="0.2">
      <c r="A1161" s="275"/>
      <c r="B1161" s="78"/>
      <c r="C1161" s="189"/>
      <c r="D1161" s="185"/>
      <c r="E1161" s="186"/>
      <c r="F1161" s="187"/>
    </row>
    <row r="1162" spans="1:6" x14ac:dyDescent="0.2">
      <c r="A1162" s="275"/>
      <c r="B1162" s="78"/>
      <c r="C1162" s="189"/>
      <c r="D1162" s="185"/>
      <c r="E1162" s="186"/>
      <c r="F1162" s="187"/>
    </row>
    <row r="1163" spans="1:6" x14ac:dyDescent="0.2">
      <c r="A1163" s="275"/>
      <c r="B1163" s="78"/>
      <c r="C1163" s="189"/>
      <c r="D1163" s="185"/>
      <c r="E1163" s="186"/>
      <c r="F1163" s="187"/>
    </row>
    <row r="1164" spans="1:6" x14ac:dyDescent="0.2">
      <c r="A1164" s="275"/>
      <c r="B1164" s="78"/>
      <c r="C1164" s="189"/>
      <c r="D1164" s="185"/>
      <c r="E1164" s="186"/>
      <c r="F1164" s="187"/>
    </row>
    <row r="1165" spans="1:6" x14ac:dyDescent="0.2">
      <c r="A1165" s="275"/>
      <c r="B1165" s="78"/>
      <c r="C1165" s="189"/>
      <c r="D1165" s="185"/>
      <c r="E1165" s="186"/>
      <c r="F1165" s="187"/>
    </row>
    <row r="1166" spans="1:6" x14ac:dyDescent="0.2">
      <c r="A1166" s="275"/>
      <c r="B1166" s="78"/>
      <c r="C1166" s="189"/>
      <c r="D1166" s="185"/>
      <c r="E1166" s="186"/>
      <c r="F1166" s="187"/>
    </row>
    <row r="1167" spans="1:6" x14ac:dyDescent="0.2">
      <c r="A1167" s="275"/>
      <c r="B1167" s="78"/>
      <c r="C1167" s="189"/>
      <c r="D1167" s="185"/>
      <c r="E1167" s="186"/>
      <c r="F1167" s="187"/>
    </row>
    <row r="1168" spans="1:6" x14ac:dyDescent="0.2">
      <c r="A1168" s="275"/>
      <c r="B1168" s="78"/>
      <c r="C1168" s="189"/>
      <c r="D1168" s="185"/>
      <c r="E1168" s="186"/>
      <c r="F1168" s="187"/>
    </row>
    <row r="1169" spans="1:6" x14ac:dyDescent="0.2">
      <c r="A1169" s="275"/>
      <c r="B1169" s="78"/>
      <c r="C1169" s="189"/>
      <c r="D1169" s="185"/>
      <c r="E1169" s="186"/>
      <c r="F1169" s="187"/>
    </row>
    <row r="1170" spans="1:6" x14ac:dyDescent="0.2">
      <c r="A1170" s="275"/>
      <c r="B1170" s="78"/>
      <c r="C1170" s="189"/>
      <c r="D1170" s="185"/>
      <c r="E1170" s="186"/>
      <c r="F1170" s="187"/>
    </row>
    <row r="1171" spans="1:6" x14ac:dyDescent="0.2">
      <c r="A1171" s="275"/>
      <c r="B1171" s="78"/>
      <c r="C1171" s="189"/>
      <c r="D1171" s="185"/>
      <c r="E1171" s="186"/>
      <c r="F1171" s="187"/>
    </row>
    <row r="1172" spans="1:6" x14ac:dyDescent="0.2">
      <c r="A1172" s="275"/>
      <c r="B1172" s="78"/>
      <c r="C1172" s="189"/>
      <c r="D1172" s="185"/>
      <c r="E1172" s="186"/>
      <c r="F1172" s="187"/>
    </row>
    <row r="1173" spans="1:6" x14ac:dyDescent="0.2">
      <c r="A1173" s="275"/>
      <c r="B1173" s="78"/>
      <c r="C1173" s="189"/>
      <c r="D1173" s="185"/>
      <c r="E1173" s="186"/>
      <c r="F1173" s="187"/>
    </row>
    <row r="1174" spans="1:6" x14ac:dyDescent="0.2">
      <c r="A1174" s="275"/>
      <c r="B1174" s="78"/>
      <c r="C1174" s="189"/>
      <c r="D1174" s="185"/>
      <c r="E1174" s="186"/>
      <c r="F1174" s="187"/>
    </row>
    <row r="1175" spans="1:6" x14ac:dyDescent="0.2">
      <c r="A1175" s="275"/>
      <c r="B1175" s="78"/>
      <c r="C1175" s="189"/>
      <c r="D1175" s="185"/>
      <c r="E1175" s="186"/>
      <c r="F1175" s="187"/>
    </row>
    <row r="1176" spans="1:6" x14ac:dyDescent="0.2">
      <c r="A1176" s="275"/>
      <c r="B1176" s="78"/>
      <c r="C1176" s="189"/>
      <c r="D1176" s="185"/>
      <c r="E1176" s="186"/>
      <c r="F1176" s="187"/>
    </row>
    <row r="1177" spans="1:6" x14ac:dyDescent="0.2">
      <c r="A1177" s="275"/>
      <c r="B1177" s="78"/>
      <c r="C1177" s="189"/>
      <c r="D1177" s="185"/>
      <c r="E1177" s="186"/>
      <c r="F1177" s="187"/>
    </row>
    <row r="1178" spans="1:6" x14ac:dyDescent="0.2">
      <c r="A1178" s="275"/>
      <c r="B1178" s="78"/>
      <c r="C1178" s="189"/>
      <c r="D1178" s="185"/>
      <c r="E1178" s="186"/>
      <c r="F1178" s="187"/>
    </row>
    <row r="1179" spans="1:6" x14ac:dyDescent="0.2">
      <c r="A1179" s="275"/>
      <c r="B1179" s="78"/>
      <c r="C1179" s="189"/>
      <c r="D1179" s="185"/>
      <c r="E1179" s="186"/>
      <c r="F1179" s="187"/>
    </row>
    <row r="1180" spans="1:6" x14ac:dyDescent="0.2">
      <c r="A1180" s="275"/>
      <c r="B1180" s="78"/>
      <c r="C1180" s="189"/>
      <c r="D1180" s="185"/>
      <c r="E1180" s="186"/>
      <c r="F1180" s="187"/>
    </row>
    <row r="1181" spans="1:6" x14ac:dyDescent="0.2">
      <c r="A1181" s="275"/>
      <c r="B1181" s="78"/>
      <c r="C1181" s="189"/>
      <c r="D1181" s="185"/>
      <c r="E1181" s="186"/>
      <c r="F1181" s="187"/>
    </row>
    <row r="1182" spans="1:6" x14ac:dyDescent="0.2">
      <c r="A1182" s="275"/>
      <c r="B1182" s="78"/>
      <c r="C1182" s="189"/>
      <c r="D1182" s="185"/>
      <c r="E1182" s="186"/>
      <c r="F1182" s="187"/>
    </row>
    <row r="1183" spans="1:6" x14ac:dyDescent="0.2">
      <c r="A1183" s="275"/>
      <c r="B1183" s="78"/>
      <c r="C1183" s="189"/>
      <c r="D1183" s="185"/>
      <c r="E1183" s="186"/>
      <c r="F1183" s="187"/>
    </row>
    <row r="1184" spans="1:6" x14ac:dyDescent="0.2">
      <c r="A1184" s="275"/>
      <c r="B1184" s="78"/>
      <c r="C1184" s="189"/>
      <c r="D1184" s="185"/>
      <c r="E1184" s="186"/>
      <c r="F1184" s="187"/>
    </row>
    <row r="1185" spans="1:6" x14ac:dyDescent="0.2">
      <c r="A1185" s="275"/>
      <c r="B1185" s="78"/>
      <c r="C1185" s="189"/>
      <c r="D1185" s="185"/>
      <c r="E1185" s="186"/>
      <c r="F1185" s="187"/>
    </row>
    <row r="1186" spans="1:6" x14ac:dyDescent="0.2">
      <c r="A1186" s="275"/>
      <c r="B1186" s="78"/>
      <c r="C1186" s="189"/>
      <c r="D1186" s="185"/>
      <c r="E1186" s="186"/>
      <c r="F1186" s="187"/>
    </row>
    <row r="1187" spans="1:6" x14ac:dyDescent="0.2">
      <c r="A1187" s="275"/>
      <c r="B1187" s="78"/>
      <c r="C1187" s="189"/>
      <c r="D1187" s="185"/>
      <c r="E1187" s="186"/>
      <c r="F1187" s="187"/>
    </row>
    <row r="1188" spans="1:6" x14ac:dyDescent="0.2">
      <c r="A1188" s="275"/>
      <c r="B1188" s="78"/>
      <c r="C1188" s="189"/>
      <c r="D1188" s="185"/>
      <c r="E1188" s="186"/>
      <c r="F1188" s="187"/>
    </row>
    <row r="1189" spans="1:6" x14ac:dyDescent="0.2">
      <c r="A1189" s="275"/>
      <c r="B1189" s="78"/>
      <c r="C1189" s="189"/>
      <c r="D1189" s="185"/>
      <c r="E1189" s="186"/>
      <c r="F1189" s="187"/>
    </row>
    <row r="1190" spans="1:6" x14ac:dyDescent="0.2">
      <c r="A1190" s="275"/>
      <c r="B1190" s="78"/>
      <c r="C1190" s="189"/>
      <c r="D1190" s="185"/>
      <c r="E1190" s="186"/>
      <c r="F1190" s="187"/>
    </row>
    <row r="1191" spans="1:6" x14ac:dyDescent="0.2">
      <c r="A1191" s="275"/>
      <c r="B1191" s="78"/>
      <c r="C1191" s="189"/>
      <c r="D1191" s="185"/>
      <c r="E1191" s="186"/>
      <c r="F1191" s="187"/>
    </row>
    <row r="1192" spans="1:6" x14ac:dyDescent="0.2">
      <c r="A1192" s="275"/>
      <c r="B1192" s="78"/>
      <c r="C1192" s="189"/>
      <c r="D1192" s="185"/>
      <c r="E1192" s="186"/>
      <c r="F1192" s="187"/>
    </row>
    <row r="1193" spans="1:6" x14ac:dyDescent="0.2">
      <c r="A1193" s="275"/>
      <c r="B1193" s="78"/>
      <c r="C1193" s="189"/>
      <c r="D1193" s="185"/>
      <c r="E1193" s="186"/>
      <c r="F1193" s="187"/>
    </row>
    <row r="1194" spans="1:6" x14ac:dyDescent="0.2">
      <c r="A1194" s="275"/>
      <c r="B1194" s="78"/>
      <c r="C1194" s="189"/>
      <c r="D1194" s="185"/>
      <c r="E1194" s="186"/>
      <c r="F1194" s="187"/>
    </row>
    <row r="1195" spans="1:6" x14ac:dyDescent="0.2">
      <c r="A1195" s="275"/>
      <c r="B1195" s="78"/>
      <c r="C1195" s="189"/>
      <c r="D1195" s="185"/>
      <c r="E1195" s="186"/>
      <c r="F1195" s="187"/>
    </row>
    <row r="1196" spans="1:6" x14ac:dyDescent="0.2">
      <c r="A1196" s="275"/>
      <c r="B1196" s="78"/>
      <c r="C1196" s="189"/>
      <c r="D1196" s="185"/>
      <c r="E1196" s="186"/>
      <c r="F1196" s="187"/>
    </row>
    <row r="1197" spans="1:6" x14ac:dyDescent="0.2">
      <c r="A1197" s="275"/>
      <c r="B1197" s="78"/>
      <c r="C1197" s="189"/>
      <c r="D1197" s="185"/>
      <c r="E1197" s="186"/>
      <c r="F1197" s="187"/>
    </row>
    <row r="1198" spans="1:6" x14ac:dyDescent="0.2">
      <c r="A1198" s="275"/>
      <c r="B1198" s="78"/>
      <c r="C1198" s="189"/>
      <c r="D1198" s="185"/>
      <c r="E1198" s="186"/>
      <c r="F1198" s="187"/>
    </row>
    <row r="1199" spans="1:6" x14ac:dyDescent="0.2">
      <c r="A1199" s="275"/>
      <c r="B1199" s="78"/>
      <c r="C1199" s="189"/>
      <c r="D1199" s="185"/>
      <c r="E1199" s="186"/>
      <c r="F1199" s="187"/>
    </row>
    <row r="1200" spans="1:6" x14ac:dyDescent="0.2">
      <c r="A1200" s="275"/>
      <c r="B1200" s="78"/>
      <c r="C1200" s="189"/>
      <c r="D1200" s="185"/>
      <c r="E1200" s="186"/>
      <c r="F1200" s="187"/>
    </row>
    <row r="1201" spans="1:6" x14ac:dyDescent="0.2">
      <c r="A1201" s="275"/>
      <c r="B1201" s="78"/>
      <c r="C1201" s="189"/>
      <c r="D1201" s="185"/>
      <c r="E1201" s="186"/>
      <c r="F1201" s="187"/>
    </row>
    <row r="1202" spans="1:6" x14ac:dyDescent="0.2">
      <c r="A1202" s="275"/>
      <c r="B1202" s="78"/>
      <c r="C1202" s="189"/>
      <c r="D1202" s="185"/>
      <c r="E1202" s="186"/>
      <c r="F1202" s="187"/>
    </row>
    <row r="1203" spans="1:6" x14ac:dyDescent="0.2">
      <c r="A1203" s="275"/>
      <c r="B1203" s="78"/>
      <c r="C1203" s="189"/>
      <c r="D1203" s="185"/>
      <c r="E1203" s="186"/>
      <c r="F1203" s="187"/>
    </row>
    <row r="1204" spans="1:6" x14ac:dyDescent="0.2">
      <c r="A1204" s="275"/>
      <c r="B1204" s="78"/>
      <c r="C1204" s="189"/>
      <c r="D1204" s="185"/>
      <c r="E1204" s="186"/>
      <c r="F1204" s="187"/>
    </row>
    <row r="1205" spans="1:6" x14ac:dyDescent="0.2">
      <c r="A1205" s="275"/>
      <c r="B1205" s="78"/>
      <c r="C1205" s="189"/>
      <c r="D1205" s="185"/>
      <c r="E1205" s="186"/>
      <c r="F1205" s="187"/>
    </row>
    <row r="1206" spans="1:6" x14ac:dyDescent="0.2">
      <c r="A1206" s="275"/>
      <c r="B1206" s="78"/>
      <c r="C1206" s="189"/>
      <c r="D1206" s="185"/>
      <c r="E1206" s="186"/>
      <c r="F1206" s="187"/>
    </row>
    <row r="1207" spans="1:6" x14ac:dyDescent="0.2">
      <c r="A1207" s="275"/>
      <c r="B1207" s="78"/>
      <c r="C1207" s="189"/>
      <c r="D1207" s="185"/>
      <c r="E1207" s="186"/>
      <c r="F1207" s="187"/>
    </row>
    <row r="1208" spans="1:6" x14ac:dyDescent="0.2">
      <c r="A1208" s="275"/>
      <c r="B1208" s="78"/>
      <c r="C1208" s="189"/>
      <c r="D1208" s="185"/>
      <c r="E1208" s="186"/>
      <c r="F1208" s="187"/>
    </row>
    <row r="1209" spans="1:6" x14ac:dyDescent="0.2">
      <c r="A1209" s="275"/>
      <c r="B1209" s="78"/>
      <c r="C1209" s="189"/>
      <c r="D1209" s="185"/>
      <c r="E1209" s="186"/>
      <c r="F1209" s="187"/>
    </row>
    <row r="1210" spans="1:6" x14ac:dyDescent="0.2">
      <c r="A1210" s="275"/>
      <c r="B1210" s="78"/>
      <c r="C1210" s="189"/>
      <c r="D1210" s="185"/>
      <c r="E1210" s="186"/>
      <c r="F1210" s="187"/>
    </row>
    <row r="1211" spans="1:6" x14ac:dyDescent="0.2">
      <c r="A1211" s="275"/>
      <c r="B1211" s="78"/>
      <c r="C1211" s="189"/>
      <c r="D1211" s="185"/>
      <c r="E1211" s="186"/>
      <c r="F1211" s="187"/>
    </row>
    <row r="1212" spans="1:6" x14ac:dyDescent="0.2">
      <c r="A1212" s="275"/>
      <c r="B1212" s="78"/>
      <c r="C1212" s="189"/>
      <c r="D1212" s="185"/>
      <c r="E1212" s="186"/>
      <c r="F1212" s="187"/>
    </row>
    <row r="1213" spans="1:6" x14ac:dyDescent="0.2">
      <c r="A1213" s="275"/>
      <c r="B1213" s="78"/>
      <c r="C1213" s="189"/>
      <c r="D1213" s="185"/>
      <c r="E1213" s="186"/>
      <c r="F1213" s="187"/>
    </row>
    <row r="1214" spans="1:6" x14ac:dyDescent="0.2">
      <c r="A1214" s="275"/>
      <c r="B1214" s="78"/>
      <c r="C1214" s="189"/>
      <c r="D1214" s="185"/>
      <c r="E1214" s="186"/>
      <c r="F1214" s="187"/>
    </row>
    <row r="1215" spans="1:6" x14ac:dyDescent="0.2">
      <c r="A1215" s="275"/>
      <c r="B1215" s="78"/>
      <c r="C1215" s="189"/>
      <c r="D1215" s="185"/>
      <c r="E1215" s="186"/>
      <c r="F1215" s="187"/>
    </row>
    <row r="1216" spans="1:6" x14ac:dyDescent="0.2">
      <c r="A1216" s="275"/>
      <c r="B1216" s="78"/>
      <c r="C1216" s="189"/>
      <c r="D1216" s="185"/>
      <c r="E1216" s="186"/>
      <c r="F1216" s="187"/>
    </row>
    <row r="1217" spans="1:6" x14ac:dyDescent="0.2">
      <c r="A1217" s="275"/>
      <c r="B1217" s="78"/>
      <c r="C1217" s="189"/>
      <c r="D1217" s="185"/>
      <c r="E1217" s="186"/>
      <c r="F1217" s="187"/>
    </row>
    <row r="1218" spans="1:6" x14ac:dyDescent="0.2">
      <c r="A1218" s="275"/>
      <c r="B1218" s="78"/>
      <c r="C1218" s="189"/>
      <c r="D1218" s="185"/>
      <c r="E1218" s="186"/>
      <c r="F1218" s="187"/>
    </row>
    <row r="1219" spans="1:6" x14ac:dyDescent="0.2">
      <c r="A1219" s="275"/>
      <c r="B1219" s="78"/>
      <c r="C1219" s="189"/>
      <c r="D1219" s="185"/>
      <c r="E1219" s="186"/>
      <c r="F1219" s="187"/>
    </row>
    <row r="1220" spans="1:6" x14ac:dyDescent="0.2">
      <c r="A1220" s="275"/>
      <c r="B1220" s="78"/>
      <c r="C1220" s="189"/>
      <c r="D1220" s="185"/>
      <c r="E1220" s="186"/>
      <c r="F1220" s="187"/>
    </row>
    <row r="1221" spans="1:6" x14ac:dyDescent="0.2">
      <c r="A1221" s="275"/>
      <c r="B1221" s="78"/>
      <c r="C1221" s="189"/>
      <c r="D1221" s="185"/>
      <c r="E1221" s="186"/>
      <c r="F1221" s="187"/>
    </row>
    <row r="1222" spans="1:6" x14ac:dyDescent="0.2">
      <c r="A1222" s="275"/>
      <c r="B1222" s="78"/>
      <c r="C1222" s="189"/>
      <c r="D1222" s="185"/>
      <c r="E1222" s="186"/>
      <c r="F1222" s="187"/>
    </row>
    <row r="1223" spans="1:6" x14ac:dyDescent="0.2">
      <c r="A1223" s="275"/>
      <c r="B1223" s="78"/>
      <c r="C1223" s="189"/>
      <c r="D1223" s="185"/>
      <c r="E1223" s="186"/>
      <c r="F1223" s="187"/>
    </row>
    <row r="1224" spans="1:6" x14ac:dyDescent="0.2">
      <c r="A1224" s="275"/>
      <c r="B1224" s="78"/>
      <c r="C1224" s="189"/>
      <c r="D1224" s="185"/>
      <c r="E1224" s="186"/>
      <c r="F1224" s="187"/>
    </row>
    <row r="1225" spans="1:6" x14ac:dyDescent="0.2">
      <c r="A1225" s="275"/>
      <c r="B1225" s="78"/>
      <c r="C1225" s="189"/>
      <c r="D1225" s="185"/>
      <c r="E1225" s="186"/>
      <c r="F1225" s="187"/>
    </row>
    <row r="1226" spans="1:6" x14ac:dyDescent="0.2">
      <c r="A1226" s="275"/>
      <c r="B1226" s="78"/>
      <c r="C1226" s="189"/>
      <c r="D1226" s="185"/>
      <c r="E1226" s="186"/>
      <c r="F1226" s="187"/>
    </row>
    <row r="1227" spans="1:6" x14ac:dyDescent="0.2">
      <c r="A1227" s="275"/>
      <c r="B1227" s="78"/>
      <c r="C1227" s="189"/>
      <c r="D1227" s="185"/>
      <c r="E1227" s="186"/>
      <c r="F1227" s="187"/>
    </row>
    <row r="1228" spans="1:6" x14ac:dyDescent="0.2">
      <c r="A1228" s="275"/>
      <c r="B1228" s="78"/>
      <c r="C1228" s="189"/>
      <c r="D1228" s="185"/>
      <c r="E1228" s="186"/>
      <c r="F1228" s="187"/>
    </row>
    <row r="1229" spans="1:6" x14ac:dyDescent="0.2">
      <c r="A1229" s="275"/>
      <c r="B1229" s="78"/>
      <c r="C1229" s="189"/>
      <c r="D1229" s="185"/>
      <c r="E1229" s="186"/>
      <c r="F1229" s="187"/>
    </row>
    <row r="1230" spans="1:6" x14ac:dyDescent="0.2">
      <c r="A1230" s="275"/>
      <c r="B1230" s="78"/>
      <c r="C1230" s="189"/>
      <c r="D1230" s="185"/>
      <c r="E1230" s="186"/>
      <c r="F1230" s="187"/>
    </row>
    <row r="1231" spans="1:6" x14ac:dyDescent="0.2">
      <c r="A1231" s="275"/>
      <c r="B1231" s="78"/>
      <c r="C1231" s="189"/>
      <c r="D1231" s="185"/>
      <c r="E1231" s="186"/>
      <c r="F1231" s="187"/>
    </row>
    <row r="1232" spans="1:6" x14ac:dyDescent="0.2">
      <c r="A1232" s="275"/>
      <c r="B1232" s="78"/>
      <c r="C1232" s="189"/>
      <c r="D1232" s="185"/>
      <c r="E1232" s="186"/>
      <c r="F1232" s="187"/>
    </row>
    <row r="1233" spans="1:6" x14ac:dyDescent="0.2">
      <c r="A1233" s="275"/>
      <c r="B1233" s="78"/>
      <c r="C1233" s="189"/>
      <c r="D1233" s="185"/>
      <c r="E1233" s="186"/>
      <c r="F1233" s="187"/>
    </row>
    <row r="1234" spans="1:6" x14ac:dyDescent="0.2">
      <c r="A1234" s="275"/>
      <c r="B1234" s="78"/>
      <c r="C1234" s="189"/>
      <c r="D1234" s="185"/>
      <c r="E1234" s="186"/>
      <c r="F1234" s="187"/>
    </row>
    <row r="1235" spans="1:6" x14ac:dyDescent="0.2">
      <c r="A1235" s="275"/>
      <c r="B1235" s="78"/>
      <c r="C1235" s="189"/>
      <c r="D1235" s="185"/>
      <c r="E1235" s="186"/>
      <c r="F1235" s="187"/>
    </row>
    <row r="1236" spans="1:6" x14ac:dyDescent="0.2">
      <c r="A1236" s="275"/>
      <c r="B1236" s="78"/>
      <c r="C1236" s="189"/>
      <c r="D1236" s="185"/>
      <c r="E1236" s="186"/>
      <c r="F1236" s="187"/>
    </row>
    <row r="1237" spans="1:6" x14ac:dyDescent="0.2">
      <c r="A1237" s="275"/>
      <c r="B1237" s="78"/>
      <c r="C1237" s="189"/>
      <c r="D1237" s="185"/>
      <c r="E1237" s="186"/>
      <c r="F1237" s="187"/>
    </row>
    <row r="1238" spans="1:6" x14ac:dyDescent="0.2">
      <c r="A1238" s="275"/>
      <c r="B1238" s="78"/>
      <c r="C1238" s="189"/>
      <c r="D1238" s="185"/>
      <c r="E1238" s="186"/>
      <c r="F1238" s="187"/>
    </row>
    <row r="1239" spans="1:6" x14ac:dyDescent="0.2">
      <c r="A1239" s="275"/>
      <c r="B1239" s="78"/>
      <c r="C1239" s="189"/>
      <c r="D1239" s="185"/>
      <c r="E1239" s="186"/>
      <c r="F1239" s="187"/>
    </row>
    <row r="1240" spans="1:6" x14ac:dyDescent="0.2">
      <c r="A1240" s="275"/>
      <c r="B1240" s="78"/>
      <c r="C1240" s="189"/>
      <c r="D1240" s="185"/>
      <c r="E1240" s="186"/>
      <c r="F1240" s="187"/>
    </row>
    <row r="1241" spans="1:6" x14ac:dyDescent="0.2">
      <c r="A1241" s="275"/>
      <c r="B1241" s="78"/>
      <c r="C1241" s="189"/>
      <c r="D1241" s="185"/>
      <c r="E1241" s="186"/>
      <c r="F1241" s="187"/>
    </row>
    <row r="1242" spans="1:6" x14ac:dyDescent="0.2">
      <c r="A1242" s="275"/>
      <c r="B1242" s="78"/>
      <c r="C1242" s="189"/>
      <c r="D1242" s="185"/>
      <c r="E1242" s="186"/>
      <c r="F1242" s="187"/>
    </row>
    <row r="1243" spans="1:6" x14ac:dyDescent="0.2">
      <c r="A1243" s="275"/>
      <c r="B1243" s="78"/>
      <c r="C1243" s="189"/>
      <c r="D1243" s="185"/>
      <c r="E1243" s="186"/>
      <c r="F1243" s="187"/>
    </row>
    <row r="1244" spans="1:6" x14ac:dyDescent="0.2">
      <c r="A1244" s="275"/>
      <c r="B1244" s="78"/>
      <c r="C1244" s="189"/>
      <c r="D1244" s="185"/>
      <c r="E1244" s="186"/>
      <c r="F1244" s="187"/>
    </row>
    <row r="1245" spans="1:6" x14ac:dyDescent="0.2">
      <c r="A1245" s="275"/>
      <c r="B1245" s="78"/>
      <c r="C1245" s="189"/>
      <c r="D1245" s="185"/>
      <c r="E1245" s="186"/>
      <c r="F1245" s="187"/>
    </row>
    <row r="1246" spans="1:6" x14ac:dyDescent="0.2">
      <c r="A1246" s="275"/>
      <c r="B1246" s="78"/>
      <c r="C1246" s="189"/>
      <c r="D1246" s="185"/>
      <c r="E1246" s="186"/>
      <c r="F1246" s="187"/>
    </row>
    <row r="1247" spans="1:6" x14ac:dyDescent="0.2">
      <c r="A1247" s="275"/>
      <c r="B1247" s="78"/>
      <c r="C1247" s="189"/>
      <c r="D1247" s="185"/>
      <c r="E1247" s="186"/>
      <c r="F1247" s="187"/>
    </row>
    <row r="1248" spans="1:6" x14ac:dyDescent="0.2">
      <c r="A1248" s="275"/>
      <c r="B1248" s="78"/>
      <c r="C1248" s="189"/>
      <c r="D1248" s="185"/>
      <c r="E1248" s="186"/>
      <c r="F1248" s="187"/>
    </row>
    <row r="1249" spans="1:6" x14ac:dyDescent="0.2">
      <c r="A1249" s="275"/>
      <c r="B1249" s="78"/>
      <c r="C1249" s="189"/>
      <c r="D1249" s="185"/>
      <c r="E1249" s="186"/>
      <c r="F1249" s="187"/>
    </row>
    <row r="1250" spans="1:6" x14ac:dyDescent="0.2">
      <c r="A1250" s="275"/>
      <c r="B1250" s="78"/>
      <c r="C1250" s="189"/>
      <c r="D1250" s="185"/>
      <c r="E1250" s="186"/>
      <c r="F1250" s="187"/>
    </row>
    <row r="1251" spans="1:6" x14ac:dyDescent="0.2">
      <c r="A1251" s="275"/>
      <c r="B1251" s="78"/>
      <c r="C1251" s="189"/>
      <c r="D1251" s="185"/>
      <c r="E1251" s="186"/>
      <c r="F1251" s="187"/>
    </row>
    <row r="1252" spans="1:6" x14ac:dyDescent="0.2">
      <c r="A1252" s="275"/>
      <c r="B1252" s="78"/>
      <c r="C1252" s="189"/>
      <c r="D1252" s="185"/>
      <c r="E1252" s="186"/>
      <c r="F1252" s="187"/>
    </row>
    <row r="1253" spans="1:6" x14ac:dyDescent="0.2">
      <c r="A1253" s="275"/>
      <c r="B1253" s="78"/>
      <c r="C1253" s="189"/>
      <c r="D1253" s="185"/>
      <c r="E1253" s="186"/>
      <c r="F1253" s="187"/>
    </row>
    <row r="1254" spans="1:6" x14ac:dyDescent="0.2">
      <c r="A1254" s="275"/>
      <c r="B1254" s="78"/>
      <c r="C1254" s="189"/>
      <c r="D1254" s="185"/>
      <c r="E1254" s="186"/>
      <c r="F1254" s="187"/>
    </row>
    <row r="1255" spans="1:6" x14ac:dyDescent="0.2">
      <c r="A1255" s="275"/>
      <c r="B1255" s="78"/>
      <c r="C1255" s="189"/>
      <c r="D1255" s="185"/>
      <c r="E1255" s="186"/>
      <c r="F1255" s="187"/>
    </row>
    <row r="1256" spans="1:6" x14ac:dyDescent="0.2">
      <c r="A1256" s="275"/>
      <c r="B1256" s="78"/>
      <c r="C1256" s="189"/>
      <c r="D1256" s="185"/>
      <c r="E1256" s="186"/>
      <c r="F1256" s="187"/>
    </row>
    <row r="1257" spans="1:6" x14ac:dyDescent="0.2">
      <c r="A1257" s="275"/>
      <c r="B1257" s="78"/>
      <c r="C1257" s="189"/>
      <c r="D1257" s="185"/>
      <c r="E1257" s="186"/>
      <c r="F1257" s="187"/>
    </row>
    <row r="1258" spans="1:6" x14ac:dyDescent="0.2">
      <c r="A1258" s="275"/>
      <c r="B1258" s="78"/>
      <c r="C1258" s="189"/>
      <c r="D1258" s="185"/>
      <c r="E1258" s="186"/>
      <c r="F1258" s="187"/>
    </row>
    <row r="1259" spans="1:6" x14ac:dyDescent="0.2">
      <c r="A1259" s="275"/>
      <c r="B1259" s="78"/>
      <c r="C1259" s="189"/>
      <c r="D1259" s="185"/>
      <c r="E1259" s="186"/>
      <c r="F1259" s="187"/>
    </row>
    <row r="1260" spans="1:6" x14ac:dyDescent="0.2">
      <c r="A1260" s="275"/>
      <c r="B1260" s="78"/>
      <c r="C1260" s="189"/>
      <c r="D1260" s="185"/>
      <c r="E1260" s="186"/>
      <c r="F1260" s="187"/>
    </row>
    <row r="1261" spans="1:6" x14ac:dyDescent="0.2">
      <c r="A1261" s="275"/>
      <c r="B1261" s="78"/>
      <c r="C1261" s="189"/>
      <c r="D1261" s="185"/>
      <c r="E1261" s="186"/>
      <c r="F1261" s="187"/>
    </row>
    <row r="1262" spans="1:6" x14ac:dyDescent="0.2">
      <c r="A1262" s="275"/>
      <c r="B1262" s="78"/>
      <c r="C1262" s="189"/>
      <c r="D1262" s="185"/>
      <c r="E1262" s="186"/>
      <c r="F1262" s="187"/>
    </row>
    <row r="1263" spans="1:6" x14ac:dyDescent="0.2">
      <c r="A1263" s="275"/>
      <c r="B1263" s="78"/>
      <c r="C1263" s="189"/>
      <c r="D1263" s="185"/>
      <c r="E1263" s="186"/>
      <c r="F1263" s="187"/>
    </row>
    <row r="1264" spans="1:6" x14ac:dyDescent="0.2">
      <c r="A1264" s="275"/>
      <c r="B1264" s="78"/>
      <c r="C1264" s="189"/>
      <c r="D1264" s="185"/>
      <c r="E1264" s="186"/>
      <c r="F1264" s="187"/>
    </row>
    <row r="1265" spans="1:6" x14ac:dyDescent="0.2">
      <c r="A1265" s="275"/>
      <c r="B1265" s="78"/>
      <c r="C1265" s="189"/>
      <c r="D1265" s="185"/>
      <c r="E1265" s="186"/>
      <c r="F1265" s="187"/>
    </row>
    <row r="1266" spans="1:6" x14ac:dyDescent="0.2">
      <c r="A1266" s="275"/>
      <c r="B1266" s="78"/>
      <c r="C1266" s="189"/>
      <c r="D1266" s="185"/>
      <c r="E1266" s="186"/>
      <c r="F1266" s="187"/>
    </row>
    <row r="1267" spans="1:6" x14ac:dyDescent="0.2">
      <c r="A1267" s="275"/>
      <c r="B1267" s="78"/>
      <c r="C1267" s="189"/>
      <c r="D1267" s="185"/>
      <c r="E1267" s="186"/>
      <c r="F1267" s="187"/>
    </row>
    <row r="1268" spans="1:6" x14ac:dyDescent="0.2">
      <c r="A1268" s="275"/>
      <c r="B1268" s="78"/>
      <c r="C1268" s="189"/>
      <c r="D1268" s="185"/>
      <c r="E1268" s="186"/>
      <c r="F1268" s="187"/>
    </row>
    <row r="1269" spans="1:6" x14ac:dyDescent="0.2">
      <c r="A1269" s="275"/>
      <c r="B1269" s="78"/>
      <c r="C1269" s="189"/>
      <c r="D1269" s="185"/>
      <c r="E1269" s="186"/>
      <c r="F1269" s="187"/>
    </row>
    <row r="1270" spans="1:6" x14ac:dyDescent="0.2">
      <c r="A1270" s="275"/>
      <c r="B1270" s="78"/>
      <c r="C1270" s="189"/>
      <c r="D1270" s="185"/>
      <c r="E1270" s="186"/>
      <c r="F1270" s="187"/>
    </row>
    <row r="1271" spans="1:6" x14ac:dyDescent="0.2">
      <c r="A1271" s="275"/>
      <c r="B1271" s="78"/>
      <c r="C1271" s="189"/>
      <c r="D1271" s="185"/>
      <c r="E1271" s="186"/>
      <c r="F1271" s="187"/>
    </row>
    <row r="1272" spans="1:6" x14ac:dyDescent="0.2">
      <c r="A1272" s="275"/>
      <c r="B1272" s="78"/>
      <c r="C1272" s="189"/>
      <c r="D1272" s="185"/>
      <c r="E1272" s="186"/>
      <c r="F1272" s="187"/>
    </row>
    <row r="1273" spans="1:6" x14ac:dyDescent="0.2">
      <c r="A1273" s="275"/>
      <c r="B1273" s="78"/>
      <c r="C1273" s="189"/>
      <c r="D1273" s="185"/>
      <c r="E1273" s="186"/>
      <c r="F1273" s="187"/>
    </row>
    <row r="1274" spans="1:6" x14ac:dyDescent="0.2">
      <c r="A1274" s="275"/>
      <c r="B1274" s="78"/>
      <c r="C1274" s="189"/>
      <c r="D1274" s="185"/>
      <c r="E1274" s="186"/>
      <c r="F1274" s="187"/>
    </row>
    <row r="1275" spans="1:6" x14ac:dyDescent="0.2">
      <c r="A1275" s="275"/>
      <c r="B1275" s="78"/>
      <c r="C1275" s="189"/>
      <c r="D1275" s="185"/>
      <c r="E1275" s="186"/>
      <c r="F1275" s="187"/>
    </row>
    <row r="1276" spans="1:6" x14ac:dyDescent="0.2">
      <c r="A1276" s="275"/>
      <c r="B1276" s="78"/>
      <c r="C1276" s="189"/>
      <c r="D1276" s="185"/>
      <c r="E1276" s="186"/>
      <c r="F1276" s="187"/>
    </row>
    <row r="1277" spans="1:6" x14ac:dyDescent="0.2">
      <c r="A1277" s="275"/>
      <c r="B1277" s="78"/>
      <c r="C1277" s="189"/>
      <c r="D1277" s="185"/>
      <c r="E1277" s="186"/>
      <c r="F1277" s="187"/>
    </row>
    <row r="1278" spans="1:6" x14ac:dyDescent="0.2">
      <c r="A1278" s="275"/>
      <c r="B1278" s="78"/>
      <c r="C1278" s="189"/>
      <c r="D1278" s="185"/>
      <c r="E1278" s="186"/>
      <c r="F1278" s="187"/>
    </row>
    <row r="1279" spans="1:6" x14ac:dyDescent="0.2">
      <c r="A1279" s="275"/>
      <c r="B1279" s="78"/>
      <c r="C1279" s="189"/>
      <c r="D1279" s="185"/>
      <c r="E1279" s="186"/>
      <c r="F1279" s="187"/>
    </row>
    <row r="1280" spans="1:6" x14ac:dyDescent="0.2">
      <c r="A1280" s="275"/>
      <c r="B1280" s="78"/>
      <c r="C1280" s="189"/>
      <c r="D1280" s="185"/>
      <c r="E1280" s="186"/>
      <c r="F1280" s="187"/>
    </row>
    <row r="1281" spans="1:6" x14ac:dyDescent="0.2">
      <c r="A1281" s="275"/>
      <c r="B1281" s="78"/>
      <c r="C1281" s="189"/>
      <c r="D1281" s="185"/>
      <c r="E1281" s="186"/>
      <c r="F1281" s="187"/>
    </row>
    <row r="1282" spans="1:6" x14ac:dyDescent="0.2">
      <c r="A1282" s="275"/>
      <c r="B1282" s="78"/>
      <c r="C1282" s="189"/>
      <c r="D1282" s="185"/>
      <c r="E1282" s="186"/>
      <c r="F1282" s="187"/>
    </row>
    <row r="1283" spans="1:6" x14ac:dyDescent="0.2">
      <c r="A1283" s="275"/>
      <c r="B1283" s="78"/>
      <c r="C1283" s="189"/>
      <c r="D1283" s="185"/>
      <c r="E1283" s="186"/>
      <c r="F1283" s="187"/>
    </row>
    <row r="1284" spans="1:6" x14ac:dyDescent="0.2">
      <c r="A1284" s="275"/>
      <c r="B1284" s="78"/>
      <c r="C1284" s="189"/>
      <c r="D1284" s="185"/>
      <c r="E1284" s="186"/>
      <c r="F1284" s="187"/>
    </row>
    <row r="1285" spans="1:6" x14ac:dyDescent="0.2">
      <c r="A1285" s="275"/>
      <c r="B1285" s="78"/>
      <c r="C1285" s="189"/>
      <c r="D1285" s="185"/>
      <c r="E1285" s="186"/>
      <c r="F1285" s="187"/>
    </row>
    <row r="1286" spans="1:6" x14ac:dyDescent="0.2">
      <c r="A1286" s="275"/>
      <c r="B1286" s="78"/>
      <c r="C1286" s="189"/>
      <c r="D1286" s="185"/>
      <c r="E1286" s="186"/>
      <c r="F1286" s="187"/>
    </row>
    <row r="1287" spans="1:6" x14ac:dyDescent="0.2">
      <c r="A1287" s="275"/>
      <c r="B1287" s="78"/>
      <c r="C1287" s="189"/>
      <c r="D1287" s="185"/>
      <c r="E1287" s="186"/>
      <c r="F1287" s="187"/>
    </row>
    <row r="1288" spans="1:6" x14ac:dyDescent="0.2">
      <c r="A1288" s="275"/>
      <c r="B1288" s="78"/>
      <c r="C1288" s="189"/>
      <c r="D1288" s="185"/>
      <c r="E1288" s="186"/>
      <c r="F1288" s="187"/>
    </row>
    <row r="1289" spans="1:6" x14ac:dyDescent="0.2">
      <c r="A1289" s="275"/>
      <c r="B1289" s="78"/>
      <c r="C1289" s="189"/>
      <c r="D1289" s="185"/>
      <c r="E1289" s="186"/>
      <c r="F1289" s="187"/>
    </row>
    <row r="1290" spans="1:6" x14ac:dyDescent="0.2">
      <c r="A1290" s="275"/>
      <c r="B1290" s="78"/>
      <c r="C1290" s="189"/>
      <c r="D1290" s="185"/>
      <c r="E1290" s="186"/>
      <c r="F1290" s="187"/>
    </row>
    <row r="1291" spans="1:6" x14ac:dyDescent="0.2">
      <c r="A1291" s="275"/>
      <c r="B1291" s="78"/>
      <c r="C1291" s="189"/>
      <c r="D1291" s="185"/>
      <c r="E1291" s="186"/>
      <c r="F1291" s="187"/>
    </row>
    <row r="1292" spans="1:6" x14ac:dyDescent="0.2">
      <c r="A1292" s="275"/>
      <c r="B1292" s="78"/>
      <c r="C1292" s="189"/>
      <c r="D1292" s="185"/>
      <c r="E1292" s="186"/>
      <c r="F1292" s="187"/>
    </row>
    <row r="1293" spans="1:6" x14ac:dyDescent="0.2">
      <c r="A1293" s="275"/>
      <c r="B1293" s="78"/>
      <c r="C1293" s="189"/>
      <c r="D1293" s="185"/>
      <c r="E1293" s="186"/>
      <c r="F1293" s="187"/>
    </row>
    <row r="1294" spans="1:6" x14ac:dyDescent="0.2">
      <c r="A1294" s="275"/>
      <c r="B1294" s="78"/>
      <c r="C1294" s="189"/>
      <c r="D1294" s="185"/>
      <c r="E1294" s="186"/>
      <c r="F1294" s="187"/>
    </row>
    <row r="1295" spans="1:6" x14ac:dyDescent="0.2">
      <c r="A1295" s="275"/>
      <c r="B1295" s="78"/>
      <c r="C1295" s="189"/>
      <c r="D1295" s="185"/>
      <c r="E1295" s="186"/>
      <c r="F1295" s="187"/>
    </row>
    <row r="1296" spans="1:6" x14ac:dyDescent="0.2">
      <c r="A1296" s="275"/>
      <c r="B1296" s="78"/>
      <c r="C1296" s="189"/>
      <c r="D1296" s="185"/>
      <c r="E1296" s="186"/>
      <c r="F1296" s="187"/>
    </row>
    <row r="1297" spans="1:6" x14ac:dyDescent="0.2">
      <c r="A1297" s="275"/>
      <c r="B1297" s="78"/>
      <c r="C1297" s="189"/>
      <c r="D1297" s="185"/>
      <c r="E1297" s="186"/>
      <c r="F1297" s="187"/>
    </row>
    <row r="1298" spans="1:6" x14ac:dyDescent="0.2">
      <c r="A1298" s="275"/>
      <c r="B1298" s="78"/>
      <c r="C1298" s="189"/>
      <c r="D1298" s="185"/>
      <c r="E1298" s="186"/>
      <c r="F1298" s="187"/>
    </row>
    <row r="1299" spans="1:6" x14ac:dyDescent="0.2">
      <c r="A1299" s="275"/>
      <c r="B1299" s="78"/>
      <c r="C1299" s="189"/>
      <c r="D1299" s="185"/>
      <c r="E1299" s="186"/>
      <c r="F1299" s="187"/>
    </row>
    <row r="1300" spans="1:6" x14ac:dyDescent="0.2">
      <c r="A1300" s="275"/>
      <c r="B1300" s="78"/>
      <c r="C1300" s="189"/>
      <c r="D1300" s="185"/>
      <c r="E1300" s="186"/>
      <c r="F1300" s="187"/>
    </row>
    <row r="1301" spans="1:6" x14ac:dyDescent="0.2">
      <c r="A1301" s="275"/>
      <c r="B1301" s="78"/>
      <c r="C1301" s="189"/>
      <c r="D1301" s="185"/>
      <c r="E1301" s="186"/>
      <c r="F1301" s="187"/>
    </row>
    <row r="1302" spans="1:6" x14ac:dyDescent="0.2">
      <c r="A1302" s="275"/>
      <c r="B1302" s="78"/>
      <c r="C1302" s="189"/>
      <c r="D1302" s="185"/>
      <c r="E1302" s="186"/>
      <c r="F1302" s="187"/>
    </row>
    <row r="1303" spans="1:6" x14ac:dyDescent="0.2">
      <c r="A1303" s="275"/>
      <c r="B1303" s="78"/>
      <c r="C1303" s="189"/>
      <c r="D1303" s="185"/>
      <c r="E1303" s="186"/>
      <c r="F1303" s="187"/>
    </row>
    <row r="1304" spans="1:6" x14ac:dyDescent="0.2">
      <c r="A1304" s="275"/>
      <c r="B1304" s="78"/>
      <c r="C1304" s="189"/>
      <c r="D1304" s="185"/>
      <c r="E1304" s="186"/>
      <c r="F1304" s="187"/>
    </row>
    <row r="1305" spans="1:6" x14ac:dyDescent="0.2">
      <c r="A1305" s="275"/>
      <c r="B1305" s="78"/>
      <c r="C1305" s="189"/>
      <c r="D1305" s="185"/>
      <c r="E1305" s="186"/>
      <c r="F1305" s="187"/>
    </row>
    <row r="1306" spans="1:6" x14ac:dyDescent="0.2">
      <c r="A1306" s="275"/>
      <c r="B1306" s="78"/>
      <c r="C1306" s="189"/>
      <c r="D1306" s="185"/>
      <c r="E1306" s="186"/>
      <c r="F1306" s="187"/>
    </row>
    <row r="1307" spans="1:6" x14ac:dyDescent="0.2">
      <c r="A1307" s="275"/>
      <c r="B1307" s="78"/>
      <c r="C1307" s="189"/>
      <c r="D1307" s="185"/>
      <c r="E1307" s="186"/>
      <c r="F1307" s="187"/>
    </row>
    <row r="1308" spans="1:6" x14ac:dyDescent="0.2">
      <c r="A1308" s="275"/>
      <c r="B1308" s="78"/>
      <c r="C1308" s="189"/>
      <c r="D1308" s="185"/>
      <c r="E1308" s="186"/>
      <c r="F1308" s="187"/>
    </row>
    <row r="1309" spans="1:6" x14ac:dyDescent="0.2">
      <c r="A1309" s="275"/>
      <c r="B1309" s="78"/>
      <c r="C1309" s="189"/>
      <c r="D1309" s="185"/>
      <c r="E1309" s="186"/>
      <c r="F1309" s="187"/>
    </row>
    <row r="1310" spans="1:6" x14ac:dyDescent="0.2">
      <c r="A1310" s="275"/>
      <c r="B1310" s="78"/>
      <c r="C1310" s="189"/>
      <c r="D1310" s="185"/>
      <c r="E1310" s="186"/>
      <c r="F1310" s="187"/>
    </row>
    <row r="1311" spans="1:6" x14ac:dyDescent="0.2">
      <c r="A1311" s="275"/>
      <c r="B1311" s="78"/>
      <c r="C1311" s="189"/>
      <c r="D1311" s="185"/>
      <c r="E1311" s="186"/>
      <c r="F1311" s="187"/>
    </row>
    <row r="1312" spans="1:6" x14ac:dyDescent="0.2">
      <c r="A1312" s="275"/>
      <c r="B1312" s="78"/>
      <c r="C1312" s="189"/>
      <c r="D1312" s="185"/>
      <c r="E1312" s="186"/>
      <c r="F1312" s="187"/>
    </row>
    <row r="1313" spans="1:6" x14ac:dyDescent="0.2">
      <c r="A1313" s="275"/>
      <c r="B1313" s="78"/>
      <c r="C1313" s="189"/>
      <c r="D1313" s="185"/>
      <c r="E1313" s="186"/>
      <c r="F1313" s="187"/>
    </row>
    <row r="1314" spans="1:6" x14ac:dyDescent="0.2">
      <c r="A1314" s="275"/>
      <c r="B1314" s="78"/>
      <c r="C1314" s="189"/>
      <c r="D1314" s="185"/>
      <c r="E1314" s="186"/>
      <c r="F1314" s="187"/>
    </row>
    <row r="1315" spans="1:6" x14ac:dyDescent="0.2">
      <c r="A1315" s="275"/>
      <c r="B1315" s="78"/>
      <c r="C1315" s="189"/>
      <c r="D1315" s="185"/>
      <c r="E1315" s="186"/>
      <c r="F1315" s="187"/>
    </row>
    <row r="1316" spans="1:6" x14ac:dyDescent="0.2">
      <c r="A1316" s="275"/>
      <c r="B1316" s="78"/>
      <c r="C1316" s="189"/>
      <c r="D1316" s="185"/>
      <c r="E1316" s="186"/>
      <c r="F1316" s="187"/>
    </row>
    <row r="1317" spans="1:6" x14ac:dyDescent="0.2">
      <c r="A1317" s="275"/>
      <c r="B1317" s="78"/>
      <c r="C1317" s="189"/>
      <c r="D1317" s="185"/>
      <c r="E1317" s="186"/>
      <c r="F1317" s="187"/>
    </row>
    <row r="1318" spans="1:6" x14ac:dyDescent="0.2">
      <c r="A1318" s="275"/>
      <c r="B1318" s="78"/>
      <c r="C1318" s="189"/>
      <c r="D1318" s="185"/>
      <c r="E1318" s="186"/>
      <c r="F1318" s="187"/>
    </row>
    <row r="1319" spans="1:6" x14ac:dyDescent="0.2">
      <c r="A1319" s="275"/>
      <c r="B1319" s="78"/>
      <c r="C1319" s="189"/>
      <c r="D1319" s="185"/>
      <c r="E1319" s="186"/>
      <c r="F1319" s="187"/>
    </row>
    <row r="1320" spans="1:6" x14ac:dyDescent="0.2">
      <c r="A1320" s="275"/>
      <c r="B1320" s="78"/>
      <c r="C1320" s="189"/>
      <c r="D1320" s="185"/>
      <c r="E1320" s="186"/>
      <c r="F1320" s="187"/>
    </row>
    <row r="1321" spans="1:6" x14ac:dyDescent="0.2">
      <c r="A1321" s="275"/>
      <c r="B1321" s="78"/>
      <c r="C1321" s="189"/>
      <c r="D1321" s="185"/>
      <c r="E1321" s="186"/>
      <c r="F1321" s="187"/>
    </row>
    <row r="1322" spans="1:6" x14ac:dyDescent="0.2">
      <c r="A1322" s="275"/>
      <c r="B1322" s="78"/>
      <c r="C1322" s="189"/>
      <c r="D1322" s="185"/>
      <c r="E1322" s="186"/>
      <c r="F1322" s="187"/>
    </row>
    <row r="1323" spans="1:6" x14ac:dyDescent="0.2">
      <c r="A1323" s="275"/>
      <c r="B1323" s="78"/>
      <c r="C1323" s="189"/>
      <c r="D1323" s="185"/>
      <c r="E1323" s="186"/>
      <c r="F1323" s="187"/>
    </row>
    <row r="1324" spans="1:6" x14ac:dyDescent="0.2">
      <c r="A1324" s="275"/>
      <c r="B1324" s="78"/>
      <c r="C1324" s="189"/>
      <c r="D1324" s="185"/>
      <c r="E1324" s="186"/>
      <c r="F1324" s="187"/>
    </row>
    <row r="1325" spans="1:6" x14ac:dyDescent="0.2">
      <c r="A1325" s="275"/>
      <c r="B1325" s="78"/>
      <c r="C1325" s="189"/>
      <c r="D1325" s="185"/>
      <c r="E1325" s="186"/>
      <c r="F1325" s="187"/>
    </row>
    <row r="1326" spans="1:6" x14ac:dyDescent="0.2">
      <c r="A1326" s="275"/>
      <c r="B1326" s="78"/>
      <c r="C1326" s="189"/>
      <c r="D1326" s="185"/>
      <c r="E1326" s="186"/>
      <c r="F1326" s="187"/>
    </row>
    <row r="1327" spans="1:6" x14ac:dyDescent="0.2">
      <c r="A1327" s="275"/>
      <c r="B1327" s="78"/>
      <c r="C1327" s="189"/>
      <c r="D1327" s="185"/>
      <c r="E1327" s="186"/>
      <c r="F1327" s="187"/>
    </row>
    <row r="1328" spans="1:6" x14ac:dyDescent="0.2">
      <c r="A1328" s="275"/>
      <c r="B1328" s="78"/>
      <c r="C1328" s="189"/>
      <c r="D1328" s="185"/>
      <c r="E1328" s="186"/>
      <c r="F1328" s="187"/>
    </row>
    <row r="1329" spans="1:6" x14ac:dyDescent="0.2">
      <c r="A1329" s="275"/>
      <c r="B1329" s="78"/>
      <c r="C1329" s="189"/>
      <c r="D1329" s="185"/>
      <c r="E1329" s="186"/>
      <c r="F1329" s="187"/>
    </row>
    <row r="1330" spans="1:6" x14ac:dyDescent="0.2">
      <c r="A1330" s="275"/>
      <c r="B1330" s="78"/>
      <c r="C1330" s="189"/>
      <c r="D1330" s="185"/>
      <c r="E1330" s="186"/>
      <c r="F1330" s="187"/>
    </row>
    <row r="1331" spans="1:6" x14ac:dyDescent="0.2">
      <c r="A1331" s="275"/>
      <c r="B1331" s="78"/>
      <c r="C1331" s="189"/>
      <c r="D1331" s="185"/>
      <c r="E1331" s="186"/>
      <c r="F1331" s="187"/>
    </row>
    <row r="1332" spans="1:6" x14ac:dyDescent="0.2">
      <c r="A1332" s="275"/>
      <c r="B1332" s="78"/>
      <c r="C1332" s="189"/>
      <c r="D1332" s="185"/>
      <c r="E1332" s="186"/>
      <c r="F1332" s="187"/>
    </row>
    <row r="1333" spans="1:6" x14ac:dyDescent="0.2">
      <c r="A1333" s="275"/>
      <c r="B1333" s="78"/>
      <c r="C1333" s="189"/>
      <c r="D1333" s="185"/>
      <c r="E1333" s="186"/>
      <c r="F1333" s="187"/>
    </row>
    <row r="1334" spans="1:6" x14ac:dyDescent="0.2">
      <c r="A1334" s="275"/>
      <c r="B1334" s="78"/>
      <c r="C1334" s="189"/>
      <c r="D1334" s="185"/>
      <c r="E1334" s="186"/>
      <c r="F1334" s="187"/>
    </row>
    <row r="1335" spans="1:6" x14ac:dyDescent="0.2">
      <c r="A1335" s="275"/>
      <c r="B1335" s="78"/>
      <c r="C1335" s="189"/>
      <c r="D1335" s="185"/>
      <c r="E1335" s="186"/>
      <c r="F1335" s="187"/>
    </row>
    <row r="1336" spans="1:6" x14ac:dyDescent="0.2">
      <c r="A1336" s="275"/>
      <c r="B1336" s="78"/>
      <c r="C1336" s="189"/>
      <c r="D1336" s="185"/>
      <c r="E1336" s="186"/>
      <c r="F1336" s="187"/>
    </row>
    <row r="1337" spans="1:6" x14ac:dyDescent="0.2">
      <c r="A1337" s="275"/>
      <c r="B1337" s="78"/>
      <c r="C1337" s="189"/>
      <c r="D1337" s="185"/>
      <c r="E1337" s="186"/>
      <c r="F1337" s="187"/>
    </row>
    <row r="1338" spans="1:6" x14ac:dyDescent="0.2">
      <c r="A1338" s="275"/>
      <c r="B1338" s="78"/>
      <c r="C1338" s="189"/>
      <c r="D1338" s="185"/>
      <c r="E1338" s="186"/>
      <c r="F1338" s="187"/>
    </row>
    <row r="1339" spans="1:6" x14ac:dyDescent="0.2">
      <c r="A1339" s="275"/>
      <c r="B1339" s="78"/>
      <c r="C1339" s="189"/>
      <c r="D1339" s="185"/>
      <c r="E1339" s="186"/>
      <c r="F1339" s="187"/>
    </row>
    <row r="1340" spans="1:6" x14ac:dyDescent="0.2">
      <c r="A1340" s="275"/>
      <c r="B1340" s="78"/>
      <c r="C1340" s="189"/>
      <c r="D1340" s="185"/>
      <c r="E1340" s="186"/>
      <c r="F1340" s="187"/>
    </row>
    <row r="1341" spans="1:6" x14ac:dyDescent="0.2">
      <c r="A1341" s="275"/>
      <c r="B1341" s="78"/>
      <c r="C1341" s="189"/>
      <c r="D1341" s="185"/>
      <c r="E1341" s="186"/>
      <c r="F1341" s="187"/>
    </row>
    <row r="1342" spans="1:6" x14ac:dyDescent="0.2">
      <c r="A1342" s="275"/>
      <c r="B1342" s="78"/>
      <c r="C1342" s="189"/>
      <c r="D1342" s="185"/>
      <c r="E1342" s="186"/>
      <c r="F1342" s="187"/>
    </row>
    <row r="1343" spans="1:6" x14ac:dyDescent="0.2">
      <c r="A1343" s="275"/>
      <c r="B1343" s="78"/>
      <c r="C1343" s="189"/>
      <c r="D1343" s="185"/>
      <c r="E1343" s="186"/>
      <c r="F1343" s="187"/>
    </row>
    <row r="1344" spans="1:6" x14ac:dyDescent="0.2">
      <c r="A1344" s="275"/>
      <c r="B1344" s="78"/>
      <c r="C1344" s="189"/>
      <c r="D1344" s="185"/>
      <c r="E1344" s="186"/>
      <c r="F1344" s="187"/>
    </row>
    <row r="1345" spans="1:6" x14ac:dyDescent="0.2">
      <c r="A1345" s="275"/>
      <c r="B1345" s="78"/>
      <c r="C1345" s="189"/>
      <c r="D1345" s="185"/>
      <c r="E1345" s="186"/>
      <c r="F1345" s="187"/>
    </row>
    <row r="1346" spans="1:6" x14ac:dyDescent="0.2">
      <c r="A1346" s="275"/>
      <c r="B1346" s="78"/>
      <c r="C1346" s="189"/>
      <c r="D1346" s="185"/>
      <c r="E1346" s="186"/>
      <c r="F1346" s="187"/>
    </row>
    <row r="1347" spans="1:6" x14ac:dyDescent="0.2">
      <c r="A1347" s="275"/>
      <c r="B1347" s="78"/>
      <c r="C1347" s="189"/>
      <c r="D1347" s="185"/>
      <c r="E1347" s="186"/>
      <c r="F1347" s="187"/>
    </row>
    <row r="1348" spans="1:6" x14ac:dyDescent="0.2">
      <c r="A1348" s="275"/>
      <c r="B1348" s="78"/>
      <c r="C1348" s="189"/>
      <c r="D1348" s="185"/>
      <c r="E1348" s="186"/>
      <c r="F1348" s="187"/>
    </row>
    <row r="1349" spans="1:6" x14ac:dyDescent="0.2">
      <c r="A1349" s="275"/>
      <c r="B1349" s="78"/>
      <c r="C1349" s="189"/>
      <c r="D1349" s="185"/>
      <c r="E1349" s="186"/>
      <c r="F1349" s="187"/>
    </row>
    <row r="1350" spans="1:6" x14ac:dyDescent="0.2">
      <c r="A1350" s="275"/>
      <c r="B1350" s="78"/>
      <c r="C1350" s="189"/>
      <c r="D1350" s="185"/>
      <c r="E1350" s="186"/>
      <c r="F1350" s="187"/>
    </row>
    <row r="1351" spans="1:6" x14ac:dyDescent="0.2">
      <c r="A1351" s="275"/>
      <c r="B1351" s="78"/>
      <c r="C1351" s="189"/>
      <c r="D1351" s="185"/>
      <c r="E1351" s="186"/>
      <c r="F1351" s="187"/>
    </row>
    <row r="1352" spans="1:6" x14ac:dyDescent="0.2">
      <c r="A1352" s="275"/>
      <c r="B1352" s="78"/>
      <c r="C1352" s="189"/>
      <c r="D1352" s="185"/>
      <c r="E1352" s="186"/>
      <c r="F1352" s="187"/>
    </row>
    <row r="1353" spans="1:6" x14ac:dyDescent="0.2">
      <c r="A1353" s="275"/>
      <c r="B1353" s="78"/>
      <c r="C1353" s="189"/>
      <c r="D1353" s="185"/>
      <c r="E1353" s="186"/>
      <c r="F1353" s="187"/>
    </row>
    <row r="1354" spans="1:6" x14ac:dyDescent="0.2">
      <c r="A1354" s="275"/>
      <c r="B1354" s="78"/>
      <c r="C1354" s="189"/>
      <c r="D1354" s="185"/>
      <c r="E1354" s="186"/>
      <c r="F1354" s="187"/>
    </row>
    <row r="1355" spans="1:6" x14ac:dyDescent="0.2">
      <c r="A1355" s="275"/>
      <c r="B1355" s="78"/>
      <c r="C1355" s="189"/>
      <c r="D1355" s="185"/>
      <c r="E1355" s="186"/>
      <c r="F1355" s="187"/>
    </row>
    <row r="1356" spans="1:6" x14ac:dyDescent="0.2">
      <c r="A1356" s="275"/>
      <c r="B1356" s="78"/>
      <c r="C1356" s="189"/>
      <c r="D1356" s="185"/>
      <c r="E1356" s="186"/>
      <c r="F1356" s="187"/>
    </row>
    <row r="1357" spans="1:6" x14ac:dyDescent="0.2">
      <c r="A1357" s="275"/>
      <c r="B1357" s="78"/>
      <c r="C1357" s="189"/>
      <c r="D1357" s="185"/>
      <c r="E1357" s="186"/>
      <c r="F1357" s="187"/>
    </row>
    <row r="1358" spans="1:6" x14ac:dyDescent="0.2">
      <c r="A1358" s="275"/>
      <c r="B1358" s="78"/>
      <c r="C1358" s="189"/>
      <c r="D1358" s="185"/>
      <c r="E1358" s="186"/>
      <c r="F1358" s="187"/>
    </row>
    <row r="1359" spans="1:6" x14ac:dyDescent="0.2">
      <c r="A1359" s="275"/>
      <c r="B1359" s="78"/>
      <c r="C1359" s="189"/>
      <c r="D1359" s="185"/>
      <c r="E1359" s="186"/>
      <c r="F1359" s="187"/>
    </row>
    <row r="1360" spans="1:6" x14ac:dyDescent="0.2">
      <c r="A1360" s="275"/>
      <c r="B1360" s="78"/>
      <c r="C1360" s="189"/>
      <c r="D1360" s="185"/>
      <c r="E1360" s="186"/>
      <c r="F1360" s="187"/>
    </row>
    <row r="1361" spans="1:6" x14ac:dyDescent="0.2">
      <c r="A1361" s="275"/>
      <c r="B1361" s="78"/>
      <c r="C1361" s="189"/>
      <c r="D1361" s="185"/>
      <c r="E1361" s="186"/>
      <c r="F1361" s="187"/>
    </row>
    <row r="1362" spans="1:6" x14ac:dyDescent="0.2">
      <c r="A1362" s="275"/>
      <c r="B1362" s="78"/>
      <c r="C1362" s="189"/>
      <c r="D1362" s="185"/>
      <c r="E1362" s="186"/>
      <c r="F1362" s="187"/>
    </row>
    <row r="1363" spans="1:6" x14ac:dyDescent="0.2">
      <c r="A1363" s="275"/>
      <c r="B1363" s="78"/>
      <c r="C1363" s="189"/>
      <c r="D1363" s="185"/>
      <c r="E1363" s="186"/>
      <c r="F1363" s="187"/>
    </row>
    <row r="1364" spans="1:6" x14ac:dyDescent="0.2">
      <c r="A1364" s="275"/>
      <c r="B1364" s="78"/>
      <c r="C1364" s="189"/>
      <c r="D1364" s="185"/>
      <c r="E1364" s="186"/>
      <c r="F1364" s="187"/>
    </row>
    <row r="1365" spans="1:6" x14ac:dyDescent="0.2">
      <c r="A1365" s="275"/>
      <c r="B1365" s="78"/>
      <c r="C1365" s="189"/>
      <c r="D1365" s="185"/>
      <c r="E1365" s="186"/>
      <c r="F1365" s="187"/>
    </row>
    <row r="1366" spans="1:6" x14ac:dyDescent="0.2">
      <c r="A1366" s="275"/>
      <c r="B1366" s="78"/>
      <c r="C1366" s="189"/>
      <c r="D1366" s="185"/>
      <c r="E1366" s="186"/>
      <c r="F1366" s="187"/>
    </row>
    <row r="1367" spans="1:6" x14ac:dyDescent="0.2">
      <c r="A1367" s="275"/>
      <c r="B1367" s="78"/>
      <c r="C1367" s="189"/>
      <c r="D1367" s="185"/>
      <c r="E1367" s="186"/>
      <c r="F1367" s="187"/>
    </row>
    <row r="1368" spans="1:6" x14ac:dyDescent="0.2">
      <c r="A1368" s="275"/>
      <c r="B1368" s="78"/>
      <c r="C1368" s="189"/>
      <c r="D1368" s="185"/>
      <c r="E1368" s="186"/>
      <c r="F1368" s="187"/>
    </row>
    <row r="1369" spans="1:6" x14ac:dyDescent="0.2">
      <c r="A1369" s="275"/>
      <c r="B1369" s="78"/>
      <c r="C1369" s="189"/>
      <c r="D1369" s="185"/>
      <c r="E1369" s="186"/>
      <c r="F1369" s="187"/>
    </row>
    <row r="1370" spans="1:6" x14ac:dyDescent="0.2">
      <c r="A1370" s="275"/>
      <c r="B1370" s="78"/>
      <c r="C1370" s="189"/>
      <c r="D1370" s="185"/>
      <c r="E1370" s="186"/>
      <c r="F1370" s="187"/>
    </row>
    <row r="1371" spans="1:6" x14ac:dyDescent="0.2">
      <c r="A1371" s="275"/>
      <c r="B1371" s="78"/>
      <c r="C1371" s="189"/>
      <c r="D1371" s="185"/>
      <c r="E1371" s="186"/>
      <c r="F1371" s="187"/>
    </row>
    <row r="1372" spans="1:6" x14ac:dyDescent="0.2">
      <c r="A1372" s="275"/>
      <c r="B1372" s="78"/>
      <c r="C1372" s="189"/>
      <c r="D1372" s="185"/>
      <c r="E1372" s="186"/>
      <c r="F1372" s="187"/>
    </row>
    <row r="1373" spans="1:6" x14ac:dyDescent="0.2">
      <c r="A1373" s="275"/>
      <c r="B1373" s="78"/>
      <c r="C1373" s="189"/>
      <c r="D1373" s="185"/>
      <c r="E1373" s="186"/>
      <c r="F1373" s="187"/>
    </row>
    <row r="1374" spans="1:6" x14ac:dyDescent="0.2">
      <c r="A1374" s="275"/>
      <c r="B1374" s="78"/>
      <c r="C1374" s="189"/>
      <c r="D1374" s="185"/>
      <c r="E1374" s="186"/>
      <c r="F1374" s="187"/>
    </row>
    <row r="1375" spans="1:6" x14ac:dyDescent="0.2">
      <c r="A1375" s="275"/>
      <c r="B1375" s="78"/>
      <c r="C1375" s="189"/>
      <c r="D1375" s="185"/>
      <c r="E1375" s="186"/>
      <c r="F1375" s="187"/>
    </row>
    <row r="1376" spans="1:6" x14ac:dyDescent="0.2">
      <c r="A1376" s="275"/>
      <c r="B1376" s="78"/>
      <c r="C1376" s="189"/>
      <c r="D1376" s="185"/>
      <c r="E1376" s="186"/>
      <c r="F1376" s="187"/>
    </row>
    <row r="1377" spans="1:6" x14ac:dyDescent="0.2">
      <c r="A1377" s="275"/>
      <c r="B1377" s="78"/>
      <c r="C1377" s="189"/>
      <c r="D1377" s="185"/>
      <c r="E1377" s="186"/>
      <c r="F1377" s="187"/>
    </row>
    <row r="1378" spans="1:6" x14ac:dyDescent="0.2">
      <c r="A1378" s="275"/>
      <c r="B1378" s="78"/>
      <c r="C1378" s="189"/>
      <c r="D1378" s="185"/>
      <c r="E1378" s="186"/>
      <c r="F1378" s="187"/>
    </row>
    <row r="1379" spans="1:6" x14ac:dyDescent="0.2">
      <c r="A1379" s="275"/>
      <c r="B1379" s="78"/>
      <c r="C1379" s="189"/>
      <c r="D1379" s="185"/>
      <c r="E1379" s="186"/>
      <c r="F1379" s="187"/>
    </row>
    <row r="1380" spans="1:6" x14ac:dyDescent="0.2">
      <c r="A1380" s="275"/>
      <c r="B1380" s="78"/>
      <c r="C1380" s="189"/>
      <c r="D1380" s="185"/>
      <c r="E1380" s="186"/>
      <c r="F1380" s="187"/>
    </row>
    <row r="1381" spans="1:6" x14ac:dyDescent="0.2">
      <c r="A1381" s="275"/>
      <c r="B1381" s="78"/>
      <c r="C1381" s="189"/>
      <c r="D1381" s="185"/>
      <c r="E1381" s="186"/>
      <c r="F1381" s="187"/>
    </row>
    <row r="1382" spans="1:6" x14ac:dyDescent="0.2">
      <c r="A1382" s="275"/>
      <c r="B1382" s="78"/>
      <c r="C1382" s="189"/>
      <c r="D1382" s="185"/>
      <c r="E1382" s="186"/>
      <c r="F1382" s="187"/>
    </row>
    <row r="1383" spans="1:6" x14ac:dyDescent="0.2">
      <c r="A1383" s="275"/>
      <c r="B1383" s="78"/>
      <c r="C1383" s="189"/>
      <c r="D1383" s="185"/>
      <c r="E1383" s="186"/>
      <c r="F1383" s="187"/>
    </row>
    <row r="1384" spans="1:6" x14ac:dyDescent="0.2">
      <c r="A1384" s="275"/>
      <c r="B1384" s="78"/>
      <c r="C1384" s="189"/>
      <c r="D1384" s="185"/>
      <c r="E1384" s="186"/>
      <c r="F1384" s="187"/>
    </row>
    <row r="1385" spans="1:6" x14ac:dyDescent="0.2">
      <c r="A1385" s="275"/>
      <c r="B1385" s="78"/>
      <c r="C1385" s="189"/>
      <c r="D1385" s="185"/>
      <c r="E1385" s="186"/>
      <c r="F1385" s="187"/>
    </row>
    <row r="1386" spans="1:6" x14ac:dyDescent="0.2">
      <c r="A1386" s="275"/>
      <c r="B1386" s="78"/>
      <c r="C1386" s="189"/>
      <c r="D1386" s="185"/>
      <c r="E1386" s="186"/>
      <c r="F1386" s="187"/>
    </row>
    <row r="1387" spans="1:6" x14ac:dyDescent="0.2">
      <c r="A1387" s="275"/>
      <c r="B1387" s="78"/>
      <c r="C1387" s="189"/>
      <c r="D1387" s="185"/>
      <c r="E1387" s="186"/>
      <c r="F1387" s="187"/>
    </row>
    <row r="1388" spans="1:6" x14ac:dyDescent="0.2">
      <c r="A1388" s="275"/>
      <c r="B1388" s="78"/>
      <c r="C1388" s="189"/>
      <c r="D1388" s="185"/>
      <c r="E1388" s="186"/>
      <c r="F1388" s="187"/>
    </row>
    <row r="1389" spans="1:6" x14ac:dyDescent="0.2">
      <c r="A1389" s="275"/>
      <c r="B1389" s="78"/>
      <c r="C1389" s="189"/>
      <c r="D1389" s="185"/>
      <c r="E1389" s="186"/>
      <c r="F1389" s="187"/>
    </row>
    <row r="1390" spans="1:6" x14ac:dyDescent="0.2">
      <c r="A1390" s="275"/>
      <c r="B1390" s="78"/>
      <c r="C1390" s="189"/>
      <c r="D1390" s="185"/>
      <c r="E1390" s="186"/>
      <c r="F1390" s="187"/>
    </row>
    <row r="1391" spans="1:6" x14ac:dyDescent="0.2">
      <c r="A1391" s="275"/>
      <c r="B1391" s="78"/>
      <c r="C1391" s="189"/>
      <c r="D1391" s="185"/>
      <c r="E1391" s="186"/>
      <c r="F1391" s="187"/>
    </row>
    <row r="1392" spans="1:6" x14ac:dyDescent="0.2">
      <c r="A1392" s="275"/>
      <c r="B1392" s="78"/>
      <c r="C1392" s="189"/>
      <c r="D1392" s="185"/>
      <c r="E1392" s="186"/>
      <c r="F1392" s="187"/>
    </row>
    <row r="1393" spans="1:6" x14ac:dyDescent="0.2">
      <c r="A1393" s="275"/>
      <c r="B1393" s="78"/>
      <c r="C1393" s="189"/>
      <c r="D1393" s="185"/>
      <c r="E1393" s="186"/>
      <c r="F1393" s="187"/>
    </row>
    <row r="1394" spans="1:6" x14ac:dyDescent="0.2">
      <c r="A1394" s="275"/>
      <c r="B1394" s="78"/>
      <c r="C1394" s="189"/>
      <c r="D1394" s="185"/>
      <c r="E1394" s="186"/>
      <c r="F1394" s="187"/>
    </row>
    <row r="1395" spans="1:6" x14ac:dyDescent="0.2">
      <c r="A1395" s="275"/>
      <c r="B1395" s="78"/>
      <c r="C1395" s="189"/>
      <c r="D1395" s="185"/>
      <c r="E1395" s="186"/>
      <c r="F1395" s="187"/>
    </row>
    <row r="1396" spans="1:6" x14ac:dyDescent="0.2">
      <c r="A1396" s="275"/>
      <c r="B1396" s="78"/>
      <c r="C1396" s="189"/>
      <c r="D1396" s="185"/>
      <c r="E1396" s="186"/>
      <c r="F1396" s="187"/>
    </row>
    <row r="1397" spans="1:6" x14ac:dyDescent="0.2">
      <c r="A1397" s="275"/>
      <c r="B1397" s="78"/>
      <c r="C1397" s="189"/>
      <c r="D1397" s="185"/>
      <c r="E1397" s="186"/>
      <c r="F1397" s="187"/>
    </row>
    <row r="1398" spans="1:6" x14ac:dyDescent="0.2">
      <c r="A1398" s="275"/>
      <c r="B1398" s="78"/>
      <c r="C1398" s="189"/>
      <c r="D1398" s="185"/>
      <c r="E1398" s="186"/>
      <c r="F1398" s="187"/>
    </row>
    <row r="1399" spans="1:6" x14ac:dyDescent="0.2">
      <c r="A1399" s="275"/>
      <c r="B1399" s="78"/>
      <c r="C1399" s="189"/>
      <c r="D1399" s="185"/>
      <c r="E1399" s="186"/>
      <c r="F1399" s="187"/>
    </row>
    <row r="1400" spans="1:6" x14ac:dyDescent="0.2">
      <c r="A1400" s="275"/>
      <c r="B1400" s="78"/>
      <c r="C1400" s="189"/>
      <c r="D1400" s="185"/>
      <c r="E1400" s="186"/>
      <c r="F1400" s="187"/>
    </row>
    <row r="1401" spans="1:6" x14ac:dyDescent="0.2">
      <c r="A1401" s="275"/>
      <c r="B1401" s="78"/>
      <c r="C1401" s="189"/>
      <c r="D1401" s="185"/>
      <c r="E1401" s="186"/>
      <c r="F1401" s="187"/>
    </row>
    <row r="1402" spans="1:6" x14ac:dyDescent="0.2">
      <c r="A1402" s="275"/>
      <c r="B1402" s="78"/>
      <c r="C1402" s="189"/>
      <c r="D1402" s="185"/>
      <c r="E1402" s="186"/>
      <c r="F1402" s="187"/>
    </row>
    <row r="1403" spans="1:6" x14ac:dyDescent="0.2">
      <c r="A1403" s="275"/>
      <c r="B1403" s="78"/>
      <c r="C1403" s="189"/>
      <c r="D1403" s="185"/>
      <c r="E1403" s="186"/>
      <c r="F1403" s="187"/>
    </row>
    <row r="1404" spans="1:6" x14ac:dyDescent="0.2">
      <c r="A1404" s="275"/>
      <c r="B1404" s="78"/>
      <c r="C1404" s="189"/>
      <c r="D1404" s="185"/>
      <c r="E1404" s="186"/>
      <c r="F1404" s="187"/>
    </row>
    <row r="1405" spans="1:6" x14ac:dyDescent="0.2">
      <c r="A1405" s="275"/>
      <c r="B1405" s="78"/>
      <c r="C1405" s="189"/>
      <c r="D1405" s="185"/>
      <c r="E1405" s="186"/>
      <c r="F1405" s="187"/>
    </row>
    <row r="1406" spans="1:6" x14ac:dyDescent="0.2">
      <c r="A1406" s="275"/>
      <c r="B1406" s="78"/>
      <c r="C1406" s="189"/>
      <c r="D1406" s="185"/>
      <c r="E1406" s="186"/>
      <c r="F1406" s="187"/>
    </row>
    <row r="1407" spans="1:6" x14ac:dyDescent="0.2">
      <c r="A1407" s="275"/>
      <c r="B1407" s="78"/>
      <c r="C1407" s="189"/>
      <c r="D1407" s="185"/>
      <c r="E1407" s="186"/>
      <c r="F1407" s="187"/>
    </row>
    <row r="1408" spans="1:6" x14ac:dyDescent="0.2">
      <c r="A1408" s="275"/>
      <c r="B1408" s="78"/>
      <c r="C1408" s="189"/>
      <c r="D1408" s="185"/>
      <c r="E1408" s="186"/>
      <c r="F1408" s="187"/>
    </row>
    <row r="1409" spans="1:6" x14ac:dyDescent="0.2">
      <c r="A1409" s="275"/>
      <c r="B1409" s="78"/>
      <c r="C1409" s="189"/>
      <c r="D1409" s="185"/>
      <c r="E1409" s="186"/>
      <c r="F1409" s="187"/>
    </row>
    <row r="1410" spans="1:6" x14ac:dyDescent="0.2">
      <c r="A1410" s="275"/>
      <c r="B1410" s="78"/>
      <c r="C1410" s="189"/>
      <c r="D1410" s="185"/>
      <c r="E1410" s="186"/>
      <c r="F1410" s="187"/>
    </row>
    <row r="1411" spans="1:6" x14ac:dyDescent="0.2">
      <c r="A1411" s="275"/>
      <c r="B1411" s="78"/>
      <c r="C1411" s="189"/>
      <c r="D1411" s="185"/>
      <c r="E1411" s="186"/>
      <c r="F1411" s="187"/>
    </row>
    <row r="1412" spans="1:6" x14ac:dyDescent="0.2">
      <c r="A1412" s="275"/>
      <c r="B1412" s="78"/>
      <c r="C1412" s="189"/>
      <c r="D1412" s="185"/>
      <c r="E1412" s="186"/>
      <c r="F1412" s="187"/>
    </row>
    <row r="1413" spans="1:6" x14ac:dyDescent="0.2">
      <c r="A1413" s="275"/>
      <c r="B1413" s="78"/>
      <c r="C1413" s="189"/>
      <c r="D1413" s="185"/>
      <c r="E1413" s="186"/>
      <c r="F1413" s="187"/>
    </row>
    <row r="1414" spans="1:6" x14ac:dyDescent="0.2">
      <c r="A1414" s="275"/>
      <c r="B1414" s="78"/>
      <c r="C1414" s="189"/>
      <c r="D1414" s="185"/>
      <c r="E1414" s="186"/>
      <c r="F1414" s="187"/>
    </row>
    <row r="1415" spans="1:6" x14ac:dyDescent="0.2">
      <c r="A1415" s="275"/>
      <c r="B1415" s="78"/>
      <c r="C1415" s="189"/>
      <c r="D1415" s="185"/>
      <c r="E1415" s="186"/>
      <c r="F1415" s="187"/>
    </row>
    <row r="1416" spans="1:6" x14ac:dyDescent="0.2">
      <c r="A1416" s="275"/>
      <c r="B1416" s="78"/>
      <c r="C1416" s="189"/>
      <c r="D1416" s="185"/>
      <c r="E1416" s="186"/>
      <c r="F1416" s="187"/>
    </row>
    <row r="1417" spans="1:6" x14ac:dyDescent="0.2">
      <c r="A1417" s="275"/>
      <c r="B1417" s="78"/>
      <c r="C1417" s="189"/>
      <c r="D1417" s="185"/>
      <c r="E1417" s="186"/>
      <c r="F1417" s="187"/>
    </row>
    <row r="1418" spans="1:6" x14ac:dyDescent="0.2">
      <c r="A1418" s="275"/>
      <c r="B1418" s="78"/>
      <c r="C1418" s="189"/>
      <c r="D1418" s="185"/>
      <c r="E1418" s="186"/>
      <c r="F1418" s="187"/>
    </row>
    <row r="1419" spans="1:6" x14ac:dyDescent="0.2">
      <c r="A1419" s="275"/>
      <c r="B1419" s="78"/>
      <c r="C1419" s="189"/>
      <c r="D1419" s="185"/>
      <c r="E1419" s="186"/>
      <c r="F1419" s="187"/>
    </row>
    <row r="1420" spans="1:6" x14ac:dyDescent="0.2">
      <c r="A1420" s="275"/>
      <c r="B1420" s="78"/>
      <c r="C1420" s="189"/>
      <c r="D1420" s="185"/>
      <c r="E1420" s="186"/>
      <c r="F1420" s="187"/>
    </row>
    <row r="1421" spans="1:6" x14ac:dyDescent="0.2">
      <c r="A1421" s="275"/>
      <c r="B1421" s="78"/>
      <c r="C1421" s="189"/>
      <c r="D1421" s="185"/>
      <c r="E1421" s="186"/>
      <c r="F1421" s="187"/>
    </row>
    <row r="1422" spans="1:6" x14ac:dyDescent="0.2">
      <c r="A1422" s="275"/>
      <c r="B1422" s="78"/>
      <c r="C1422" s="189"/>
      <c r="D1422" s="185"/>
      <c r="E1422" s="186"/>
      <c r="F1422" s="187"/>
    </row>
    <row r="1423" spans="1:6" x14ac:dyDescent="0.2">
      <c r="A1423" s="275"/>
      <c r="B1423" s="78"/>
      <c r="C1423" s="189"/>
      <c r="D1423" s="185"/>
      <c r="E1423" s="186"/>
      <c r="F1423" s="187"/>
    </row>
    <row r="1424" spans="1:6" x14ac:dyDescent="0.2">
      <c r="A1424" s="275"/>
      <c r="B1424" s="78"/>
      <c r="C1424" s="189"/>
      <c r="D1424" s="185"/>
      <c r="E1424" s="186"/>
      <c r="F1424" s="187"/>
    </row>
    <row r="1425" spans="1:6" x14ac:dyDescent="0.2">
      <c r="A1425" s="275"/>
      <c r="B1425" s="78"/>
      <c r="C1425" s="189"/>
      <c r="D1425" s="185"/>
      <c r="E1425" s="186"/>
      <c r="F1425" s="187"/>
    </row>
    <row r="1426" spans="1:6" x14ac:dyDescent="0.2">
      <c r="A1426" s="275"/>
      <c r="B1426" s="78"/>
      <c r="C1426" s="189"/>
      <c r="D1426" s="185"/>
      <c r="E1426" s="186"/>
      <c r="F1426" s="187"/>
    </row>
    <row r="1427" spans="1:6" x14ac:dyDescent="0.2">
      <c r="A1427" s="275"/>
      <c r="B1427" s="78"/>
      <c r="C1427" s="189"/>
      <c r="D1427" s="185"/>
      <c r="E1427" s="186"/>
      <c r="F1427" s="187"/>
    </row>
    <row r="1428" spans="1:6" x14ac:dyDescent="0.2">
      <c r="A1428" s="275"/>
      <c r="B1428" s="78"/>
      <c r="C1428" s="189"/>
      <c r="D1428" s="185"/>
      <c r="E1428" s="186"/>
      <c r="F1428" s="187"/>
    </row>
    <row r="1429" spans="1:6" x14ac:dyDescent="0.2">
      <c r="A1429" s="275"/>
      <c r="B1429" s="78"/>
      <c r="C1429" s="189"/>
      <c r="D1429" s="185"/>
      <c r="E1429" s="186"/>
      <c r="F1429" s="187"/>
    </row>
    <row r="1430" spans="1:6" x14ac:dyDescent="0.2">
      <c r="A1430" s="275"/>
      <c r="B1430" s="78"/>
      <c r="C1430" s="189"/>
      <c r="D1430" s="185"/>
      <c r="E1430" s="186"/>
      <c r="F1430" s="187"/>
    </row>
    <row r="1431" spans="1:6" x14ac:dyDescent="0.2">
      <c r="A1431" s="275"/>
      <c r="B1431" s="78"/>
      <c r="C1431" s="189"/>
      <c r="D1431" s="185"/>
      <c r="E1431" s="186"/>
      <c r="F1431" s="187"/>
    </row>
    <row r="1432" spans="1:6" x14ac:dyDescent="0.2">
      <c r="A1432" s="275"/>
      <c r="B1432" s="78"/>
      <c r="C1432" s="189"/>
      <c r="D1432" s="185"/>
      <c r="E1432" s="186"/>
      <c r="F1432" s="187"/>
    </row>
    <row r="1433" spans="1:6" x14ac:dyDescent="0.2">
      <c r="A1433" s="275"/>
      <c r="B1433" s="78"/>
      <c r="C1433" s="189"/>
      <c r="D1433" s="185"/>
      <c r="E1433" s="186"/>
      <c r="F1433" s="187"/>
    </row>
    <row r="1434" spans="1:6" x14ac:dyDescent="0.2">
      <c r="A1434" s="275"/>
      <c r="B1434" s="78"/>
      <c r="C1434" s="189"/>
      <c r="D1434" s="185"/>
      <c r="E1434" s="186"/>
      <c r="F1434" s="187"/>
    </row>
    <row r="1435" spans="1:6" x14ac:dyDescent="0.2">
      <c r="A1435" s="275"/>
      <c r="B1435" s="78"/>
      <c r="C1435" s="189"/>
      <c r="D1435" s="185"/>
      <c r="E1435" s="186"/>
      <c r="F1435" s="187"/>
    </row>
    <row r="1436" spans="1:6" x14ac:dyDescent="0.2">
      <c r="A1436" s="275"/>
      <c r="B1436" s="78"/>
      <c r="C1436" s="189"/>
      <c r="D1436" s="185"/>
      <c r="E1436" s="186"/>
      <c r="F1436" s="187"/>
    </row>
    <row r="1437" spans="1:6" x14ac:dyDescent="0.2">
      <c r="A1437" s="275"/>
      <c r="B1437" s="78"/>
      <c r="C1437" s="189"/>
      <c r="D1437" s="185"/>
      <c r="E1437" s="186"/>
      <c r="F1437" s="187"/>
    </row>
    <row r="1438" spans="1:6" x14ac:dyDescent="0.2">
      <c r="A1438" s="275"/>
      <c r="B1438" s="78"/>
      <c r="C1438" s="189"/>
      <c r="D1438" s="185"/>
      <c r="E1438" s="186"/>
      <c r="F1438" s="187"/>
    </row>
    <row r="1439" spans="1:6" x14ac:dyDescent="0.2">
      <c r="A1439" s="275"/>
      <c r="B1439" s="78"/>
      <c r="C1439" s="189"/>
      <c r="D1439" s="185"/>
      <c r="E1439" s="186"/>
      <c r="F1439" s="187"/>
    </row>
    <row r="1440" spans="1:6" x14ac:dyDescent="0.2">
      <c r="A1440" s="275"/>
      <c r="B1440" s="78"/>
      <c r="C1440" s="189"/>
      <c r="D1440" s="185"/>
      <c r="E1440" s="186"/>
      <c r="F1440" s="187"/>
    </row>
    <row r="1441" spans="1:6" x14ac:dyDescent="0.2">
      <c r="A1441" s="275"/>
      <c r="B1441" s="78"/>
      <c r="C1441" s="189"/>
      <c r="D1441" s="185"/>
      <c r="E1441" s="186"/>
      <c r="F1441" s="187"/>
    </row>
    <row r="1442" spans="1:6" x14ac:dyDescent="0.2">
      <c r="A1442" s="275"/>
      <c r="B1442" s="78"/>
      <c r="C1442" s="189"/>
      <c r="D1442" s="185"/>
      <c r="E1442" s="186"/>
      <c r="F1442" s="187"/>
    </row>
    <row r="1443" spans="1:6" x14ac:dyDescent="0.2">
      <c r="A1443" s="275"/>
      <c r="B1443" s="78"/>
      <c r="C1443" s="189"/>
      <c r="D1443" s="185"/>
      <c r="E1443" s="186"/>
      <c r="F1443" s="187"/>
    </row>
    <row r="1444" spans="1:6" x14ac:dyDescent="0.2">
      <c r="A1444" s="275"/>
      <c r="B1444" s="78"/>
      <c r="C1444" s="189"/>
      <c r="D1444" s="185"/>
      <c r="E1444" s="186"/>
      <c r="F1444" s="187"/>
    </row>
    <row r="1445" spans="1:6" x14ac:dyDescent="0.2">
      <c r="A1445" s="275"/>
      <c r="B1445" s="78"/>
      <c r="C1445" s="189"/>
      <c r="D1445" s="185"/>
      <c r="E1445" s="186"/>
      <c r="F1445" s="187"/>
    </row>
    <row r="1446" spans="1:6" x14ac:dyDescent="0.2">
      <c r="A1446" s="275"/>
      <c r="B1446" s="78"/>
      <c r="C1446" s="189"/>
      <c r="D1446" s="185"/>
      <c r="E1446" s="186"/>
      <c r="F1446" s="187"/>
    </row>
    <row r="1447" spans="1:6" x14ac:dyDescent="0.2">
      <c r="A1447" s="275"/>
      <c r="B1447" s="78"/>
      <c r="C1447" s="189"/>
      <c r="D1447" s="185"/>
      <c r="E1447" s="186"/>
      <c r="F1447" s="187"/>
    </row>
    <row r="1448" spans="1:6" x14ac:dyDescent="0.2">
      <c r="A1448" s="275"/>
      <c r="B1448" s="78"/>
      <c r="C1448" s="189"/>
      <c r="D1448" s="185"/>
      <c r="E1448" s="186"/>
      <c r="F1448" s="187"/>
    </row>
    <row r="1449" spans="1:6" x14ac:dyDescent="0.2">
      <c r="A1449" s="275"/>
      <c r="B1449" s="78"/>
      <c r="C1449" s="189"/>
      <c r="D1449" s="185"/>
      <c r="E1449" s="186"/>
      <c r="F1449" s="187"/>
    </row>
    <row r="1450" spans="1:6" x14ac:dyDescent="0.2">
      <c r="A1450" s="275"/>
      <c r="B1450" s="78"/>
      <c r="C1450" s="189"/>
      <c r="D1450" s="185"/>
      <c r="E1450" s="186"/>
      <c r="F1450" s="187"/>
    </row>
    <row r="1451" spans="1:6" x14ac:dyDescent="0.2">
      <c r="A1451" s="275"/>
      <c r="B1451" s="78"/>
      <c r="C1451" s="189"/>
      <c r="D1451" s="185"/>
      <c r="E1451" s="186"/>
      <c r="F1451" s="187"/>
    </row>
    <row r="1452" spans="1:6" x14ac:dyDescent="0.2">
      <c r="A1452" s="275"/>
      <c r="B1452" s="78"/>
      <c r="C1452" s="189"/>
      <c r="D1452" s="185"/>
      <c r="E1452" s="186"/>
      <c r="F1452" s="187"/>
    </row>
    <row r="1453" spans="1:6" x14ac:dyDescent="0.2">
      <c r="A1453" s="275"/>
      <c r="B1453" s="78"/>
      <c r="C1453" s="189"/>
      <c r="D1453" s="185"/>
      <c r="E1453" s="186"/>
      <c r="F1453" s="187"/>
    </row>
    <row r="1454" spans="1:6" x14ac:dyDescent="0.2">
      <c r="A1454" s="275"/>
      <c r="B1454" s="78"/>
      <c r="C1454" s="189"/>
      <c r="D1454" s="185"/>
      <c r="E1454" s="186"/>
      <c r="F1454" s="187"/>
    </row>
    <row r="1455" spans="1:6" x14ac:dyDescent="0.2">
      <c r="A1455" s="275"/>
      <c r="B1455" s="78"/>
      <c r="C1455" s="189"/>
      <c r="D1455" s="185"/>
      <c r="E1455" s="186"/>
      <c r="F1455" s="187"/>
    </row>
    <row r="1456" spans="1:6" x14ac:dyDescent="0.2">
      <c r="A1456" s="275"/>
      <c r="B1456" s="78"/>
      <c r="C1456" s="189"/>
      <c r="D1456" s="185"/>
      <c r="E1456" s="186"/>
      <c r="F1456" s="187"/>
    </row>
    <row r="1457" spans="1:6" x14ac:dyDescent="0.2">
      <c r="A1457" s="275"/>
      <c r="B1457" s="78"/>
      <c r="C1457" s="189"/>
      <c r="D1457" s="185"/>
      <c r="E1457" s="186"/>
      <c r="F1457" s="187"/>
    </row>
    <row r="1458" spans="1:6" x14ac:dyDescent="0.2">
      <c r="A1458" s="275"/>
      <c r="B1458" s="78"/>
      <c r="C1458" s="189"/>
      <c r="D1458" s="185"/>
      <c r="E1458" s="186"/>
      <c r="F1458" s="187"/>
    </row>
    <row r="1459" spans="1:6" x14ac:dyDescent="0.2">
      <c r="A1459" s="275"/>
      <c r="B1459" s="78"/>
      <c r="C1459" s="189"/>
      <c r="D1459" s="185"/>
      <c r="E1459" s="186"/>
      <c r="F1459" s="187"/>
    </row>
    <row r="1460" spans="1:6" x14ac:dyDescent="0.2">
      <c r="A1460" s="275"/>
      <c r="B1460" s="78"/>
      <c r="C1460" s="189"/>
      <c r="D1460" s="185"/>
      <c r="E1460" s="186"/>
      <c r="F1460" s="187"/>
    </row>
    <row r="1461" spans="1:6" x14ac:dyDescent="0.2">
      <c r="A1461" s="275"/>
      <c r="B1461" s="78"/>
      <c r="C1461" s="189"/>
      <c r="D1461" s="185"/>
      <c r="E1461" s="186"/>
      <c r="F1461" s="187"/>
    </row>
    <row r="1462" spans="1:6" x14ac:dyDescent="0.2">
      <c r="A1462" s="275"/>
      <c r="B1462" s="78"/>
      <c r="C1462" s="189"/>
      <c r="D1462" s="185"/>
      <c r="E1462" s="186"/>
      <c r="F1462" s="187"/>
    </row>
    <row r="1463" spans="1:6" x14ac:dyDescent="0.2">
      <c r="A1463" s="275"/>
      <c r="B1463" s="78"/>
      <c r="C1463" s="189"/>
      <c r="D1463" s="185"/>
      <c r="E1463" s="186"/>
      <c r="F1463" s="187"/>
    </row>
    <row r="1464" spans="1:6" x14ac:dyDescent="0.2">
      <c r="A1464" s="275"/>
      <c r="B1464" s="78"/>
      <c r="C1464" s="189"/>
      <c r="D1464" s="185"/>
      <c r="E1464" s="186"/>
      <c r="F1464" s="187"/>
    </row>
    <row r="1465" spans="1:6" x14ac:dyDescent="0.2">
      <c r="A1465" s="275"/>
      <c r="B1465" s="78"/>
      <c r="C1465" s="189"/>
      <c r="D1465" s="185"/>
      <c r="E1465" s="186"/>
      <c r="F1465" s="187"/>
    </row>
    <row r="1466" spans="1:6" x14ac:dyDescent="0.2">
      <c r="A1466" s="275"/>
      <c r="B1466" s="78"/>
      <c r="C1466" s="189"/>
      <c r="D1466" s="185"/>
      <c r="E1466" s="186"/>
      <c r="F1466" s="187"/>
    </row>
    <row r="1467" spans="1:6" x14ac:dyDescent="0.2">
      <c r="A1467" s="275"/>
      <c r="B1467" s="78"/>
      <c r="C1467" s="189"/>
      <c r="D1467" s="185"/>
      <c r="E1467" s="186"/>
      <c r="F1467" s="187"/>
    </row>
    <row r="1468" spans="1:6" x14ac:dyDescent="0.2">
      <c r="A1468" s="275"/>
      <c r="B1468" s="78"/>
      <c r="C1468" s="189"/>
      <c r="D1468" s="185"/>
      <c r="E1468" s="186"/>
      <c r="F1468" s="187"/>
    </row>
    <row r="1469" spans="1:6" x14ac:dyDescent="0.2">
      <c r="A1469" s="275"/>
      <c r="B1469" s="78"/>
      <c r="C1469" s="189"/>
      <c r="D1469" s="185"/>
      <c r="E1469" s="186"/>
      <c r="F1469" s="187"/>
    </row>
    <row r="1470" spans="1:6" x14ac:dyDescent="0.2">
      <c r="A1470" s="275"/>
      <c r="B1470" s="78"/>
      <c r="C1470" s="189"/>
      <c r="D1470" s="185"/>
      <c r="E1470" s="186"/>
      <c r="F1470" s="187"/>
    </row>
    <row r="1471" spans="1:6" x14ac:dyDescent="0.2">
      <c r="A1471" s="275"/>
      <c r="B1471" s="78"/>
      <c r="C1471" s="189"/>
      <c r="D1471" s="185"/>
      <c r="E1471" s="186"/>
      <c r="F1471" s="187"/>
    </row>
    <row r="1472" spans="1:6" x14ac:dyDescent="0.2">
      <c r="A1472" s="275"/>
      <c r="B1472" s="78"/>
      <c r="C1472" s="189"/>
      <c r="D1472" s="185"/>
      <c r="E1472" s="186"/>
      <c r="F1472" s="187"/>
    </row>
    <row r="1473" spans="1:6" x14ac:dyDescent="0.2">
      <c r="A1473" s="275"/>
      <c r="B1473" s="78"/>
      <c r="C1473" s="189"/>
      <c r="D1473" s="185"/>
      <c r="E1473" s="186"/>
      <c r="F1473" s="187"/>
    </row>
    <row r="1474" spans="1:6" x14ac:dyDescent="0.2">
      <c r="A1474" s="275"/>
      <c r="B1474" s="78"/>
      <c r="C1474" s="189"/>
      <c r="D1474" s="185"/>
      <c r="E1474" s="186"/>
      <c r="F1474" s="187"/>
    </row>
    <row r="1475" spans="1:6" x14ac:dyDescent="0.2">
      <c r="A1475" s="275"/>
      <c r="B1475" s="78"/>
      <c r="C1475" s="189"/>
      <c r="D1475" s="185"/>
      <c r="E1475" s="186"/>
      <c r="F1475" s="187"/>
    </row>
    <row r="1476" spans="1:6" x14ac:dyDescent="0.2">
      <c r="A1476" s="275"/>
      <c r="B1476" s="78"/>
      <c r="C1476" s="189"/>
      <c r="D1476" s="185"/>
      <c r="E1476" s="186"/>
      <c r="F1476" s="187"/>
    </row>
    <row r="1477" spans="1:6" x14ac:dyDescent="0.2">
      <c r="A1477" s="275"/>
      <c r="B1477" s="78"/>
      <c r="C1477" s="189"/>
      <c r="D1477" s="185"/>
      <c r="E1477" s="186"/>
      <c r="F1477" s="187"/>
    </row>
    <row r="1478" spans="1:6" x14ac:dyDescent="0.2">
      <c r="A1478" s="275"/>
      <c r="B1478" s="78"/>
      <c r="C1478" s="189"/>
      <c r="D1478" s="185"/>
      <c r="E1478" s="186"/>
      <c r="F1478" s="187"/>
    </row>
    <row r="1479" spans="1:6" x14ac:dyDescent="0.2">
      <c r="A1479" s="275"/>
      <c r="B1479" s="78"/>
      <c r="C1479" s="189"/>
      <c r="D1479" s="185"/>
      <c r="E1479" s="186"/>
      <c r="F1479" s="187"/>
    </row>
    <row r="1480" spans="1:6" x14ac:dyDescent="0.2">
      <c r="A1480" s="275"/>
      <c r="B1480" s="78"/>
      <c r="C1480" s="189"/>
      <c r="D1480" s="185"/>
      <c r="E1480" s="186"/>
      <c r="F1480" s="187"/>
    </row>
    <row r="1481" spans="1:6" x14ac:dyDescent="0.2">
      <c r="A1481" s="275"/>
      <c r="B1481" s="78"/>
      <c r="C1481" s="189"/>
      <c r="D1481" s="185"/>
      <c r="E1481" s="186"/>
      <c r="F1481" s="187"/>
    </row>
    <row r="1482" spans="1:6" x14ac:dyDescent="0.2">
      <c r="A1482" s="275"/>
      <c r="B1482" s="78"/>
      <c r="C1482" s="189"/>
      <c r="D1482" s="185"/>
      <c r="E1482" s="186"/>
      <c r="F1482" s="187"/>
    </row>
    <row r="1483" spans="1:6" x14ac:dyDescent="0.2">
      <c r="A1483" s="275"/>
      <c r="B1483" s="78"/>
      <c r="C1483" s="189"/>
      <c r="D1483" s="185"/>
      <c r="E1483" s="186"/>
      <c r="F1483" s="187"/>
    </row>
    <row r="1484" spans="1:6" x14ac:dyDescent="0.2">
      <c r="A1484" s="275"/>
      <c r="B1484" s="78"/>
      <c r="C1484" s="189"/>
      <c r="D1484" s="185"/>
      <c r="E1484" s="186"/>
      <c r="F1484" s="187"/>
    </row>
    <row r="1485" spans="1:6" x14ac:dyDescent="0.2">
      <c r="A1485" s="275"/>
      <c r="B1485" s="78"/>
      <c r="C1485" s="189"/>
      <c r="D1485" s="185"/>
      <c r="E1485" s="186"/>
      <c r="F1485" s="187"/>
    </row>
    <row r="1486" spans="1:6" x14ac:dyDescent="0.2">
      <c r="A1486" s="275"/>
      <c r="B1486" s="78"/>
      <c r="C1486" s="189"/>
      <c r="D1486" s="185"/>
      <c r="E1486" s="186"/>
      <c r="F1486" s="187"/>
    </row>
    <row r="1487" spans="1:6" x14ac:dyDescent="0.2">
      <c r="A1487" s="275"/>
      <c r="B1487" s="78"/>
      <c r="C1487" s="189"/>
      <c r="D1487" s="185"/>
      <c r="E1487" s="186"/>
      <c r="F1487" s="187"/>
    </row>
    <row r="1488" spans="1:6" x14ac:dyDescent="0.2">
      <c r="A1488" s="275"/>
      <c r="B1488" s="78"/>
      <c r="C1488" s="189"/>
      <c r="D1488" s="185"/>
      <c r="E1488" s="186"/>
      <c r="F1488" s="187"/>
    </row>
    <row r="1489" spans="1:6" x14ac:dyDescent="0.2">
      <c r="A1489" s="275"/>
      <c r="B1489" s="78"/>
      <c r="C1489" s="189"/>
      <c r="D1489" s="185"/>
      <c r="E1489" s="186"/>
      <c r="F1489" s="187"/>
    </row>
    <row r="1490" spans="1:6" x14ac:dyDescent="0.2">
      <c r="A1490" s="275"/>
      <c r="B1490" s="78"/>
      <c r="C1490" s="189"/>
      <c r="D1490" s="185"/>
      <c r="E1490" s="186"/>
      <c r="F1490" s="187"/>
    </row>
    <row r="1491" spans="1:6" x14ac:dyDescent="0.2">
      <c r="A1491" s="275"/>
      <c r="B1491" s="78"/>
      <c r="C1491" s="189"/>
      <c r="D1491" s="185"/>
      <c r="E1491" s="186"/>
      <c r="F1491" s="187"/>
    </row>
    <row r="1492" spans="1:6" x14ac:dyDescent="0.2">
      <c r="A1492" s="275"/>
      <c r="B1492" s="78"/>
      <c r="C1492" s="189"/>
      <c r="D1492" s="185"/>
      <c r="E1492" s="186"/>
      <c r="F1492" s="187"/>
    </row>
    <row r="1493" spans="1:6" x14ac:dyDescent="0.2">
      <c r="A1493" s="275"/>
      <c r="B1493" s="78"/>
      <c r="C1493" s="189"/>
      <c r="D1493" s="185"/>
      <c r="E1493" s="186"/>
      <c r="F1493" s="187"/>
    </row>
    <row r="1494" spans="1:6" x14ac:dyDescent="0.2">
      <c r="A1494" s="275"/>
      <c r="B1494" s="78"/>
      <c r="C1494" s="189"/>
      <c r="D1494" s="185"/>
      <c r="E1494" s="186"/>
      <c r="F1494" s="187"/>
    </row>
    <row r="1495" spans="1:6" x14ac:dyDescent="0.2">
      <c r="A1495" s="275"/>
      <c r="B1495" s="78"/>
      <c r="C1495" s="189"/>
      <c r="D1495" s="185"/>
      <c r="E1495" s="186"/>
      <c r="F1495" s="187"/>
    </row>
    <row r="1496" spans="1:6" x14ac:dyDescent="0.2">
      <c r="A1496" s="275"/>
      <c r="B1496" s="78"/>
      <c r="C1496" s="189"/>
      <c r="D1496" s="185"/>
      <c r="E1496" s="186"/>
      <c r="F1496" s="187"/>
    </row>
    <row r="1497" spans="1:6" x14ac:dyDescent="0.2">
      <c r="A1497" s="275"/>
      <c r="B1497" s="78"/>
      <c r="C1497" s="189"/>
      <c r="D1497" s="185"/>
      <c r="E1497" s="186"/>
      <c r="F1497" s="187"/>
    </row>
    <row r="1498" spans="1:6" x14ac:dyDescent="0.2">
      <c r="A1498" s="275"/>
      <c r="B1498" s="78"/>
      <c r="C1498" s="189"/>
      <c r="D1498" s="185"/>
      <c r="E1498" s="186"/>
      <c r="F1498" s="187"/>
    </row>
    <row r="1499" spans="1:6" x14ac:dyDescent="0.2">
      <c r="A1499" s="275"/>
      <c r="B1499" s="78"/>
      <c r="C1499" s="189"/>
      <c r="D1499" s="185"/>
      <c r="E1499" s="186"/>
      <c r="F1499" s="187"/>
    </row>
    <row r="1500" spans="1:6" x14ac:dyDescent="0.2">
      <c r="A1500" s="275"/>
      <c r="B1500" s="78"/>
      <c r="C1500" s="189"/>
      <c r="D1500" s="185"/>
      <c r="E1500" s="186"/>
      <c r="F1500" s="187"/>
    </row>
    <row r="1501" spans="1:6" x14ac:dyDescent="0.2">
      <c r="A1501" s="275"/>
      <c r="B1501" s="78"/>
      <c r="C1501" s="189"/>
      <c r="D1501" s="185"/>
      <c r="E1501" s="186"/>
      <c r="F1501" s="187"/>
    </row>
    <row r="1502" spans="1:6" x14ac:dyDescent="0.2">
      <c r="A1502" s="275"/>
      <c r="B1502" s="78"/>
      <c r="C1502" s="189"/>
      <c r="D1502" s="185"/>
      <c r="E1502" s="186"/>
      <c r="F1502" s="187"/>
    </row>
    <row r="1503" spans="1:6" x14ac:dyDescent="0.2">
      <c r="A1503" s="275"/>
      <c r="B1503" s="78"/>
      <c r="C1503" s="189"/>
      <c r="D1503" s="185"/>
      <c r="E1503" s="186"/>
      <c r="F1503" s="187"/>
    </row>
    <row r="1504" spans="1:6" x14ac:dyDescent="0.2">
      <c r="A1504" s="275"/>
      <c r="B1504" s="78"/>
      <c r="C1504" s="189"/>
      <c r="D1504" s="185"/>
      <c r="E1504" s="186"/>
      <c r="F1504" s="187"/>
    </row>
    <row r="1505" spans="1:6" x14ac:dyDescent="0.2">
      <c r="A1505" s="275"/>
      <c r="B1505" s="78"/>
      <c r="C1505" s="189"/>
      <c r="D1505" s="185"/>
      <c r="E1505" s="186"/>
      <c r="F1505" s="187"/>
    </row>
    <row r="1506" spans="1:6" x14ac:dyDescent="0.2">
      <c r="A1506" s="275"/>
      <c r="B1506" s="78"/>
      <c r="C1506" s="189"/>
      <c r="D1506" s="185"/>
      <c r="E1506" s="186"/>
      <c r="F1506" s="187"/>
    </row>
    <row r="1507" spans="1:6" x14ac:dyDescent="0.2">
      <c r="A1507" s="275"/>
      <c r="B1507" s="78"/>
      <c r="C1507" s="189"/>
      <c r="D1507" s="185"/>
      <c r="E1507" s="186"/>
      <c r="F1507" s="187"/>
    </row>
    <row r="1508" spans="1:6" x14ac:dyDescent="0.2">
      <c r="A1508" s="275"/>
      <c r="B1508" s="78"/>
      <c r="C1508" s="189"/>
      <c r="D1508" s="185"/>
      <c r="E1508" s="186"/>
      <c r="F1508" s="187"/>
    </row>
    <row r="1509" spans="1:6" x14ac:dyDescent="0.2">
      <c r="A1509" s="275"/>
      <c r="B1509" s="78"/>
      <c r="C1509" s="189"/>
      <c r="D1509" s="185"/>
      <c r="E1509" s="186"/>
      <c r="F1509" s="187"/>
    </row>
    <row r="1510" spans="1:6" x14ac:dyDescent="0.2">
      <c r="A1510" s="275"/>
      <c r="B1510" s="78"/>
      <c r="C1510" s="189"/>
      <c r="D1510" s="185"/>
      <c r="E1510" s="186"/>
      <c r="F1510" s="187"/>
    </row>
    <row r="1511" spans="1:6" x14ac:dyDescent="0.2">
      <c r="A1511" s="275"/>
      <c r="B1511" s="78"/>
      <c r="C1511" s="189"/>
      <c r="D1511" s="185"/>
      <c r="E1511" s="186"/>
      <c r="F1511" s="187"/>
    </row>
    <row r="1512" spans="1:6" x14ac:dyDescent="0.2">
      <c r="A1512" s="275"/>
      <c r="B1512" s="78"/>
      <c r="C1512" s="189"/>
      <c r="D1512" s="185"/>
      <c r="E1512" s="186"/>
      <c r="F1512" s="187"/>
    </row>
    <row r="1513" spans="1:6" x14ac:dyDescent="0.2">
      <c r="A1513" s="275"/>
      <c r="B1513" s="78"/>
      <c r="C1513" s="189"/>
      <c r="D1513" s="185"/>
      <c r="E1513" s="186"/>
      <c r="F1513" s="187"/>
    </row>
    <row r="1514" spans="1:6" x14ac:dyDescent="0.2">
      <c r="A1514" s="275"/>
      <c r="B1514" s="78"/>
      <c r="C1514" s="189"/>
      <c r="D1514" s="185"/>
      <c r="E1514" s="186"/>
      <c r="F1514" s="187"/>
    </row>
    <row r="1515" spans="1:6" x14ac:dyDescent="0.2">
      <c r="A1515" s="275"/>
      <c r="B1515" s="78"/>
      <c r="C1515" s="189"/>
      <c r="D1515" s="185"/>
      <c r="E1515" s="186"/>
      <c r="F1515" s="187"/>
    </row>
    <row r="1516" spans="1:6" x14ac:dyDescent="0.2">
      <c r="A1516" s="275"/>
      <c r="B1516" s="78"/>
      <c r="C1516" s="189"/>
      <c r="D1516" s="185"/>
      <c r="E1516" s="186"/>
      <c r="F1516" s="187"/>
    </row>
    <row r="1517" spans="1:6" x14ac:dyDescent="0.2">
      <c r="A1517" s="275"/>
      <c r="B1517" s="78"/>
      <c r="C1517" s="189"/>
      <c r="D1517" s="185"/>
      <c r="E1517" s="186"/>
      <c r="F1517" s="187"/>
    </row>
    <row r="1518" spans="1:6" x14ac:dyDescent="0.2">
      <c r="A1518" s="275"/>
      <c r="B1518" s="78"/>
      <c r="C1518" s="189"/>
      <c r="D1518" s="185"/>
      <c r="E1518" s="186"/>
      <c r="F1518" s="187"/>
    </row>
    <row r="1519" spans="1:6" x14ac:dyDescent="0.2">
      <c r="A1519" s="275"/>
      <c r="B1519" s="78"/>
      <c r="C1519" s="189"/>
      <c r="D1519" s="185"/>
      <c r="E1519" s="186"/>
      <c r="F1519" s="187"/>
    </row>
    <row r="1520" spans="1:6" x14ac:dyDescent="0.2">
      <c r="A1520" s="275"/>
      <c r="B1520" s="78"/>
      <c r="C1520" s="189"/>
      <c r="D1520" s="185"/>
      <c r="E1520" s="186"/>
      <c r="F1520" s="187"/>
    </row>
    <row r="1521" spans="1:6" x14ac:dyDescent="0.2">
      <c r="A1521" s="275"/>
      <c r="B1521" s="78"/>
      <c r="C1521" s="189"/>
      <c r="D1521" s="185"/>
      <c r="E1521" s="186"/>
      <c r="F1521" s="187"/>
    </row>
    <row r="1522" spans="1:6" x14ac:dyDescent="0.2">
      <c r="A1522" s="275"/>
      <c r="B1522" s="78"/>
      <c r="C1522" s="189"/>
      <c r="D1522" s="185"/>
      <c r="E1522" s="186"/>
      <c r="F1522" s="187"/>
    </row>
    <row r="1523" spans="1:6" x14ac:dyDescent="0.2">
      <c r="A1523" s="275"/>
      <c r="B1523" s="78"/>
      <c r="C1523" s="189"/>
      <c r="D1523" s="185"/>
      <c r="E1523" s="186"/>
      <c r="F1523" s="187"/>
    </row>
    <row r="1524" spans="1:6" x14ac:dyDescent="0.2">
      <c r="A1524" s="275"/>
      <c r="B1524" s="78"/>
      <c r="C1524" s="189"/>
      <c r="D1524" s="185"/>
      <c r="E1524" s="186"/>
      <c r="F1524" s="187"/>
    </row>
    <row r="1525" spans="1:6" x14ac:dyDescent="0.2">
      <c r="A1525" s="275"/>
      <c r="B1525" s="78"/>
      <c r="C1525" s="189"/>
      <c r="D1525" s="185"/>
      <c r="E1525" s="186"/>
      <c r="F1525" s="187"/>
    </row>
    <row r="1526" spans="1:6" x14ac:dyDescent="0.2">
      <c r="A1526" s="275"/>
      <c r="B1526" s="78"/>
      <c r="C1526" s="189"/>
      <c r="D1526" s="185"/>
      <c r="E1526" s="186"/>
      <c r="F1526" s="187"/>
    </row>
    <row r="1527" spans="1:6" x14ac:dyDescent="0.2">
      <c r="A1527" s="275"/>
      <c r="B1527" s="78"/>
      <c r="C1527" s="189"/>
      <c r="D1527" s="185"/>
      <c r="E1527" s="186"/>
      <c r="F1527" s="187"/>
    </row>
    <row r="1528" spans="1:6" x14ac:dyDescent="0.2">
      <c r="A1528" s="275"/>
      <c r="B1528" s="78"/>
      <c r="C1528" s="189"/>
      <c r="D1528" s="185"/>
      <c r="E1528" s="186"/>
      <c r="F1528" s="187"/>
    </row>
    <row r="1529" spans="1:6" x14ac:dyDescent="0.2">
      <c r="A1529" s="275"/>
      <c r="B1529" s="78"/>
      <c r="C1529" s="189"/>
      <c r="D1529" s="185"/>
      <c r="E1529" s="186"/>
      <c r="F1529" s="187"/>
    </row>
    <row r="1530" spans="1:6" x14ac:dyDescent="0.2">
      <c r="A1530" s="275"/>
      <c r="B1530" s="78"/>
      <c r="C1530" s="189"/>
      <c r="D1530" s="185"/>
      <c r="E1530" s="186"/>
      <c r="F1530" s="187"/>
    </row>
    <row r="1531" spans="1:6" x14ac:dyDescent="0.2">
      <c r="A1531" s="275"/>
      <c r="B1531" s="78"/>
      <c r="C1531" s="189"/>
      <c r="D1531" s="185"/>
      <c r="E1531" s="186"/>
      <c r="F1531" s="187"/>
    </row>
    <row r="1532" spans="1:6" x14ac:dyDescent="0.2">
      <c r="A1532" s="275"/>
      <c r="B1532" s="78"/>
      <c r="C1532" s="189"/>
      <c r="D1532" s="185"/>
      <c r="E1532" s="186"/>
      <c r="F1532" s="187"/>
    </row>
    <row r="1533" spans="1:6" x14ac:dyDescent="0.2">
      <c r="A1533" s="275"/>
      <c r="B1533" s="78"/>
      <c r="C1533" s="189"/>
      <c r="D1533" s="185"/>
      <c r="E1533" s="186"/>
      <c r="F1533" s="187"/>
    </row>
    <row r="1534" spans="1:6" x14ac:dyDescent="0.2">
      <c r="A1534" s="275"/>
      <c r="B1534" s="78"/>
      <c r="C1534" s="189"/>
      <c r="D1534" s="185"/>
      <c r="E1534" s="186"/>
      <c r="F1534" s="187"/>
    </row>
    <row r="1535" spans="1:6" x14ac:dyDescent="0.2">
      <c r="A1535" s="275"/>
      <c r="B1535" s="78"/>
      <c r="C1535" s="189"/>
      <c r="D1535" s="185"/>
      <c r="E1535" s="186"/>
      <c r="F1535" s="187"/>
    </row>
    <row r="1536" spans="1:6" x14ac:dyDescent="0.2">
      <c r="A1536" s="275"/>
      <c r="B1536" s="78"/>
      <c r="C1536" s="189"/>
      <c r="D1536" s="185"/>
      <c r="E1536" s="186"/>
      <c r="F1536" s="187"/>
    </row>
    <row r="1537" spans="1:6" x14ac:dyDescent="0.2">
      <c r="A1537" s="275"/>
      <c r="B1537" s="78"/>
      <c r="C1537" s="189"/>
      <c r="D1537" s="185"/>
      <c r="E1537" s="186"/>
      <c r="F1537" s="187"/>
    </row>
    <row r="1538" spans="1:6" x14ac:dyDescent="0.2">
      <c r="A1538" s="275"/>
      <c r="B1538" s="78"/>
      <c r="C1538" s="189"/>
      <c r="D1538" s="185"/>
      <c r="E1538" s="186"/>
      <c r="F1538" s="187"/>
    </row>
    <row r="1539" spans="1:6" x14ac:dyDescent="0.2">
      <c r="A1539" s="275"/>
      <c r="B1539" s="78"/>
      <c r="C1539" s="189"/>
      <c r="D1539" s="185"/>
      <c r="E1539" s="186"/>
      <c r="F1539" s="187"/>
    </row>
    <row r="1540" spans="1:6" x14ac:dyDescent="0.2">
      <c r="A1540" s="275"/>
      <c r="B1540" s="78"/>
      <c r="C1540" s="189"/>
      <c r="D1540" s="185"/>
      <c r="E1540" s="186"/>
      <c r="F1540" s="187"/>
    </row>
    <row r="1541" spans="1:6" x14ac:dyDescent="0.2">
      <c r="A1541" s="275"/>
      <c r="B1541" s="78"/>
      <c r="C1541" s="189"/>
      <c r="D1541" s="185"/>
      <c r="E1541" s="186"/>
      <c r="F1541" s="187"/>
    </row>
    <row r="1542" spans="1:6" x14ac:dyDescent="0.2">
      <c r="A1542" s="275"/>
      <c r="B1542" s="78"/>
      <c r="C1542" s="189"/>
      <c r="D1542" s="185"/>
      <c r="E1542" s="186"/>
      <c r="F1542" s="187"/>
    </row>
    <row r="1543" spans="1:6" x14ac:dyDescent="0.2">
      <c r="A1543" s="275"/>
      <c r="B1543" s="78"/>
      <c r="C1543" s="189"/>
      <c r="D1543" s="185"/>
      <c r="E1543" s="186"/>
      <c r="F1543" s="187"/>
    </row>
    <row r="1544" spans="1:6" x14ac:dyDescent="0.2">
      <c r="A1544" s="275"/>
      <c r="B1544" s="78"/>
      <c r="C1544" s="189"/>
      <c r="D1544" s="185"/>
      <c r="E1544" s="186"/>
      <c r="F1544" s="187"/>
    </row>
    <row r="1545" spans="1:6" x14ac:dyDescent="0.2">
      <c r="A1545" s="275"/>
      <c r="B1545" s="78"/>
      <c r="C1545" s="189"/>
      <c r="D1545" s="185"/>
      <c r="E1545" s="186"/>
      <c r="F1545" s="187"/>
    </row>
    <row r="1546" spans="1:6" x14ac:dyDescent="0.2">
      <c r="A1546" s="275"/>
      <c r="B1546" s="78"/>
      <c r="C1546" s="189"/>
      <c r="D1546" s="185"/>
      <c r="E1546" s="186"/>
      <c r="F1546" s="187"/>
    </row>
    <row r="1547" spans="1:6" x14ac:dyDescent="0.2">
      <c r="A1547" s="275"/>
      <c r="B1547" s="78"/>
      <c r="C1547" s="189"/>
      <c r="D1547" s="185"/>
      <c r="E1547" s="186"/>
      <c r="F1547" s="187"/>
    </row>
    <row r="1548" spans="1:6" x14ac:dyDescent="0.2">
      <c r="A1548" s="275"/>
      <c r="B1548" s="78"/>
      <c r="C1548" s="189"/>
      <c r="D1548" s="185"/>
      <c r="E1548" s="186"/>
      <c r="F1548" s="187"/>
    </row>
    <row r="1549" spans="1:6" x14ac:dyDescent="0.2">
      <c r="A1549" s="275"/>
      <c r="B1549" s="78"/>
      <c r="C1549" s="189"/>
      <c r="D1549" s="185"/>
      <c r="E1549" s="186"/>
      <c r="F1549" s="187"/>
    </row>
    <row r="1550" spans="1:6" x14ac:dyDescent="0.2">
      <c r="A1550" s="275"/>
      <c r="B1550" s="78"/>
      <c r="C1550" s="189"/>
      <c r="D1550" s="185"/>
      <c r="E1550" s="186"/>
      <c r="F1550" s="187"/>
    </row>
    <row r="1551" spans="1:6" x14ac:dyDescent="0.2">
      <c r="A1551" s="275"/>
      <c r="B1551" s="78"/>
      <c r="C1551" s="189"/>
      <c r="D1551" s="185"/>
      <c r="E1551" s="186"/>
      <c r="F1551" s="187"/>
    </row>
    <row r="1552" spans="1:6" x14ac:dyDescent="0.2">
      <c r="A1552" s="275"/>
      <c r="B1552" s="78"/>
      <c r="C1552" s="189"/>
      <c r="D1552" s="185"/>
      <c r="E1552" s="186"/>
      <c r="F1552" s="187"/>
    </row>
    <row r="1553" spans="1:6" x14ac:dyDescent="0.2">
      <c r="A1553" s="275"/>
      <c r="B1553" s="78"/>
      <c r="C1553" s="189"/>
      <c r="D1553" s="185"/>
      <c r="E1553" s="186"/>
      <c r="F1553" s="187"/>
    </row>
    <row r="1554" spans="1:6" x14ac:dyDescent="0.2">
      <c r="A1554" s="275"/>
      <c r="B1554" s="78"/>
      <c r="C1554" s="189"/>
      <c r="D1554" s="185"/>
      <c r="E1554" s="186"/>
      <c r="F1554" s="187"/>
    </row>
    <row r="1555" spans="1:6" x14ac:dyDescent="0.2">
      <c r="A1555" s="275"/>
      <c r="B1555" s="78"/>
      <c r="C1555" s="189"/>
      <c r="D1555" s="185"/>
      <c r="E1555" s="186"/>
      <c r="F1555" s="187"/>
    </row>
    <row r="1556" spans="1:6" x14ac:dyDescent="0.2">
      <c r="A1556" s="275"/>
      <c r="B1556" s="78"/>
      <c r="C1556" s="189"/>
      <c r="D1556" s="185"/>
      <c r="E1556" s="186"/>
      <c r="F1556" s="187"/>
    </row>
    <row r="1557" spans="1:6" x14ac:dyDescent="0.2">
      <c r="A1557" s="275"/>
      <c r="B1557" s="78"/>
      <c r="C1557" s="189"/>
      <c r="D1557" s="185"/>
      <c r="E1557" s="186"/>
      <c r="F1557" s="187"/>
    </row>
    <row r="1558" spans="1:6" x14ac:dyDescent="0.2">
      <c r="A1558" s="275"/>
      <c r="B1558" s="78"/>
      <c r="C1558" s="189"/>
      <c r="D1558" s="185"/>
      <c r="E1558" s="186"/>
      <c r="F1558" s="187"/>
    </row>
    <row r="1559" spans="1:6" x14ac:dyDescent="0.2">
      <c r="A1559" s="275"/>
      <c r="B1559" s="78"/>
      <c r="C1559" s="189"/>
      <c r="D1559" s="185"/>
      <c r="E1559" s="186"/>
      <c r="F1559" s="187"/>
    </row>
    <row r="1560" spans="1:6" x14ac:dyDescent="0.2">
      <c r="A1560" s="275"/>
      <c r="B1560" s="78"/>
      <c r="C1560" s="189"/>
      <c r="D1560" s="185"/>
      <c r="E1560" s="186"/>
      <c r="F1560" s="187"/>
    </row>
    <row r="1561" spans="1:6" x14ac:dyDescent="0.2">
      <c r="A1561" s="275"/>
      <c r="B1561" s="78"/>
      <c r="C1561" s="189"/>
      <c r="D1561" s="185"/>
      <c r="E1561" s="186"/>
      <c r="F1561" s="187"/>
    </row>
    <row r="1562" spans="1:6" x14ac:dyDescent="0.2">
      <c r="A1562" s="275"/>
      <c r="B1562" s="78"/>
      <c r="C1562" s="189"/>
      <c r="D1562" s="185"/>
      <c r="E1562" s="186"/>
      <c r="F1562" s="187"/>
    </row>
    <row r="1563" spans="1:6" x14ac:dyDescent="0.2">
      <c r="A1563" s="275"/>
      <c r="B1563" s="78"/>
      <c r="C1563" s="189"/>
      <c r="D1563" s="185"/>
      <c r="E1563" s="186"/>
      <c r="F1563" s="187"/>
    </row>
    <row r="1564" spans="1:6" x14ac:dyDescent="0.2">
      <c r="A1564" s="275"/>
      <c r="B1564" s="78"/>
      <c r="C1564" s="189"/>
      <c r="D1564" s="185"/>
      <c r="E1564" s="186"/>
      <c r="F1564" s="187"/>
    </row>
    <row r="1565" spans="1:6" x14ac:dyDescent="0.2">
      <c r="A1565" s="275"/>
      <c r="B1565" s="78"/>
      <c r="C1565" s="189"/>
      <c r="D1565" s="185"/>
      <c r="E1565" s="186"/>
      <c r="F1565" s="187"/>
    </row>
    <row r="1566" spans="1:6" x14ac:dyDescent="0.2">
      <c r="A1566" s="275"/>
      <c r="B1566" s="78"/>
      <c r="C1566" s="189"/>
      <c r="D1566" s="185"/>
      <c r="E1566" s="186"/>
      <c r="F1566" s="187"/>
    </row>
    <row r="1567" spans="1:6" x14ac:dyDescent="0.2">
      <c r="A1567" s="275"/>
      <c r="B1567" s="78"/>
      <c r="C1567" s="189"/>
      <c r="D1567" s="185"/>
      <c r="E1567" s="186"/>
      <c r="F1567" s="187"/>
    </row>
    <row r="1568" spans="1:6" x14ac:dyDescent="0.2">
      <c r="A1568" s="275"/>
      <c r="B1568" s="78"/>
      <c r="C1568" s="189"/>
      <c r="D1568" s="185"/>
      <c r="E1568" s="186"/>
      <c r="F1568" s="187"/>
    </row>
    <row r="1569" spans="1:6" x14ac:dyDescent="0.2">
      <c r="A1569" s="275"/>
      <c r="B1569" s="78"/>
      <c r="C1569" s="189"/>
      <c r="D1569" s="185"/>
      <c r="E1569" s="186"/>
      <c r="F1569" s="187"/>
    </row>
    <row r="1570" spans="1:6" x14ac:dyDescent="0.2">
      <c r="A1570" s="275"/>
      <c r="B1570" s="78"/>
      <c r="C1570" s="189"/>
      <c r="D1570" s="185"/>
      <c r="E1570" s="186"/>
      <c r="F1570" s="187"/>
    </row>
    <row r="1571" spans="1:6" x14ac:dyDescent="0.2">
      <c r="A1571" s="275"/>
      <c r="B1571" s="78"/>
      <c r="C1571" s="189"/>
      <c r="D1571" s="185"/>
      <c r="E1571" s="186"/>
      <c r="F1571" s="187"/>
    </row>
    <row r="1572" spans="1:6" x14ac:dyDescent="0.2">
      <c r="A1572" s="275"/>
      <c r="B1572" s="78"/>
      <c r="C1572" s="189"/>
      <c r="D1572" s="185"/>
      <c r="E1572" s="186"/>
      <c r="F1572" s="187"/>
    </row>
    <row r="1573" spans="1:6" x14ac:dyDescent="0.2">
      <c r="A1573" s="275"/>
      <c r="B1573" s="78"/>
      <c r="C1573" s="189"/>
      <c r="D1573" s="185"/>
      <c r="E1573" s="186"/>
      <c r="F1573" s="187"/>
    </row>
    <row r="1574" spans="1:6" x14ac:dyDescent="0.2">
      <c r="A1574" s="275"/>
      <c r="B1574" s="78"/>
      <c r="C1574" s="189"/>
      <c r="D1574" s="185"/>
      <c r="E1574" s="186"/>
      <c r="F1574" s="187"/>
    </row>
    <row r="1575" spans="1:6" x14ac:dyDescent="0.2">
      <c r="A1575" s="275"/>
      <c r="B1575" s="78"/>
      <c r="C1575" s="189"/>
      <c r="D1575" s="185"/>
      <c r="E1575" s="186"/>
      <c r="F1575" s="187"/>
    </row>
    <row r="1576" spans="1:6" x14ac:dyDescent="0.2">
      <c r="A1576" s="275"/>
      <c r="B1576" s="78"/>
      <c r="C1576" s="189"/>
      <c r="D1576" s="185"/>
      <c r="E1576" s="186"/>
      <c r="F1576" s="187"/>
    </row>
    <row r="1577" spans="1:6" x14ac:dyDescent="0.2">
      <c r="A1577" s="275"/>
      <c r="B1577" s="78"/>
      <c r="C1577" s="189"/>
      <c r="D1577" s="185"/>
      <c r="E1577" s="186"/>
      <c r="F1577" s="187"/>
    </row>
    <row r="1578" spans="1:6" x14ac:dyDescent="0.2">
      <c r="A1578" s="275"/>
      <c r="B1578" s="78"/>
      <c r="C1578" s="189"/>
      <c r="D1578" s="185"/>
      <c r="E1578" s="186"/>
      <c r="F1578" s="187"/>
    </row>
    <row r="1579" spans="1:6" x14ac:dyDescent="0.2">
      <c r="A1579" s="275"/>
      <c r="B1579" s="78"/>
      <c r="C1579" s="189"/>
      <c r="D1579" s="185"/>
      <c r="E1579" s="186"/>
      <c r="F1579" s="187"/>
    </row>
    <row r="1580" spans="1:6" x14ac:dyDescent="0.2">
      <c r="A1580" s="275"/>
      <c r="B1580" s="78"/>
      <c r="C1580" s="189"/>
      <c r="D1580" s="185"/>
      <c r="E1580" s="186"/>
      <c r="F1580" s="187"/>
    </row>
    <row r="1581" spans="1:6" x14ac:dyDescent="0.2">
      <c r="A1581" s="275"/>
      <c r="B1581" s="78"/>
      <c r="C1581" s="189"/>
      <c r="D1581" s="185"/>
      <c r="E1581" s="186"/>
      <c r="F1581" s="187"/>
    </row>
    <row r="1582" spans="1:6" x14ac:dyDescent="0.2">
      <c r="A1582" s="275"/>
      <c r="B1582" s="78"/>
      <c r="C1582" s="189"/>
      <c r="D1582" s="185"/>
      <c r="E1582" s="186"/>
      <c r="F1582" s="187"/>
    </row>
    <row r="1583" spans="1:6" x14ac:dyDescent="0.2">
      <c r="A1583" s="275"/>
      <c r="B1583" s="78"/>
      <c r="C1583" s="189"/>
      <c r="D1583" s="185"/>
      <c r="E1583" s="186"/>
      <c r="F1583" s="187"/>
    </row>
    <row r="1584" spans="1:6" x14ac:dyDescent="0.2">
      <c r="A1584" s="275"/>
      <c r="B1584" s="78"/>
      <c r="C1584" s="189"/>
      <c r="D1584" s="185"/>
      <c r="E1584" s="186"/>
      <c r="F1584" s="187"/>
    </row>
    <row r="1585" spans="1:6" x14ac:dyDescent="0.2">
      <c r="A1585" s="275"/>
      <c r="B1585" s="78"/>
      <c r="C1585" s="189"/>
      <c r="D1585" s="185"/>
      <c r="E1585" s="186"/>
      <c r="F1585" s="187"/>
    </row>
    <row r="1586" spans="1:6" x14ac:dyDescent="0.2">
      <c r="A1586" s="275"/>
      <c r="B1586" s="78"/>
      <c r="C1586" s="189"/>
      <c r="D1586" s="185"/>
      <c r="E1586" s="186"/>
      <c r="F1586" s="187"/>
    </row>
    <row r="1587" spans="1:6" x14ac:dyDescent="0.2">
      <c r="A1587" s="275"/>
      <c r="B1587" s="78"/>
      <c r="C1587" s="189"/>
      <c r="D1587" s="185"/>
      <c r="E1587" s="186"/>
      <c r="F1587" s="187"/>
    </row>
    <row r="1588" spans="1:6" x14ac:dyDescent="0.2">
      <c r="A1588" s="275"/>
      <c r="B1588" s="78"/>
      <c r="C1588" s="189"/>
      <c r="D1588" s="185"/>
      <c r="E1588" s="186"/>
      <c r="F1588" s="187"/>
    </row>
    <row r="1589" spans="1:6" x14ac:dyDescent="0.2">
      <c r="A1589" s="275"/>
      <c r="B1589" s="78"/>
      <c r="C1589" s="189"/>
      <c r="D1589" s="185"/>
      <c r="E1589" s="186"/>
      <c r="F1589" s="187"/>
    </row>
    <row r="1590" spans="1:6" x14ac:dyDescent="0.2">
      <c r="A1590" s="275"/>
      <c r="B1590" s="78"/>
      <c r="C1590" s="189"/>
      <c r="D1590" s="185"/>
      <c r="E1590" s="186"/>
      <c r="F1590" s="187"/>
    </row>
    <row r="1591" spans="1:6" x14ac:dyDescent="0.2">
      <c r="A1591" s="275"/>
      <c r="B1591" s="78"/>
      <c r="C1591" s="189"/>
      <c r="D1591" s="185"/>
      <c r="E1591" s="186"/>
      <c r="F1591" s="187"/>
    </row>
    <row r="1592" spans="1:6" x14ac:dyDescent="0.2">
      <c r="A1592" s="275"/>
      <c r="B1592" s="78"/>
      <c r="C1592" s="189"/>
      <c r="D1592" s="185"/>
      <c r="E1592" s="186"/>
      <c r="F1592" s="187"/>
    </row>
    <row r="1593" spans="1:6" x14ac:dyDescent="0.2">
      <c r="A1593" s="275"/>
      <c r="B1593" s="78"/>
      <c r="C1593" s="189"/>
      <c r="D1593" s="185"/>
      <c r="E1593" s="186"/>
      <c r="F1593" s="187"/>
    </row>
    <row r="1594" spans="1:6" x14ac:dyDescent="0.2">
      <c r="A1594" s="275"/>
      <c r="B1594" s="78"/>
      <c r="C1594" s="189"/>
      <c r="D1594" s="185"/>
      <c r="E1594" s="186"/>
      <c r="F1594" s="187"/>
    </row>
    <row r="1595" spans="1:6" x14ac:dyDescent="0.2">
      <c r="A1595" s="275"/>
      <c r="B1595" s="78"/>
      <c r="C1595" s="189"/>
      <c r="D1595" s="185"/>
      <c r="E1595" s="186"/>
      <c r="F1595" s="187"/>
    </row>
    <row r="1596" spans="1:6" x14ac:dyDescent="0.2">
      <c r="A1596" s="275"/>
      <c r="B1596" s="78"/>
      <c r="C1596" s="189"/>
      <c r="D1596" s="185"/>
      <c r="E1596" s="186"/>
      <c r="F1596" s="187"/>
    </row>
    <row r="1597" spans="1:6" x14ac:dyDescent="0.2">
      <c r="A1597" s="275"/>
      <c r="B1597" s="78"/>
      <c r="C1597" s="189"/>
      <c r="D1597" s="185"/>
      <c r="E1597" s="186"/>
      <c r="F1597" s="187"/>
    </row>
    <row r="1598" spans="1:6" x14ac:dyDescent="0.2">
      <c r="A1598" s="275"/>
      <c r="B1598" s="78"/>
      <c r="C1598" s="189"/>
      <c r="D1598" s="185"/>
      <c r="E1598" s="186"/>
      <c r="F1598" s="187"/>
    </row>
    <row r="1599" spans="1:6" x14ac:dyDescent="0.2">
      <c r="A1599" s="275"/>
      <c r="B1599" s="78"/>
      <c r="C1599" s="189"/>
      <c r="D1599" s="185"/>
      <c r="E1599" s="186"/>
      <c r="F1599" s="187"/>
    </row>
    <row r="1600" spans="1:6" x14ac:dyDescent="0.2">
      <c r="A1600" s="275"/>
      <c r="B1600" s="78"/>
      <c r="C1600" s="189"/>
      <c r="D1600" s="185"/>
      <c r="E1600" s="186"/>
      <c r="F1600" s="187"/>
    </row>
    <row r="1601" spans="1:6" x14ac:dyDescent="0.2">
      <c r="A1601" s="275"/>
      <c r="B1601" s="78"/>
      <c r="C1601" s="189"/>
      <c r="D1601" s="185"/>
      <c r="E1601" s="186"/>
      <c r="F1601" s="187"/>
    </row>
    <row r="1602" spans="1:6" x14ac:dyDescent="0.2">
      <c r="A1602" s="275"/>
      <c r="B1602" s="78"/>
      <c r="C1602" s="189"/>
      <c r="D1602" s="185"/>
      <c r="E1602" s="186"/>
      <c r="F1602" s="187"/>
    </row>
    <row r="1603" spans="1:6" x14ac:dyDescent="0.2">
      <c r="A1603" s="275"/>
      <c r="B1603" s="78"/>
      <c r="C1603" s="189"/>
      <c r="D1603" s="185"/>
      <c r="E1603" s="186"/>
      <c r="F1603" s="187"/>
    </row>
    <row r="1604" spans="1:6" x14ac:dyDescent="0.2">
      <c r="A1604" s="275"/>
      <c r="B1604" s="78"/>
      <c r="C1604" s="189"/>
      <c r="D1604" s="185"/>
      <c r="E1604" s="186"/>
      <c r="F1604" s="187"/>
    </row>
    <row r="1605" spans="1:6" x14ac:dyDescent="0.2">
      <c r="A1605" s="275"/>
      <c r="B1605" s="78"/>
      <c r="C1605" s="189"/>
      <c r="D1605" s="185"/>
      <c r="E1605" s="186"/>
      <c r="F1605" s="187"/>
    </row>
    <row r="1606" spans="1:6" x14ac:dyDescent="0.2">
      <c r="A1606" s="275"/>
      <c r="B1606" s="78"/>
      <c r="C1606" s="189"/>
      <c r="D1606" s="185"/>
      <c r="E1606" s="186"/>
      <c r="F1606" s="187"/>
    </row>
    <row r="1607" spans="1:6" x14ac:dyDescent="0.2">
      <c r="A1607" s="275"/>
      <c r="B1607" s="78"/>
      <c r="C1607" s="189"/>
      <c r="D1607" s="185"/>
      <c r="E1607" s="186"/>
      <c r="F1607" s="187"/>
    </row>
    <row r="1608" spans="1:6" x14ac:dyDescent="0.2">
      <c r="A1608" s="275"/>
      <c r="B1608" s="78"/>
      <c r="C1608" s="189"/>
      <c r="D1608" s="185"/>
      <c r="E1608" s="186"/>
      <c r="F1608" s="187"/>
    </row>
    <row r="1609" spans="1:6" x14ac:dyDescent="0.2">
      <c r="A1609" s="275"/>
      <c r="B1609" s="78"/>
      <c r="C1609" s="189"/>
      <c r="D1609" s="185"/>
      <c r="E1609" s="186"/>
      <c r="F1609" s="187"/>
    </row>
    <row r="1610" spans="1:6" x14ac:dyDescent="0.2">
      <c r="A1610" s="275"/>
      <c r="B1610" s="78"/>
      <c r="C1610" s="189"/>
      <c r="D1610" s="185"/>
      <c r="E1610" s="186"/>
      <c r="F1610" s="187"/>
    </row>
    <row r="1611" spans="1:6" x14ac:dyDescent="0.2">
      <c r="A1611" s="275"/>
      <c r="B1611" s="78"/>
      <c r="C1611" s="189"/>
      <c r="D1611" s="185"/>
      <c r="E1611" s="186"/>
      <c r="F1611" s="187"/>
    </row>
    <row r="1612" spans="1:6" x14ac:dyDescent="0.2">
      <c r="A1612" s="275"/>
      <c r="B1612" s="78"/>
      <c r="C1612" s="189"/>
      <c r="D1612" s="185"/>
      <c r="E1612" s="186"/>
      <c r="F1612" s="187"/>
    </row>
    <row r="1613" spans="1:6" x14ac:dyDescent="0.2">
      <c r="A1613" s="275"/>
      <c r="B1613" s="78"/>
      <c r="C1613" s="189"/>
      <c r="D1613" s="185"/>
      <c r="E1613" s="186"/>
      <c r="F1613" s="187"/>
    </row>
    <row r="1614" spans="1:6" x14ac:dyDescent="0.2">
      <c r="A1614" s="275"/>
      <c r="B1614" s="78"/>
      <c r="C1614" s="189"/>
      <c r="D1614" s="185"/>
      <c r="E1614" s="186"/>
      <c r="F1614" s="187"/>
    </row>
    <row r="1615" spans="1:6" x14ac:dyDescent="0.2">
      <c r="A1615" s="275"/>
      <c r="B1615" s="78"/>
      <c r="C1615" s="189"/>
      <c r="D1615" s="185"/>
      <c r="E1615" s="186"/>
      <c r="F1615" s="187"/>
    </row>
    <row r="1616" spans="1:6" x14ac:dyDescent="0.2">
      <c r="A1616" s="275"/>
      <c r="B1616" s="78"/>
      <c r="C1616" s="189"/>
      <c r="D1616" s="185"/>
      <c r="E1616" s="186"/>
      <c r="F1616" s="187"/>
    </row>
    <row r="1617" spans="1:6" x14ac:dyDescent="0.2">
      <c r="A1617" s="275"/>
      <c r="B1617" s="78"/>
      <c r="C1617" s="189"/>
      <c r="D1617" s="185"/>
      <c r="E1617" s="186"/>
      <c r="F1617" s="187"/>
    </row>
    <row r="1618" spans="1:6" x14ac:dyDescent="0.2">
      <c r="A1618" s="275"/>
      <c r="B1618" s="78"/>
      <c r="C1618" s="189"/>
      <c r="D1618" s="185"/>
      <c r="E1618" s="186"/>
      <c r="F1618" s="187"/>
    </row>
    <row r="1619" spans="1:6" x14ac:dyDescent="0.2">
      <c r="A1619" s="275"/>
      <c r="B1619" s="78"/>
      <c r="C1619" s="189"/>
      <c r="D1619" s="185"/>
      <c r="E1619" s="186"/>
      <c r="F1619" s="187"/>
    </row>
    <row r="1620" spans="1:6" x14ac:dyDescent="0.2">
      <c r="A1620" s="275"/>
      <c r="B1620" s="78"/>
      <c r="C1620" s="189"/>
      <c r="D1620" s="185"/>
      <c r="E1620" s="186"/>
      <c r="F1620" s="187"/>
    </row>
    <row r="1621" spans="1:6" x14ac:dyDescent="0.2">
      <c r="A1621" s="275"/>
      <c r="B1621" s="78"/>
      <c r="C1621" s="189"/>
      <c r="D1621" s="185"/>
      <c r="E1621" s="186"/>
      <c r="F1621" s="187"/>
    </row>
    <row r="1622" spans="1:6" x14ac:dyDescent="0.2">
      <c r="A1622" s="275"/>
      <c r="B1622" s="78"/>
      <c r="C1622" s="189"/>
      <c r="D1622" s="185"/>
      <c r="E1622" s="186"/>
      <c r="F1622" s="187"/>
    </row>
    <row r="1623" spans="1:6" x14ac:dyDescent="0.2">
      <c r="A1623" s="275"/>
      <c r="B1623" s="78"/>
      <c r="C1623" s="189"/>
      <c r="D1623" s="185"/>
      <c r="E1623" s="186"/>
      <c r="F1623" s="187"/>
    </row>
    <row r="1624" spans="1:6" x14ac:dyDescent="0.2">
      <c r="A1624" s="275"/>
      <c r="B1624" s="78"/>
      <c r="C1624" s="189"/>
      <c r="D1624" s="185"/>
      <c r="E1624" s="186"/>
      <c r="F1624" s="187"/>
    </row>
    <row r="1625" spans="1:6" x14ac:dyDescent="0.2">
      <c r="A1625" s="275"/>
      <c r="B1625" s="78"/>
      <c r="C1625" s="189"/>
      <c r="D1625" s="185"/>
      <c r="E1625" s="186"/>
      <c r="F1625" s="187"/>
    </row>
    <row r="1626" spans="1:6" x14ac:dyDescent="0.2">
      <c r="A1626" s="275"/>
      <c r="B1626" s="78"/>
      <c r="C1626" s="189"/>
      <c r="D1626" s="185"/>
      <c r="E1626" s="186"/>
      <c r="F1626" s="187"/>
    </row>
    <row r="1627" spans="1:6" x14ac:dyDescent="0.2">
      <c r="A1627" s="275"/>
      <c r="B1627" s="78"/>
      <c r="C1627" s="189"/>
      <c r="D1627" s="185"/>
      <c r="E1627" s="186"/>
      <c r="F1627" s="187"/>
    </row>
    <row r="1628" spans="1:6" x14ac:dyDescent="0.2">
      <c r="A1628" s="275"/>
      <c r="B1628" s="78"/>
      <c r="C1628" s="189"/>
      <c r="D1628" s="185"/>
      <c r="E1628" s="186"/>
      <c r="F1628" s="187"/>
    </row>
    <row r="1629" spans="1:6" x14ac:dyDescent="0.2">
      <c r="A1629" s="275"/>
      <c r="B1629" s="78"/>
      <c r="C1629" s="189"/>
      <c r="D1629" s="185"/>
      <c r="E1629" s="186"/>
      <c r="F1629" s="187"/>
    </row>
    <row r="1630" spans="1:6" x14ac:dyDescent="0.2">
      <c r="A1630" s="275"/>
      <c r="B1630" s="78"/>
      <c r="C1630" s="189"/>
      <c r="D1630" s="185"/>
      <c r="E1630" s="186"/>
      <c r="F1630" s="187"/>
    </row>
    <row r="1631" spans="1:6" x14ac:dyDescent="0.2">
      <c r="A1631" s="275"/>
      <c r="B1631" s="78"/>
      <c r="C1631" s="189"/>
      <c r="D1631" s="185"/>
      <c r="E1631" s="186"/>
      <c r="F1631" s="187"/>
    </row>
    <row r="1632" spans="1:6" x14ac:dyDescent="0.2">
      <c r="A1632" s="275"/>
      <c r="B1632" s="78"/>
      <c r="C1632" s="189"/>
      <c r="D1632" s="185"/>
      <c r="E1632" s="186"/>
      <c r="F1632" s="187"/>
    </row>
    <row r="1633" spans="1:6" x14ac:dyDescent="0.2">
      <c r="A1633" s="275"/>
      <c r="B1633" s="78"/>
      <c r="C1633" s="189"/>
      <c r="D1633" s="185"/>
      <c r="E1633" s="186"/>
      <c r="F1633" s="187"/>
    </row>
    <row r="1634" spans="1:6" x14ac:dyDescent="0.2">
      <c r="A1634" s="275"/>
      <c r="B1634" s="78"/>
      <c r="C1634" s="189"/>
      <c r="D1634" s="185"/>
      <c r="E1634" s="186"/>
      <c r="F1634" s="187"/>
    </row>
    <row r="1635" spans="1:6" x14ac:dyDescent="0.2">
      <c r="A1635" s="275"/>
      <c r="B1635" s="78"/>
      <c r="C1635" s="189"/>
      <c r="D1635" s="185"/>
      <c r="E1635" s="186"/>
      <c r="F1635" s="187"/>
    </row>
    <row r="1636" spans="1:6" x14ac:dyDescent="0.2">
      <c r="A1636" s="275"/>
      <c r="B1636" s="78"/>
      <c r="C1636" s="189"/>
      <c r="D1636" s="185"/>
      <c r="E1636" s="186"/>
      <c r="F1636" s="187"/>
    </row>
    <row r="1637" spans="1:6" x14ac:dyDescent="0.2">
      <c r="A1637" s="275"/>
      <c r="B1637" s="78"/>
      <c r="C1637" s="189"/>
      <c r="D1637" s="185"/>
      <c r="E1637" s="186"/>
      <c r="F1637" s="187"/>
    </row>
    <row r="1638" spans="1:6" x14ac:dyDescent="0.2">
      <c r="A1638" s="275"/>
      <c r="B1638" s="78"/>
      <c r="C1638" s="189"/>
      <c r="D1638" s="185"/>
      <c r="E1638" s="186"/>
      <c r="F1638" s="187"/>
    </row>
    <row r="1639" spans="1:6" x14ac:dyDescent="0.2">
      <c r="A1639" s="275"/>
      <c r="B1639" s="78"/>
      <c r="C1639" s="189"/>
      <c r="D1639" s="185"/>
      <c r="E1639" s="186"/>
      <c r="F1639" s="187"/>
    </row>
    <row r="1640" spans="1:6" x14ac:dyDescent="0.2">
      <c r="A1640" s="275"/>
      <c r="B1640" s="78"/>
      <c r="C1640" s="189"/>
      <c r="D1640" s="185"/>
      <c r="E1640" s="186"/>
      <c r="F1640" s="187"/>
    </row>
    <row r="1641" spans="1:6" x14ac:dyDescent="0.2">
      <c r="A1641" s="275"/>
      <c r="B1641" s="78"/>
      <c r="C1641" s="189"/>
      <c r="D1641" s="185"/>
      <c r="E1641" s="186"/>
      <c r="F1641" s="187"/>
    </row>
    <row r="1642" spans="1:6" x14ac:dyDescent="0.2">
      <c r="A1642" s="275"/>
      <c r="B1642" s="78"/>
      <c r="C1642" s="189"/>
      <c r="D1642" s="185"/>
      <c r="E1642" s="186"/>
      <c r="F1642" s="187"/>
    </row>
    <row r="1643" spans="1:6" x14ac:dyDescent="0.2">
      <c r="A1643" s="275"/>
      <c r="B1643" s="78"/>
      <c r="C1643" s="189"/>
      <c r="D1643" s="185"/>
      <c r="E1643" s="186"/>
      <c r="F1643" s="187"/>
    </row>
    <row r="1644" spans="1:6" x14ac:dyDescent="0.2">
      <c r="A1644" s="275"/>
      <c r="B1644" s="78"/>
      <c r="C1644" s="189"/>
      <c r="D1644" s="185"/>
      <c r="E1644" s="186"/>
      <c r="F1644" s="187"/>
    </row>
    <row r="1645" spans="1:6" x14ac:dyDescent="0.2">
      <c r="A1645" s="275"/>
      <c r="B1645" s="78"/>
      <c r="C1645" s="189"/>
      <c r="D1645" s="185"/>
      <c r="E1645" s="186"/>
      <c r="F1645" s="187"/>
    </row>
    <row r="1646" spans="1:6" x14ac:dyDescent="0.2">
      <c r="A1646" s="275"/>
      <c r="B1646" s="78"/>
      <c r="C1646" s="189"/>
      <c r="D1646" s="185"/>
      <c r="E1646" s="186"/>
      <c r="F1646" s="187"/>
    </row>
    <row r="1647" spans="1:6" x14ac:dyDescent="0.2">
      <c r="A1647" s="275"/>
      <c r="B1647" s="78"/>
      <c r="C1647" s="189"/>
      <c r="D1647" s="185"/>
      <c r="E1647" s="186"/>
      <c r="F1647" s="187"/>
    </row>
    <row r="1648" spans="1:6" x14ac:dyDescent="0.2">
      <c r="A1648" s="275"/>
      <c r="B1648" s="78"/>
      <c r="C1648" s="189"/>
      <c r="D1648" s="185"/>
      <c r="E1648" s="186"/>
      <c r="F1648" s="187"/>
    </row>
    <row r="1649" spans="1:6" x14ac:dyDescent="0.2">
      <c r="A1649" s="275"/>
      <c r="B1649" s="78"/>
      <c r="C1649" s="189"/>
      <c r="D1649" s="185"/>
      <c r="E1649" s="186"/>
      <c r="F1649" s="187"/>
    </row>
    <row r="1650" spans="1:6" x14ac:dyDescent="0.2">
      <c r="A1650" s="275"/>
      <c r="B1650" s="78"/>
      <c r="C1650" s="189"/>
      <c r="D1650" s="185"/>
      <c r="E1650" s="186"/>
      <c r="F1650" s="187"/>
    </row>
    <row r="1651" spans="1:6" x14ac:dyDescent="0.2">
      <c r="A1651" s="275"/>
      <c r="B1651" s="78"/>
      <c r="C1651" s="189"/>
      <c r="D1651" s="185"/>
      <c r="E1651" s="186"/>
      <c r="F1651" s="187"/>
    </row>
    <row r="1652" spans="1:6" x14ac:dyDescent="0.2">
      <c r="A1652" s="275"/>
      <c r="B1652" s="78"/>
      <c r="C1652" s="189"/>
      <c r="D1652" s="185"/>
      <c r="E1652" s="186"/>
      <c r="F1652" s="187"/>
    </row>
    <row r="1653" spans="1:6" x14ac:dyDescent="0.2">
      <c r="A1653" s="275"/>
      <c r="B1653" s="78"/>
      <c r="C1653" s="189"/>
      <c r="D1653" s="185"/>
      <c r="E1653" s="186"/>
      <c r="F1653" s="187"/>
    </row>
    <row r="1654" spans="1:6" x14ac:dyDescent="0.2">
      <c r="A1654" s="275"/>
      <c r="B1654" s="78"/>
      <c r="C1654" s="189"/>
      <c r="D1654" s="185"/>
      <c r="E1654" s="186"/>
      <c r="F1654" s="187"/>
    </row>
    <row r="1655" spans="1:6" x14ac:dyDescent="0.2">
      <c r="A1655" s="275"/>
      <c r="B1655" s="78"/>
      <c r="C1655" s="189"/>
      <c r="D1655" s="185"/>
      <c r="E1655" s="186"/>
      <c r="F1655" s="187"/>
    </row>
    <row r="1656" spans="1:6" x14ac:dyDescent="0.2">
      <c r="A1656" s="275"/>
      <c r="B1656" s="78"/>
      <c r="C1656" s="189"/>
      <c r="D1656" s="185"/>
      <c r="E1656" s="186"/>
      <c r="F1656" s="187"/>
    </row>
    <row r="1657" spans="1:6" x14ac:dyDescent="0.2">
      <c r="A1657" s="275"/>
      <c r="B1657" s="78"/>
      <c r="C1657" s="189"/>
      <c r="D1657" s="185"/>
      <c r="E1657" s="186"/>
      <c r="F1657" s="187"/>
    </row>
    <row r="1658" spans="1:6" x14ac:dyDescent="0.2">
      <c r="A1658" s="275"/>
      <c r="B1658" s="78"/>
      <c r="C1658" s="189"/>
      <c r="D1658" s="185"/>
      <c r="E1658" s="186"/>
      <c r="F1658" s="187"/>
    </row>
    <row r="1659" spans="1:6" x14ac:dyDescent="0.2">
      <c r="A1659" s="275"/>
      <c r="B1659" s="78"/>
      <c r="C1659" s="189"/>
      <c r="D1659" s="185"/>
      <c r="E1659" s="186"/>
      <c r="F1659" s="187"/>
    </row>
    <row r="1660" spans="1:6" x14ac:dyDescent="0.2">
      <c r="A1660" s="275"/>
      <c r="B1660" s="78"/>
      <c r="C1660" s="189"/>
      <c r="D1660" s="185"/>
      <c r="E1660" s="186"/>
      <c r="F1660" s="187"/>
    </row>
    <row r="1661" spans="1:6" x14ac:dyDescent="0.2">
      <c r="A1661" s="275"/>
      <c r="B1661" s="78"/>
      <c r="C1661" s="189"/>
      <c r="D1661" s="185"/>
      <c r="E1661" s="186"/>
      <c r="F1661" s="187"/>
    </row>
    <row r="1662" spans="1:6" x14ac:dyDescent="0.2">
      <c r="A1662" s="275"/>
      <c r="B1662" s="78"/>
      <c r="C1662" s="189"/>
      <c r="D1662" s="185"/>
      <c r="E1662" s="186"/>
      <c r="F1662" s="187"/>
    </row>
    <row r="1663" spans="1:6" x14ac:dyDescent="0.2">
      <c r="A1663" s="275"/>
      <c r="B1663" s="78"/>
      <c r="C1663" s="189"/>
      <c r="D1663" s="185"/>
      <c r="E1663" s="186"/>
      <c r="F1663" s="187"/>
    </row>
    <row r="1664" spans="1:6" x14ac:dyDescent="0.2">
      <c r="A1664" s="275"/>
      <c r="B1664" s="78"/>
      <c r="C1664" s="189"/>
      <c r="D1664" s="185"/>
      <c r="E1664" s="186"/>
      <c r="F1664" s="187"/>
    </row>
    <row r="1665" spans="1:6" x14ac:dyDescent="0.2">
      <c r="A1665" s="275"/>
      <c r="B1665" s="78"/>
      <c r="C1665" s="189"/>
      <c r="D1665" s="185"/>
      <c r="E1665" s="186"/>
      <c r="F1665" s="187"/>
    </row>
    <row r="1666" spans="1:6" x14ac:dyDescent="0.2">
      <c r="A1666" s="275"/>
      <c r="B1666" s="78"/>
      <c r="C1666" s="189"/>
      <c r="D1666" s="185"/>
      <c r="E1666" s="186"/>
      <c r="F1666" s="187"/>
    </row>
    <row r="1667" spans="1:6" x14ac:dyDescent="0.2">
      <c r="A1667" s="275"/>
      <c r="B1667" s="78"/>
      <c r="C1667" s="189"/>
      <c r="D1667" s="185"/>
      <c r="E1667" s="186"/>
      <c r="F1667" s="187"/>
    </row>
    <row r="1668" spans="1:6" x14ac:dyDescent="0.2">
      <c r="A1668" s="275"/>
      <c r="B1668" s="78"/>
      <c r="C1668" s="189"/>
      <c r="D1668" s="185"/>
      <c r="E1668" s="186"/>
      <c r="F1668" s="187"/>
    </row>
    <row r="1669" spans="1:6" x14ac:dyDescent="0.2">
      <c r="A1669" s="275"/>
      <c r="B1669" s="78"/>
      <c r="C1669" s="189"/>
      <c r="D1669" s="185"/>
      <c r="E1669" s="186"/>
      <c r="F1669" s="187"/>
    </row>
    <row r="1670" spans="1:6" x14ac:dyDescent="0.2">
      <c r="A1670" s="275"/>
      <c r="B1670" s="78"/>
      <c r="C1670" s="189"/>
      <c r="D1670" s="185"/>
      <c r="E1670" s="186"/>
      <c r="F1670" s="187"/>
    </row>
    <row r="1671" spans="1:6" x14ac:dyDescent="0.2">
      <c r="A1671" s="275"/>
      <c r="B1671" s="78"/>
      <c r="C1671" s="189"/>
      <c r="D1671" s="185"/>
      <c r="E1671" s="186"/>
      <c r="F1671" s="187"/>
    </row>
    <row r="1672" spans="1:6" x14ac:dyDescent="0.2">
      <c r="A1672" s="275"/>
      <c r="B1672" s="78"/>
      <c r="C1672" s="189"/>
      <c r="D1672" s="185"/>
      <c r="E1672" s="186"/>
      <c r="F1672" s="187"/>
    </row>
    <row r="1673" spans="1:6" x14ac:dyDescent="0.2">
      <c r="A1673" s="275"/>
      <c r="B1673" s="78"/>
      <c r="C1673" s="189"/>
      <c r="D1673" s="185"/>
      <c r="E1673" s="186"/>
      <c r="F1673" s="187"/>
    </row>
    <row r="1674" spans="1:6" x14ac:dyDescent="0.2">
      <c r="A1674" s="275"/>
      <c r="B1674" s="78"/>
      <c r="C1674" s="189"/>
      <c r="D1674" s="185"/>
      <c r="E1674" s="186"/>
      <c r="F1674" s="187"/>
    </row>
    <row r="1675" spans="1:6" x14ac:dyDescent="0.2">
      <c r="A1675" s="275"/>
      <c r="B1675" s="78"/>
      <c r="C1675" s="189"/>
      <c r="D1675" s="185"/>
      <c r="E1675" s="186"/>
      <c r="F1675" s="187"/>
    </row>
    <row r="1676" spans="1:6" x14ac:dyDescent="0.2">
      <c r="A1676" s="275"/>
      <c r="B1676" s="78"/>
      <c r="C1676" s="189"/>
      <c r="D1676" s="185"/>
      <c r="E1676" s="186"/>
      <c r="F1676" s="187"/>
    </row>
    <row r="1677" spans="1:6" x14ac:dyDescent="0.2">
      <c r="A1677" s="275"/>
      <c r="B1677" s="78"/>
      <c r="C1677" s="189"/>
      <c r="D1677" s="185"/>
      <c r="E1677" s="186"/>
      <c r="F1677" s="187"/>
    </row>
    <row r="1678" spans="1:6" x14ac:dyDescent="0.2">
      <c r="A1678" s="275"/>
      <c r="B1678" s="78"/>
      <c r="C1678" s="189"/>
      <c r="D1678" s="185"/>
      <c r="E1678" s="186"/>
      <c r="F1678" s="187"/>
    </row>
    <row r="1679" spans="1:6" x14ac:dyDescent="0.2">
      <c r="A1679" s="275"/>
      <c r="B1679" s="78"/>
      <c r="C1679" s="189"/>
      <c r="D1679" s="185"/>
      <c r="E1679" s="186"/>
      <c r="F1679" s="187"/>
    </row>
    <row r="1680" spans="1:6" x14ac:dyDescent="0.2">
      <c r="A1680" s="275"/>
      <c r="B1680" s="78"/>
      <c r="C1680" s="189"/>
      <c r="D1680" s="185"/>
      <c r="E1680" s="186"/>
      <c r="F1680" s="187"/>
    </row>
    <row r="1681" spans="1:6" x14ac:dyDescent="0.2">
      <c r="A1681" s="275"/>
      <c r="B1681" s="78"/>
      <c r="C1681" s="189"/>
      <c r="D1681" s="185"/>
      <c r="E1681" s="186"/>
      <c r="F1681" s="187"/>
    </row>
    <row r="1682" spans="1:6" x14ac:dyDescent="0.2">
      <c r="A1682" s="275"/>
      <c r="B1682" s="78"/>
      <c r="C1682" s="189"/>
      <c r="D1682" s="185"/>
      <c r="E1682" s="186"/>
      <c r="F1682" s="187"/>
    </row>
    <row r="1683" spans="1:6" x14ac:dyDescent="0.2">
      <c r="A1683" s="275"/>
      <c r="B1683" s="78"/>
      <c r="C1683" s="189"/>
      <c r="D1683" s="185"/>
      <c r="E1683" s="186"/>
      <c r="F1683" s="187"/>
    </row>
    <row r="1684" spans="1:6" x14ac:dyDescent="0.2">
      <c r="A1684" s="275"/>
      <c r="B1684" s="78"/>
      <c r="C1684" s="189"/>
      <c r="D1684" s="185"/>
      <c r="E1684" s="186"/>
      <c r="F1684" s="187"/>
    </row>
    <row r="1685" spans="1:6" x14ac:dyDescent="0.2">
      <c r="A1685" s="275"/>
      <c r="B1685" s="78"/>
      <c r="C1685" s="189"/>
      <c r="D1685" s="185"/>
      <c r="E1685" s="186"/>
      <c r="F1685" s="187"/>
    </row>
    <row r="1686" spans="1:6" x14ac:dyDescent="0.2">
      <c r="A1686" s="275"/>
      <c r="B1686" s="78"/>
      <c r="C1686" s="189"/>
      <c r="D1686" s="185"/>
      <c r="E1686" s="186"/>
      <c r="F1686" s="187"/>
    </row>
    <row r="1687" spans="1:6" x14ac:dyDescent="0.2">
      <c r="A1687" s="275"/>
      <c r="B1687" s="78"/>
      <c r="C1687" s="189"/>
      <c r="D1687" s="185"/>
      <c r="E1687" s="186"/>
      <c r="F1687" s="187"/>
    </row>
    <row r="1688" spans="1:6" x14ac:dyDescent="0.2">
      <c r="A1688" s="275"/>
      <c r="B1688" s="78"/>
      <c r="C1688" s="189"/>
      <c r="D1688" s="185"/>
      <c r="E1688" s="186"/>
      <c r="F1688" s="187"/>
    </row>
    <row r="1689" spans="1:6" x14ac:dyDescent="0.2">
      <c r="A1689" s="275"/>
      <c r="B1689" s="78"/>
      <c r="C1689" s="189"/>
      <c r="D1689" s="185"/>
      <c r="E1689" s="186"/>
      <c r="F1689" s="187"/>
    </row>
    <row r="1690" spans="1:6" x14ac:dyDescent="0.2">
      <c r="A1690" s="275"/>
      <c r="B1690" s="78"/>
      <c r="C1690" s="189"/>
      <c r="D1690" s="185"/>
      <c r="E1690" s="186"/>
      <c r="F1690" s="187"/>
    </row>
    <row r="1691" spans="1:6" x14ac:dyDescent="0.2">
      <c r="A1691" s="275"/>
      <c r="B1691" s="78"/>
      <c r="C1691" s="189"/>
      <c r="D1691" s="185"/>
      <c r="E1691" s="186"/>
      <c r="F1691" s="187"/>
    </row>
    <row r="1692" spans="1:6" x14ac:dyDescent="0.2">
      <c r="A1692" s="275"/>
      <c r="B1692" s="78"/>
      <c r="C1692" s="189"/>
      <c r="D1692" s="185"/>
      <c r="E1692" s="186"/>
      <c r="F1692" s="187"/>
    </row>
    <row r="1693" spans="1:6" x14ac:dyDescent="0.2">
      <c r="A1693" s="275"/>
      <c r="B1693" s="78"/>
      <c r="C1693" s="189"/>
      <c r="D1693" s="185"/>
      <c r="E1693" s="186"/>
      <c r="F1693" s="187"/>
    </row>
    <row r="1694" spans="1:6" x14ac:dyDescent="0.2">
      <c r="A1694" s="275"/>
      <c r="B1694" s="78"/>
      <c r="C1694" s="189"/>
      <c r="D1694" s="185"/>
      <c r="E1694" s="186"/>
      <c r="F1694" s="187"/>
    </row>
    <row r="1695" spans="1:6" x14ac:dyDescent="0.2">
      <c r="A1695" s="275"/>
      <c r="B1695" s="78"/>
      <c r="C1695" s="189"/>
      <c r="D1695" s="185"/>
      <c r="E1695" s="186"/>
      <c r="F1695" s="187"/>
    </row>
    <row r="1696" spans="1:6" x14ac:dyDescent="0.2">
      <c r="A1696" s="275"/>
      <c r="B1696" s="78"/>
      <c r="C1696" s="189"/>
      <c r="D1696" s="185"/>
      <c r="E1696" s="186"/>
      <c r="F1696" s="187"/>
    </row>
    <row r="1697" spans="1:6" x14ac:dyDescent="0.2">
      <c r="A1697" s="275"/>
      <c r="B1697" s="78"/>
      <c r="C1697" s="189"/>
      <c r="D1697" s="185"/>
      <c r="E1697" s="186"/>
      <c r="F1697" s="187"/>
    </row>
    <row r="1698" spans="1:6" x14ac:dyDescent="0.2">
      <c r="A1698" s="275"/>
      <c r="B1698" s="78"/>
      <c r="C1698" s="189"/>
      <c r="D1698" s="185"/>
      <c r="E1698" s="186"/>
      <c r="F1698" s="187"/>
    </row>
    <row r="1699" spans="1:6" x14ac:dyDescent="0.2">
      <c r="A1699" s="275"/>
      <c r="B1699" s="78"/>
      <c r="C1699" s="189"/>
      <c r="D1699" s="185"/>
      <c r="E1699" s="186"/>
      <c r="F1699" s="187"/>
    </row>
    <row r="1700" spans="1:6" x14ac:dyDescent="0.2">
      <c r="A1700" s="275"/>
      <c r="B1700" s="78"/>
      <c r="C1700" s="189"/>
      <c r="D1700" s="185"/>
      <c r="E1700" s="186"/>
      <c r="F1700" s="187"/>
    </row>
    <row r="1701" spans="1:6" x14ac:dyDescent="0.2">
      <c r="A1701" s="275"/>
      <c r="B1701" s="78"/>
      <c r="C1701" s="189"/>
      <c r="D1701" s="185"/>
      <c r="E1701" s="186"/>
      <c r="F1701" s="187"/>
    </row>
    <row r="1702" spans="1:6" x14ac:dyDescent="0.2">
      <c r="A1702" s="275"/>
      <c r="B1702" s="78"/>
      <c r="C1702" s="189"/>
      <c r="D1702" s="185"/>
      <c r="E1702" s="186"/>
      <c r="F1702" s="187"/>
    </row>
    <row r="1703" spans="1:6" x14ac:dyDescent="0.2">
      <c r="A1703" s="275"/>
      <c r="B1703" s="78"/>
      <c r="C1703" s="189"/>
      <c r="D1703" s="185"/>
      <c r="E1703" s="186"/>
      <c r="F1703" s="187"/>
    </row>
    <row r="1704" spans="1:6" x14ac:dyDescent="0.2">
      <c r="A1704" s="275"/>
      <c r="B1704" s="78"/>
      <c r="C1704" s="189"/>
      <c r="D1704" s="185"/>
      <c r="E1704" s="186"/>
      <c r="F1704" s="187"/>
    </row>
    <row r="1705" spans="1:6" x14ac:dyDescent="0.2">
      <c r="A1705" s="275"/>
      <c r="B1705" s="78"/>
      <c r="C1705" s="189"/>
      <c r="D1705" s="185"/>
      <c r="E1705" s="186"/>
      <c r="F1705" s="187"/>
    </row>
    <row r="1706" spans="1:6" x14ac:dyDescent="0.2">
      <c r="A1706" s="275"/>
      <c r="B1706" s="78"/>
      <c r="C1706" s="189"/>
      <c r="D1706" s="185"/>
      <c r="E1706" s="186"/>
      <c r="F1706" s="187"/>
    </row>
    <row r="1707" spans="1:6" x14ac:dyDescent="0.2">
      <c r="A1707" s="275"/>
      <c r="B1707" s="78"/>
      <c r="C1707" s="189"/>
      <c r="D1707" s="185"/>
      <c r="E1707" s="186"/>
      <c r="F1707" s="187"/>
    </row>
    <row r="1708" spans="1:6" x14ac:dyDescent="0.2">
      <c r="A1708" s="275"/>
      <c r="B1708" s="78"/>
      <c r="C1708" s="189"/>
      <c r="D1708" s="185"/>
      <c r="E1708" s="186"/>
      <c r="F1708" s="187"/>
    </row>
    <row r="1709" spans="1:6" x14ac:dyDescent="0.2">
      <c r="A1709" s="275"/>
      <c r="B1709" s="78"/>
      <c r="C1709" s="189"/>
      <c r="D1709" s="185"/>
      <c r="E1709" s="186"/>
      <c r="F1709" s="187"/>
    </row>
    <row r="1710" spans="1:6" x14ac:dyDescent="0.2">
      <c r="A1710" s="275"/>
      <c r="B1710" s="78"/>
      <c r="C1710" s="189"/>
      <c r="D1710" s="185"/>
      <c r="E1710" s="186"/>
      <c r="F1710" s="187"/>
    </row>
    <row r="1711" spans="1:6" x14ac:dyDescent="0.2">
      <c r="A1711" s="275"/>
      <c r="B1711" s="78"/>
      <c r="C1711" s="189"/>
      <c r="D1711" s="185"/>
      <c r="E1711" s="186"/>
      <c r="F1711" s="187"/>
    </row>
    <row r="1712" spans="1:6" x14ac:dyDescent="0.2">
      <c r="A1712" s="275"/>
      <c r="B1712" s="78"/>
      <c r="C1712" s="189"/>
      <c r="D1712" s="185"/>
      <c r="E1712" s="186"/>
      <c r="F1712" s="187"/>
    </row>
    <row r="1713" spans="1:6" x14ac:dyDescent="0.2">
      <c r="A1713" s="275"/>
      <c r="B1713" s="78"/>
      <c r="C1713" s="189"/>
      <c r="D1713" s="185"/>
      <c r="E1713" s="186"/>
      <c r="F1713" s="187"/>
    </row>
    <row r="1714" spans="1:6" x14ac:dyDescent="0.2">
      <c r="A1714" s="275"/>
      <c r="B1714" s="78"/>
      <c r="C1714" s="189"/>
      <c r="D1714" s="185"/>
      <c r="E1714" s="186"/>
      <c r="F1714" s="187"/>
    </row>
    <row r="1715" spans="1:6" x14ac:dyDescent="0.2">
      <c r="A1715" s="275"/>
      <c r="B1715" s="78"/>
      <c r="C1715" s="189"/>
      <c r="D1715" s="185"/>
      <c r="E1715" s="186"/>
      <c r="F1715" s="187"/>
    </row>
    <row r="1716" spans="1:6" x14ac:dyDescent="0.2">
      <c r="A1716" s="275"/>
      <c r="B1716" s="78"/>
      <c r="C1716" s="189"/>
      <c r="D1716" s="185"/>
      <c r="E1716" s="186"/>
      <c r="F1716" s="187"/>
    </row>
    <row r="1717" spans="1:6" x14ac:dyDescent="0.2">
      <c r="A1717" s="275"/>
      <c r="B1717" s="78"/>
      <c r="C1717" s="189"/>
      <c r="D1717" s="185"/>
      <c r="E1717" s="186"/>
      <c r="F1717" s="187"/>
    </row>
    <row r="1718" spans="1:6" x14ac:dyDescent="0.2">
      <c r="A1718" s="275"/>
      <c r="B1718" s="78"/>
      <c r="C1718" s="189"/>
      <c r="D1718" s="185"/>
      <c r="E1718" s="186"/>
      <c r="F1718" s="187"/>
    </row>
    <row r="1719" spans="1:6" x14ac:dyDescent="0.2">
      <c r="A1719" s="275"/>
      <c r="B1719" s="78"/>
      <c r="C1719" s="189"/>
      <c r="D1719" s="185"/>
      <c r="E1719" s="186"/>
      <c r="F1719" s="187"/>
    </row>
    <row r="1720" spans="1:6" x14ac:dyDescent="0.2">
      <c r="A1720" s="275"/>
      <c r="B1720" s="78"/>
      <c r="C1720" s="189"/>
      <c r="D1720" s="185"/>
      <c r="E1720" s="186"/>
      <c r="F1720" s="187"/>
    </row>
    <row r="1721" spans="1:6" x14ac:dyDescent="0.2">
      <c r="A1721" s="275"/>
      <c r="B1721" s="78"/>
      <c r="C1721" s="189"/>
      <c r="D1721" s="185"/>
      <c r="E1721" s="186"/>
      <c r="F1721" s="187"/>
    </row>
    <row r="1722" spans="1:6" x14ac:dyDescent="0.2">
      <c r="A1722" s="275"/>
      <c r="B1722" s="78"/>
      <c r="C1722" s="189"/>
      <c r="D1722" s="185"/>
      <c r="E1722" s="186"/>
      <c r="F1722" s="187"/>
    </row>
    <row r="1723" spans="1:6" x14ac:dyDescent="0.2">
      <c r="A1723" s="275"/>
      <c r="B1723" s="78"/>
      <c r="C1723" s="189"/>
      <c r="D1723" s="185"/>
      <c r="E1723" s="186"/>
      <c r="F1723" s="187"/>
    </row>
    <row r="1724" spans="1:6" x14ac:dyDescent="0.2">
      <c r="A1724" s="275"/>
      <c r="B1724" s="78"/>
      <c r="C1724" s="189"/>
      <c r="D1724" s="185"/>
      <c r="E1724" s="186"/>
      <c r="F1724" s="187"/>
    </row>
    <row r="1725" spans="1:6" x14ac:dyDescent="0.2">
      <c r="A1725" s="275"/>
      <c r="B1725" s="78"/>
      <c r="C1725" s="189"/>
      <c r="D1725" s="185"/>
      <c r="E1725" s="186"/>
      <c r="F1725" s="187"/>
    </row>
    <row r="1726" spans="1:6" x14ac:dyDescent="0.2">
      <c r="A1726" s="275"/>
      <c r="B1726" s="78"/>
      <c r="C1726" s="189"/>
      <c r="D1726" s="185"/>
      <c r="E1726" s="186"/>
      <c r="F1726" s="187"/>
    </row>
    <row r="1727" spans="1:6" x14ac:dyDescent="0.2">
      <c r="A1727" s="275"/>
      <c r="B1727" s="78"/>
      <c r="C1727" s="189"/>
      <c r="D1727" s="185"/>
      <c r="E1727" s="186"/>
      <c r="F1727" s="187"/>
    </row>
    <row r="1728" spans="1:6" x14ac:dyDescent="0.2">
      <c r="A1728" s="275"/>
      <c r="B1728" s="78"/>
      <c r="C1728" s="189"/>
      <c r="D1728" s="185"/>
      <c r="E1728" s="186"/>
      <c r="F1728" s="187"/>
    </row>
    <row r="1729" spans="1:6" x14ac:dyDescent="0.2">
      <c r="A1729" s="275"/>
      <c r="B1729" s="78"/>
      <c r="C1729" s="189"/>
      <c r="D1729" s="185"/>
      <c r="E1729" s="186"/>
      <c r="F1729" s="187"/>
    </row>
    <row r="1730" spans="1:6" x14ac:dyDescent="0.2">
      <c r="A1730" s="275"/>
      <c r="B1730" s="78"/>
      <c r="C1730" s="189"/>
      <c r="D1730" s="185"/>
      <c r="E1730" s="186"/>
      <c r="F1730" s="187"/>
    </row>
    <row r="1731" spans="1:6" x14ac:dyDescent="0.2">
      <c r="A1731" s="275"/>
      <c r="B1731" s="78"/>
      <c r="C1731" s="189"/>
      <c r="D1731" s="185"/>
      <c r="E1731" s="186"/>
      <c r="F1731" s="187"/>
    </row>
    <row r="1732" spans="1:6" x14ac:dyDescent="0.2">
      <c r="A1732" s="275"/>
      <c r="B1732" s="78"/>
      <c r="C1732" s="189"/>
      <c r="D1732" s="185"/>
      <c r="E1732" s="186"/>
      <c r="F1732" s="187"/>
    </row>
    <row r="1733" spans="1:6" x14ac:dyDescent="0.2">
      <c r="A1733" s="275"/>
      <c r="B1733" s="78"/>
      <c r="C1733" s="189"/>
      <c r="D1733" s="185"/>
      <c r="E1733" s="186"/>
      <c r="F1733" s="187"/>
    </row>
    <row r="1734" spans="1:6" x14ac:dyDescent="0.2">
      <c r="A1734" s="275"/>
      <c r="B1734" s="78"/>
      <c r="C1734" s="189"/>
      <c r="D1734" s="185"/>
      <c r="E1734" s="186"/>
      <c r="F1734" s="187"/>
    </row>
    <row r="1735" spans="1:6" x14ac:dyDescent="0.2">
      <c r="A1735" s="275"/>
      <c r="B1735" s="78"/>
      <c r="C1735" s="189"/>
      <c r="D1735" s="185"/>
      <c r="E1735" s="186"/>
      <c r="F1735" s="187"/>
    </row>
    <row r="1736" spans="1:6" x14ac:dyDescent="0.2">
      <c r="A1736" s="275"/>
      <c r="B1736" s="78"/>
      <c r="C1736" s="189"/>
      <c r="D1736" s="185"/>
      <c r="E1736" s="186"/>
      <c r="F1736" s="187"/>
    </row>
    <row r="1737" spans="1:6" x14ac:dyDescent="0.2">
      <c r="A1737" s="275"/>
      <c r="B1737" s="78"/>
      <c r="C1737" s="189"/>
      <c r="D1737" s="185"/>
      <c r="E1737" s="186"/>
      <c r="F1737" s="187"/>
    </row>
    <row r="1738" spans="1:6" x14ac:dyDescent="0.2">
      <c r="A1738" s="275"/>
      <c r="B1738" s="78"/>
      <c r="C1738" s="189"/>
      <c r="D1738" s="185"/>
      <c r="E1738" s="186"/>
      <c r="F1738" s="187"/>
    </row>
    <row r="1739" spans="1:6" x14ac:dyDescent="0.2">
      <c r="A1739" s="275"/>
      <c r="B1739" s="78"/>
      <c r="C1739" s="189"/>
      <c r="D1739" s="185"/>
      <c r="E1739" s="186"/>
      <c r="F1739" s="187"/>
    </row>
    <row r="1740" spans="1:6" x14ac:dyDescent="0.2">
      <c r="A1740" s="275"/>
      <c r="B1740" s="78"/>
      <c r="C1740" s="189"/>
      <c r="D1740" s="185"/>
      <c r="E1740" s="186"/>
      <c r="F1740" s="187"/>
    </row>
    <row r="1741" spans="1:6" x14ac:dyDescent="0.2">
      <c r="A1741" s="275"/>
      <c r="B1741" s="78"/>
      <c r="C1741" s="189"/>
      <c r="D1741" s="185"/>
      <c r="E1741" s="186"/>
      <c r="F1741" s="187"/>
    </row>
    <row r="1742" spans="1:6" x14ac:dyDescent="0.2">
      <c r="A1742" s="275"/>
      <c r="B1742" s="78"/>
      <c r="C1742" s="189"/>
      <c r="D1742" s="185"/>
      <c r="E1742" s="186"/>
      <c r="F1742" s="187"/>
    </row>
    <row r="1743" spans="1:6" x14ac:dyDescent="0.2">
      <c r="A1743" s="275"/>
      <c r="B1743" s="78"/>
      <c r="C1743" s="189"/>
      <c r="D1743" s="185"/>
      <c r="E1743" s="186"/>
      <c r="F1743" s="187"/>
    </row>
    <row r="1744" spans="1:6" x14ac:dyDescent="0.2">
      <c r="A1744" s="275"/>
      <c r="B1744" s="78"/>
      <c r="C1744" s="189"/>
      <c r="D1744" s="185"/>
      <c r="E1744" s="186"/>
      <c r="F1744" s="187"/>
    </row>
    <row r="1745" spans="1:6" x14ac:dyDescent="0.2">
      <c r="A1745" s="275"/>
      <c r="B1745" s="78"/>
      <c r="C1745" s="189"/>
      <c r="D1745" s="185"/>
      <c r="E1745" s="186"/>
      <c r="F1745" s="187"/>
    </row>
    <row r="1746" spans="1:6" x14ac:dyDescent="0.2">
      <c r="A1746" s="275"/>
      <c r="B1746" s="78"/>
      <c r="C1746" s="189"/>
      <c r="D1746" s="185"/>
      <c r="E1746" s="186"/>
      <c r="F1746" s="187"/>
    </row>
    <row r="1747" spans="1:6" x14ac:dyDescent="0.2">
      <c r="A1747" s="275"/>
      <c r="B1747" s="78"/>
      <c r="C1747" s="189"/>
      <c r="D1747" s="185"/>
      <c r="E1747" s="186"/>
      <c r="F1747" s="187"/>
    </row>
    <row r="1748" spans="1:6" x14ac:dyDescent="0.2">
      <c r="A1748" s="275"/>
      <c r="B1748" s="78"/>
      <c r="C1748" s="189"/>
      <c r="D1748" s="185"/>
      <c r="E1748" s="186"/>
      <c r="F1748" s="187"/>
    </row>
    <row r="1749" spans="1:6" x14ac:dyDescent="0.2">
      <c r="A1749" s="275"/>
      <c r="B1749" s="78"/>
      <c r="C1749" s="189"/>
      <c r="D1749" s="185"/>
      <c r="E1749" s="186"/>
      <c r="F1749" s="187"/>
    </row>
    <row r="1750" spans="1:6" x14ac:dyDescent="0.2">
      <c r="A1750" s="275"/>
      <c r="B1750" s="78"/>
      <c r="C1750" s="189"/>
      <c r="D1750" s="185"/>
      <c r="E1750" s="186"/>
      <c r="F1750" s="187"/>
    </row>
    <row r="1751" spans="1:6" x14ac:dyDescent="0.2">
      <c r="A1751" s="275"/>
      <c r="B1751" s="78"/>
      <c r="C1751" s="189"/>
      <c r="D1751" s="185"/>
      <c r="E1751" s="186"/>
      <c r="F1751" s="187"/>
    </row>
    <row r="1752" spans="1:6" x14ac:dyDescent="0.2">
      <c r="A1752" s="275"/>
      <c r="B1752" s="78"/>
      <c r="C1752" s="189"/>
      <c r="D1752" s="185"/>
      <c r="E1752" s="186"/>
      <c r="F1752" s="187"/>
    </row>
    <row r="1753" spans="1:6" x14ac:dyDescent="0.2">
      <c r="A1753" s="275"/>
      <c r="B1753" s="78"/>
      <c r="C1753" s="189"/>
      <c r="D1753" s="185"/>
      <c r="E1753" s="186"/>
      <c r="F1753" s="187"/>
    </row>
    <row r="1754" spans="1:6" x14ac:dyDescent="0.2">
      <c r="A1754" s="275"/>
      <c r="B1754" s="78"/>
      <c r="C1754" s="189"/>
      <c r="D1754" s="185"/>
      <c r="E1754" s="186"/>
      <c r="F1754" s="187"/>
    </row>
    <row r="1755" spans="1:6" x14ac:dyDescent="0.2">
      <c r="A1755" s="275"/>
      <c r="B1755" s="78"/>
      <c r="C1755" s="189"/>
      <c r="D1755" s="185"/>
      <c r="E1755" s="186"/>
      <c r="F1755" s="187"/>
    </row>
    <row r="1756" spans="1:6" x14ac:dyDescent="0.2">
      <c r="A1756" s="275"/>
      <c r="B1756" s="78"/>
      <c r="C1756" s="189"/>
      <c r="D1756" s="185"/>
      <c r="E1756" s="186"/>
      <c r="F1756" s="187"/>
    </row>
    <row r="1757" spans="1:6" x14ac:dyDescent="0.2">
      <c r="A1757" s="275"/>
      <c r="B1757" s="78"/>
      <c r="C1757" s="189"/>
      <c r="D1757" s="185"/>
      <c r="E1757" s="186"/>
      <c r="F1757" s="187"/>
    </row>
    <row r="1758" spans="1:6" x14ac:dyDescent="0.2">
      <c r="A1758" s="275"/>
      <c r="B1758" s="78"/>
      <c r="C1758" s="189"/>
      <c r="D1758" s="185"/>
      <c r="E1758" s="186"/>
      <c r="F1758" s="187"/>
    </row>
    <row r="1759" spans="1:6" x14ac:dyDescent="0.2">
      <c r="A1759" s="275"/>
      <c r="B1759" s="78"/>
      <c r="C1759" s="189"/>
      <c r="D1759" s="185"/>
      <c r="E1759" s="186"/>
      <c r="F1759" s="187"/>
    </row>
    <row r="1760" spans="1:6" x14ac:dyDescent="0.2">
      <c r="A1760" s="275"/>
      <c r="B1760" s="78"/>
      <c r="C1760" s="189"/>
      <c r="D1760" s="185"/>
      <c r="E1760" s="186"/>
      <c r="F1760" s="187"/>
    </row>
    <row r="1761" spans="1:6" x14ac:dyDescent="0.2">
      <c r="A1761" s="275"/>
      <c r="B1761" s="78"/>
      <c r="C1761" s="189"/>
      <c r="D1761" s="185"/>
      <c r="E1761" s="186"/>
      <c r="F1761" s="187"/>
    </row>
    <row r="1762" spans="1:6" x14ac:dyDescent="0.2">
      <c r="A1762" s="275"/>
      <c r="B1762" s="78"/>
      <c r="C1762" s="189"/>
      <c r="D1762" s="185"/>
      <c r="E1762" s="186"/>
      <c r="F1762" s="187"/>
    </row>
    <row r="1763" spans="1:6" x14ac:dyDescent="0.2">
      <c r="A1763" s="275"/>
      <c r="B1763" s="78"/>
      <c r="C1763" s="189"/>
      <c r="D1763" s="185"/>
      <c r="E1763" s="186"/>
      <c r="F1763" s="187"/>
    </row>
    <row r="1764" spans="1:6" x14ac:dyDescent="0.2">
      <c r="A1764" s="275"/>
      <c r="B1764" s="78"/>
      <c r="C1764" s="189"/>
      <c r="D1764" s="185"/>
      <c r="E1764" s="186"/>
      <c r="F1764" s="187"/>
    </row>
    <row r="1765" spans="1:6" x14ac:dyDescent="0.2">
      <c r="A1765" s="275"/>
      <c r="B1765" s="78"/>
      <c r="C1765" s="189"/>
      <c r="D1765" s="185"/>
      <c r="E1765" s="186"/>
      <c r="F1765" s="187"/>
    </row>
    <row r="1766" spans="1:6" x14ac:dyDescent="0.2">
      <c r="A1766" s="275"/>
      <c r="B1766" s="78"/>
      <c r="C1766" s="189"/>
      <c r="D1766" s="185"/>
      <c r="E1766" s="186"/>
      <c r="F1766" s="187"/>
    </row>
    <row r="1767" spans="1:6" x14ac:dyDescent="0.2">
      <c r="A1767" s="275"/>
      <c r="B1767" s="78"/>
      <c r="C1767" s="189"/>
      <c r="D1767" s="185"/>
      <c r="E1767" s="186"/>
      <c r="F1767" s="187"/>
    </row>
    <row r="1768" spans="1:6" x14ac:dyDescent="0.2">
      <c r="A1768" s="275"/>
      <c r="B1768" s="78"/>
      <c r="C1768" s="189"/>
      <c r="D1768" s="185"/>
      <c r="E1768" s="186"/>
      <c r="F1768" s="187"/>
    </row>
    <row r="1769" spans="1:6" x14ac:dyDescent="0.2">
      <c r="A1769" s="275"/>
      <c r="B1769" s="78"/>
      <c r="C1769" s="189"/>
      <c r="D1769" s="185"/>
      <c r="E1769" s="186"/>
      <c r="F1769" s="187"/>
    </row>
    <row r="1770" spans="1:6" x14ac:dyDescent="0.2">
      <c r="A1770" s="275"/>
      <c r="B1770" s="78"/>
      <c r="C1770" s="189"/>
      <c r="D1770" s="185"/>
      <c r="E1770" s="186"/>
      <c r="F1770" s="187"/>
    </row>
    <row r="1771" spans="1:6" x14ac:dyDescent="0.2">
      <c r="A1771" s="275"/>
      <c r="B1771" s="78"/>
      <c r="C1771" s="189"/>
      <c r="D1771" s="185"/>
      <c r="E1771" s="186"/>
      <c r="F1771" s="187"/>
    </row>
    <row r="1772" spans="1:6" x14ac:dyDescent="0.2">
      <c r="A1772" s="275"/>
      <c r="B1772" s="78"/>
      <c r="C1772" s="189"/>
      <c r="D1772" s="185"/>
      <c r="E1772" s="186"/>
      <c r="F1772" s="187"/>
    </row>
    <row r="1773" spans="1:6" x14ac:dyDescent="0.2">
      <c r="A1773" s="275"/>
      <c r="B1773" s="78"/>
      <c r="C1773" s="189"/>
      <c r="D1773" s="185"/>
      <c r="E1773" s="186"/>
      <c r="F1773" s="187"/>
    </row>
    <row r="1774" spans="1:6" x14ac:dyDescent="0.2">
      <c r="A1774" s="275"/>
      <c r="B1774" s="78"/>
      <c r="C1774" s="189"/>
      <c r="D1774" s="185"/>
      <c r="E1774" s="186"/>
      <c r="F1774" s="187"/>
    </row>
    <row r="1775" spans="1:6" x14ac:dyDescent="0.2">
      <c r="A1775" s="275"/>
      <c r="B1775" s="78"/>
      <c r="C1775" s="189"/>
      <c r="D1775" s="185"/>
      <c r="E1775" s="186"/>
      <c r="F1775" s="187"/>
    </row>
    <row r="1776" spans="1:6" x14ac:dyDescent="0.2">
      <c r="A1776" s="275"/>
      <c r="B1776" s="78"/>
      <c r="C1776" s="189"/>
      <c r="D1776" s="185"/>
      <c r="E1776" s="186"/>
      <c r="F1776" s="187"/>
    </row>
    <row r="1777" spans="1:6" x14ac:dyDescent="0.2">
      <c r="A1777" s="275"/>
      <c r="B1777" s="78"/>
      <c r="C1777" s="189"/>
      <c r="D1777" s="185"/>
      <c r="E1777" s="186"/>
      <c r="F1777" s="187"/>
    </row>
    <row r="1778" spans="1:6" x14ac:dyDescent="0.2">
      <c r="A1778" s="275"/>
      <c r="B1778" s="78"/>
      <c r="C1778" s="189"/>
      <c r="D1778" s="185"/>
      <c r="E1778" s="186"/>
      <c r="F1778" s="187"/>
    </row>
    <row r="1779" spans="1:6" x14ac:dyDescent="0.2">
      <c r="A1779" s="275"/>
      <c r="B1779" s="78"/>
      <c r="C1779" s="189"/>
      <c r="D1779" s="185"/>
      <c r="E1779" s="186"/>
      <c r="F1779" s="187"/>
    </row>
    <row r="1780" spans="1:6" x14ac:dyDescent="0.2">
      <c r="A1780" s="275"/>
      <c r="B1780" s="78"/>
      <c r="C1780" s="189"/>
      <c r="D1780" s="185"/>
      <c r="E1780" s="186"/>
      <c r="F1780" s="187"/>
    </row>
    <row r="1781" spans="1:6" x14ac:dyDescent="0.2">
      <c r="A1781" s="275"/>
      <c r="B1781" s="78"/>
      <c r="C1781" s="189"/>
      <c r="D1781" s="185"/>
      <c r="E1781" s="186"/>
      <c r="F1781" s="187"/>
    </row>
    <row r="1782" spans="1:6" x14ac:dyDescent="0.2">
      <c r="A1782" s="275"/>
      <c r="B1782" s="78"/>
      <c r="C1782" s="189"/>
      <c r="D1782" s="185"/>
      <c r="E1782" s="186"/>
      <c r="F1782" s="187"/>
    </row>
    <row r="1783" spans="1:6" x14ac:dyDescent="0.2">
      <c r="A1783" s="275"/>
      <c r="B1783" s="78"/>
      <c r="C1783" s="189"/>
      <c r="D1783" s="185"/>
      <c r="E1783" s="186"/>
      <c r="F1783" s="187"/>
    </row>
    <row r="1784" spans="1:6" x14ac:dyDescent="0.2">
      <c r="A1784" s="275"/>
      <c r="B1784" s="78"/>
      <c r="C1784" s="189"/>
      <c r="D1784" s="185"/>
      <c r="E1784" s="186"/>
      <c r="F1784" s="187"/>
    </row>
    <row r="1785" spans="1:6" x14ac:dyDescent="0.2">
      <c r="A1785" s="275"/>
      <c r="B1785" s="78"/>
      <c r="C1785" s="189"/>
      <c r="D1785" s="185"/>
      <c r="E1785" s="186"/>
      <c r="F1785" s="187"/>
    </row>
    <row r="1786" spans="1:6" x14ac:dyDescent="0.2">
      <c r="A1786" s="275"/>
      <c r="B1786" s="78"/>
      <c r="C1786" s="189"/>
      <c r="D1786" s="185"/>
      <c r="E1786" s="186"/>
      <c r="F1786" s="187"/>
    </row>
    <row r="1787" spans="1:6" x14ac:dyDescent="0.2">
      <c r="A1787" s="275"/>
      <c r="B1787" s="78"/>
      <c r="C1787" s="189"/>
      <c r="D1787" s="185"/>
      <c r="E1787" s="186"/>
      <c r="F1787" s="187"/>
    </row>
    <row r="1788" spans="1:6" x14ac:dyDescent="0.2">
      <c r="A1788" s="275"/>
      <c r="B1788" s="78"/>
      <c r="C1788" s="189"/>
      <c r="D1788" s="185"/>
      <c r="E1788" s="186"/>
      <c r="F1788" s="187"/>
    </row>
    <row r="1789" spans="1:6" x14ac:dyDescent="0.2">
      <c r="A1789" s="275"/>
      <c r="B1789" s="78"/>
      <c r="C1789" s="189"/>
      <c r="D1789" s="185"/>
      <c r="E1789" s="186"/>
      <c r="F1789" s="187"/>
    </row>
    <row r="1790" spans="1:6" x14ac:dyDescent="0.2">
      <c r="A1790" s="275"/>
      <c r="B1790" s="78"/>
      <c r="C1790" s="189"/>
      <c r="D1790" s="185"/>
      <c r="E1790" s="186"/>
      <c r="F1790" s="187"/>
    </row>
    <row r="1791" spans="1:6" x14ac:dyDescent="0.2">
      <c r="A1791" s="275"/>
      <c r="B1791" s="78"/>
      <c r="C1791" s="189"/>
      <c r="D1791" s="185"/>
      <c r="E1791" s="186"/>
      <c r="F1791" s="187"/>
    </row>
    <row r="1792" spans="1:6" x14ac:dyDescent="0.2">
      <c r="A1792" s="275"/>
      <c r="B1792" s="78"/>
      <c r="C1792" s="189"/>
      <c r="D1792" s="185"/>
      <c r="E1792" s="186"/>
      <c r="F1792" s="187"/>
    </row>
    <row r="1793" spans="1:6" x14ac:dyDescent="0.2">
      <c r="A1793" s="275"/>
      <c r="B1793" s="78"/>
      <c r="C1793" s="189"/>
      <c r="D1793" s="185"/>
      <c r="E1793" s="186"/>
      <c r="F1793" s="187"/>
    </row>
    <row r="1794" spans="1:6" x14ac:dyDescent="0.2">
      <c r="A1794" s="275"/>
      <c r="B1794" s="78"/>
      <c r="C1794" s="189"/>
      <c r="D1794" s="185"/>
      <c r="E1794" s="186"/>
      <c r="F1794" s="187"/>
    </row>
    <row r="1795" spans="1:6" x14ac:dyDescent="0.2">
      <c r="A1795" s="275"/>
      <c r="B1795" s="78"/>
      <c r="C1795" s="189"/>
      <c r="D1795" s="185"/>
      <c r="E1795" s="186"/>
      <c r="F1795" s="187"/>
    </row>
    <row r="1796" spans="1:6" x14ac:dyDescent="0.2">
      <c r="A1796" s="275"/>
      <c r="B1796" s="78"/>
      <c r="C1796" s="189"/>
      <c r="D1796" s="185"/>
      <c r="E1796" s="186"/>
      <c r="F1796" s="187"/>
    </row>
    <row r="1797" spans="1:6" x14ac:dyDescent="0.2">
      <c r="A1797" s="275"/>
      <c r="B1797" s="78"/>
      <c r="C1797" s="189"/>
      <c r="D1797" s="185"/>
      <c r="E1797" s="186"/>
      <c r="F1797" s="187"/>
    </row>
    <row r="1798" spans="1:6" x14ac:dyDescent="0.2">
      <c r="A1798" s="275"/>
      <c r="B1798" s="78"/>
      <c r="C1798" s="189"/>
      <c r="D1798" s="185"/>
      <c r="E1798" s="186"/>
      <c r="F1798" s="187"/>
    </row>
    <row r="1799" spans="1:6" x14ac:dyDescent="0.2">
      <c r="A1799" s="275"/>
      <c r="B1799" s="78"/>
      <c r="C1799" s="189"/>
      <c r="D1799" s="185"/>
      <c r="E1799" s="186"/>
      <c r="F1799" s="187"/>
    </row>
    <row r="1800" spans="1:6" x14ac:dyDescent="0.2">
      <c r="A1800" s="275"/>
      <c r="B1800" s="78"/>
      <c r="C1800" s="189"/>
      <c r="D1800" s="185"/>
      <c r="E1800" s="186"/>
      <c r="F1800" s="187"/>
    </row>
    <row r="1801" spans="1:6" x14ac:dyDescent="0.2">
      <c r="A1801" s="275"/>
      <c r="B1801" s="78"/>
      <c r="C1801" s="189"/>
      <c r="D1801" s="185"/>
      <c r="E1801" s="186"/>
      <c r="F1801" s="187"/>
    </row>
    <row r="1802" spans="1:6" x14ac:dyDescent="0.2">
      <c r="A1802" s="275"/>
      <c r="B1802" s="78"/>
      <c r="C1802" s="189"/>
      <c r="D1802" s="185"/>
      <c r="E1802" s="186"/>
      <c r="F1802" s="187"/>
    </row>
    <row r="1803" spans="1:6" x14ac:dyDescent="0.2">
      <c r="A1803" s="275"/>
      <c r="B1803" s="78"/>
      <c r="C1803" s="189"/>
      <c r="D1803" s="185"/>
      <c r="E1803" s="186"/>
      <c r="F1803" s="187"/>
    </row>
    <row r="1804" spans="1:6" x14ac:dyDescent="0.2">
      <c r="A1804" s="275"/>
      <c r="B1804" s="78"/>
      <c r="C1804" s="189"/>
      <c r="D1804" s="185"/>
      <c r="E1804" s="186"/>
      <c r="F1804" s="187"/>
    </row>
    <row r="1805" spans="1:6" x14ac:dyDescent="0.2">
      <c r="A1805" s="275"/>
      <c r="B1805" s="78"/>
      <c r="C1805" s="189"/>
      <c r="D1805" s="185"/>
      <c r="E1805" s="186"/>
      <c r="F1805" s="187"/>
    </row>
    <row r="1806" spans="1:6" x14ac:dyDescent="0.2">
      <c r="A1806" s="275"/>
      <c r="B1806" s="78"/>
      <c r="C1806" s="189"/>
      <c r="D1806" s="185"/>
      <c r="E1806" s="186"/>
      <c r="F1806" s="187"/>
    </row>
    <row r="1807" spans="1:6" x14ac:dyDescent="0.2">
      <c r="A1807" s="275"/>
      <c r="B1807" s="78"/>
      <c r="C1807" s="189"/>
      <c r="D1807" s="185"/>
      <c r="E1807" s="186"/>
      <c r="F1807" s="187"/>
    </row>
    <row r="1808" spans="1:6" x14ac:dyDescent="0.2">
      <c r="A1808" s="275"/>
      <c r="B1808" s="78"/>
      <c r="C1808" s="189"/>
      <c r="D1808" s="185"/>
      <c r="E1808" s="186"/>
      <c r="F1808" s="187"/>
    </row>
    <row r="1809" spans="1:6" x14ac:dyDescent="0.2">
      <c r="A1809" s="275"/>
      <c r="B1809" s="78"/>
      <c r="C1809" s="189"/>
      <c r="D1809" s="185"/>
      <c r="E1809" s="186"/>
      <c r="F1809" s="187"/>
    </row>
    <row r="1810" spans="1:6" x14ac:dyDescent="0.2">
      <c r="A1810" s="275"/>
      <c r="B1810" s="78"/>
      <c r="C1810" s="189"/>
      <c r="D1810" s="185"/>
      <c r="E1810" s="186"/>
      <c r="F1810" s="187"/>
    </row>
    <row r="1811" spans="1:6" x14ac:dyDescent="0.2">
      <c r="A1811" s="275"/>
      <c r="B1811" s="78"/>
      <c r="C1811" s="189"/>
      <c r="D1811" s="185"/>
      <c r="E1811" s="186"/>
      <c r="F1811" s="187"/>
    </row>
    <row r="1812" spans="1:6" x14ac:dyDescent="0.2">
      <c r="A1812" s="275"/>
      <c r="B1812" s="78"/>
      <c r="C1812" s="189"/>
      <c r="D1812" s="185"/>
      <c r="E1812" s="186"/>
      <c r="F1812" s="187"/>
    </row>
    <row r="1813" spans="1:6" x14ac:dyDescent="0.2">
      <c r="A1813" s="275"/>
      <c r="B1813" s="78"/>
      <c r="C1813" s="189"/>
      <c r="D1813" s="185"/>
      <c r="E1813" s="186"/>
      <c r="F1813" s="187"/>
    </row>
    <row r="1814" spans="1:6" x14ac:dyDescent="0.2">
      <c r="A1814" s="275"/>
      <c r="B1814" s="78"/>
      <c r="C1814" s="189"/>
      <c r="D1814" s="185"/>
      <c r="E1814" s="186"/>
      <c r="F1814" s="187"/>
    </row>
    <row r="1815" spans="1:6" x14ac:dyDescent="0.2">
      <c r="A1815" s="275"/>
      <c r="B1815" s="78"/>
      <c r="C1815" s="189"/>
      <c r="D1815" s="185"/>
      <c r="E1815" s="186"/>
      <c r="F1815" s="187"/>
    </row>
    <row r="1816" spans="1:6" x14ac:dyDescent="0.2">
      <c r="A1816" s="275"/>
      <c r="B1816" s="78"/>
      <c r="C1816" s="189"/>
      <c r="D1816" s="185"/>
      <c r="E1816" s="186"/>
      <c r="F1816" s="187"/>
    </row>
    <row r="1817" spans="1:6" x14ac:dyDescent="0.2">
      <c r="A1817" s="275"/>
      <c r="B1817" s="78"/>
      <c r="C1817" s="189"/>
      <c r="D1817" s="185"/>
      <c r="E1817" s="186"/>
      <c r="F1817" s="187"/>
    </row>
    <row r="1818" spans="1:6" x14ac:dyDescent="0.2">
      <c r="A1818" s="275"/>
      <c r="B1818" s="78"/>
      <c r="C1818" s="189"/>
      <c r="D1818" s="185"/>
      <c r="E1818" s="186"/>
      <c r="F1818" s="187"/>
    </row>
    <row r="1819" spans="1:6" x14ac:dyDescent="0.2">
      <c r="A1819" s="275"/>
      <c r="B1819" s="78"/>
      <c r="C1819" s="189"/>
      <c r="D1819" s="185"/>
      <c r="E1819" s="186"/>
      <c r="F1819" s="187"/>
    </row>
    <row r="1820" spans="1:6" x14ac:dyDescent="0.2">
      <c r="A1820" s="275"/>
      <c r="B1820" s="78"/>
      <c r="C1820" s="189"/>
      <c r="D1820" s="185"/>
      <c r="E1820" s="186"/>
      <c r="F1820" s="187"/>
    </row>
    <row r="1821" spans="1:6" x14ac:dyDescent="0.2">
      <c r="A1821" s="275"/>
      <c r="B1821" s="78"/>
      <c r="C1821" s="189"/>
      <c r="D1821" s="185"/>
      <c r="E1821" s="186"/>
      <c r="F1821" s="187"/>
    </row>
    <row r="1822" spans="1:6" x14ac:dyDescent="0.2">
      <c r="A1822" s="275"/>
      <c r="B1822" s="78"/>
      <c r="C1822" s="189"/>
      <c r="D1822" s="185"/>
      <c r="E1822" s="186"/>
      <c r="F1822" s="187"/>
    </row>
    <row r="1823" spans="1:6" x14ac:dyDescent="0.2">
      <c r="A1823" s="275"/>
      <c r="B1823" s="78"/>
      <c r="C1823" s="189"/>
      <c r="D1823" s="185"/>
      <c r="E1823" s="186"/>
      <c r="F1823" s="187"/>
    </row>
    <row r="1824" spans="1:6" x14ac:dyDescent="0.2">
      <c r="A1824" s="275"/>
      <c r="B1824" s="78"/>
      <c r="C1824" s="189"/>
      <c r="D1824" s="185"/>
      <c r="E1824" s="186"/>
      <c r="F1824" s="187"/>
    </row>
    <row r="1825" spans="1:6" x14ac:dyDescent="0.2">
      <c r="A1825" s="275"/>
      <c r="B1825" s="78"/>
      <c r="C1825" s="189"/>
      <c r="D1825" s="185"/>
      <c r="E1825" s="186"/>
      <c r="F1825" s="187"/>
    </row>
    <row r="1826" spans="1:6" x14ac:dyDescent="0.2">
      <c r="A1826" s="275"/>
      <c r="B1826" s="78"/>
      <c r="C1826" s="189"/>
      <c r="D1826" s="185"/>
      <c r="E1826" s="186"/>
      <c r="F1826" s="187"/>
    </row>
    <row r="1827" spans="1:6" x14ac:dyDescent="0.2">
      <c r="A1827" s="275"/>
      <c r="B1827" s="78"/>
      <c r="C1827" s="189"/>
      <c r="D1827" s="185"/>
      <c r="E1827" s="186"/>
      <c r="F1827" s="187"/>
    </row>
    <row r="1828" spans="1:6" x14ac:dyDescent="0.2">
      <c r="A1828" s="275"/>
      <c r="B1828" s="78"/>
      <c r="C1828" s="189"/>
      <c r="D1828" s="185"/>
      <c r="E1828" s="186"/>
      <c r="F1828" s="187"/>
    </row>
    <row r="1829" spans="1:6" x14ac:dyDescent="0.2">
      <c r="A1829" s="275"/>
      <c r="B1829" s="78"/>
      <c r="C1829" s="189"/>
      <c r="D1829" s="185"/>
      <c r="E1829" s="186"/>
      <c r="F1829" s="187"/>
    </row>
    <row r="1830" spans="1:6" x14ac:dyDescent="0.2">
      <c r="A1830" s="275"/>
      <c r="B1830" s="78"/>
      <c r="C1830" s="189"/>
      <c r="D1830" s="185"/>
      <c r="E1830" s="186"/>
      <c r="F1830" s="187"/>
    </row>
    <row r="1831" spans="1:6" x14ac:dyDescent="0.2">
      <c r="A1831" s="275"/>
      <c r="B1831" s="78"/>
      <c r="C1831" s="189"/>
      <c r="D1831" s="185"/>
      <c r="E1831" s="186"/>
      <c r="F1831" s="187"/>
    </row>
    <row r="1832" spans="1:6" x14ac:dyDescent="0.2">
      <c r="A1832" s="275"/>
      <c r="B1832" s="78"/>
      <c r="C1832" s="189"/>
      <c r="D1832" s="185"/>
      <c r="E1832" s="186"/>
      <c r="F1832" s="187"/>
    </row>
    <row r="1833" spans="1:6" x14ac:dyDescent="0.2">
      <c r="A1833" s="275"/>
      <c r="B1833" s="78"/>
      <c r="C1833" s="189"/>
      <c r="D1833" s="185"/>
      <c r="E1833" s="186"/>
      <c r="F1833" s="187"/>
    </row>
  </sheetData>
  <sheetProtection algorithmName="SHA-512" hashValue="QDOPkm+IzWgKO1CtRPkUtW+ksO85B4N7vxb/K83VrRLtPyavy9ADTDHthIOFgliup6vmss7r44jlW877JNt5hg==" saltValue="5W/ZWiKiipB5ASmh4XgL5A==" spinCount="100000" sheet="1" objects="1" scenarios="1"/>
  <mergeCells count="2">
    <mergeCell ref="B1:F1"/>
    <mergeCell ref="C9:E9"/>
  </mergeCells>
  <dataValidations disablePrompts="1" count="1">
    <dataValidation type="custom" showErrorMessage="1" errorTitle="Nepravilen vnos cene" error="Cena mora biti nenegativno število z največ dvema decimalkama!" sqref="E7:E8">
      <formula1>AND(ISNUMBER(E7),E7&gt;=0,ROUND(E7*100,6)-INT(E7*100)=0,NOT(ISBLANK(E7)))</formula1>
    </dataValidation>
  </dataValidations>
  <printOptions horizontalCentered="1"/>
  <pageMargins left="0.78740157480314965" right="0.39370078740157483" top="0.39370078740157483" bottom="0.98425196850393704" header="0.19685039370078741" footer="0.19685039370078741"/>
  <pageSetup paperSize="9" scale="89" fitToHeight="0" orientation="landscape" r:id="rId1"/>
  <headerFooter>
    <oddHeader>&amp;LRTP 110/20 kV Izola&amp;R&amp;G</oddHeader>
    <oddFooter>&amp;LDZR: Ponudbeni predračun
Datoteka: 4407.6G01.PP.rev1.xlsx&amp;R Stran: &amp;P od &amp;N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G1848"/>
  <sheetViews>
    <sheetView view="pageBreakPreview" topLeftCell="A28" zoomScale="145" zoomScaleNormal="100" zoomScaleSheetLayoutView="145" workbookViewId="0">
      <selection activeCell="F9" sqref="F9:F23"/>
    </sheetView>
  </sheetViews>
  <sheetFormatPr defaultColWidth="6.7109375" defaultRowHeight="12.75" x14ac:dyDescent="0.2"/>
  <cols>
    <col min="1" max="1" width="7.85546875" style="190" customWidth="1"/>
    <col min="2" max="2" width="99.140625" style="179" customWidth="1"/>
    <col min="3" max="3" width="9" style="191" customWidth="1"/>
    <col min="4" max="4" width="11.42578125" style="192" customWidth="1"/>
    <col min="5" max="5" width="12.7109375" style="193" customWidth="1"/>
    <col min="6" max="6" width="13.5703125" style="194" customWidth="1"/>
    <col min="7" max="16384" width="6.7109375" style="78"/>
  </cols>
  <sheetData>
    <row r="1" spans="1:6" ht="15.95" customHeight="1" thickBot="1" x14ac:dyDescent="0.3">
      <c r="A1" s="7"/>
      <c r="B1" s="329"/>
      <c r="C1" s="329"/>
      <c r="D1" s="329"/>
      <c r="E1" s="329"/>
      <c r="F1" s="329"/>
    </row>
    <row r="2" spans="1:6" ht="32.450000000000003" customHeight="1" x14ac:dyDescent="0.2">
      <c r="A2" s="1" t="s">
        <v>1</v>
      </c>
      <c r="B2" s="2" t="s">
        <v>1741</v>
      </c>
      <c r="C2" s="3" t="s">
        <v>1742</v>
      </c>
      <c r="D2" s="4" t="s">
        <v>1743</v>
      </c>
      <c r="E2" s="5" t="s">
        <v>1744</v>
      </c>
      <c r="F2" s="6" t="s">
        <v>1745</v>
      </c>
    </row>
    <row r="3" spans="1:6" ht="15" x14ac:dyDescent="0.2">
      <c r="A3" s="206" t="s">
        <v>2201</v>
      </c>
      <c r="B3" s="207" t="s">
        <v>2202</v>
      </c>
      <c r="C3" s="23"/>
      <c r="D3" s="24"/>
      <c r="E3" s="25"/>
      <c r="F3" s="26"/>
    </row>
    <row r="4" spans="1:6" ht="42.75" x14ac:dyDescent="0.2">
      <c r="A4" s="270"/>
      <c r="B4" s="205" t="s">
        <v>1747</v>
      </c>
      <c r="C4" s="23"/>
      <c r="D4" s="24"/>
      <c r="E4" s="25"/>
      <c r="F4" s="26"/>
    </row>
    <row r="5" spans="1:6" ht="57" x14ac:dyDescent="0.2">
      <c r="A5" s="21"/>
      <c r="B5" s="17" t="str">
        <f>'2.2'!B5</f>
        <v xml:space="preserve">Vsi odpadki, ki bodo nastali pri izvedbi, bodo naloženi na prevozno sredstvo in odpeljani na stalno gradbeno deponijo nenevarnih odpadkov uradnega zbiralca odpadkov. Upoštevati vsa potrebna dela in stroške v zvezi z deponiranjem. Vsi odpadki, ki bodo ponovno uporabljeni pri izvedbi, bodo naloženi na prevozno sredstvo in pripeljani na gradbišče. </v>
      </c>
      <c r="C5" s="23"/>
      <c r="D5" s="24"/>
      <c r="E5" s="25"/>
      <c r="F5" s="26"/>
    </row>
    <row r="6" spans="1:6" ht="15" x14ac:dyDescent="0.2">
      <c r="A6" s="21"/>
      <c r="B6" s="35"/>
      <c r="C6" s="23"/>
      <c r="D6" s="24"/>
      <c r="E6" s="25"/>
      <c r="F6" s="26"/>
    </row>
    <row r="7" spans="1:6" ht="15" x14ac:dyDescent="0.2">
      <c r="A7" s="21"/>
      <c r="B7" s="37" t="s">
        <v>2203</v>
      </c>
      <c r="C7" s="23"/>
      <c r="D7" s="24"/>
      <c r="E7" s="25"/>
      <c r="F7" s="26"/>
    </row>
    <row r="8" spans="1:6" ht="28.5" x14ac:dyDescent="0.2">
      <c r="A8" s="29" t="s">
        <v>2204</v>
      </c>
      <c r="B8" s="17" t="s">
        <v>2174</v>
      </c>
      <c r="C8" s="23"/>
      <c r="D8" s="24"/>
      <c r="E8" s="25"/>
      <c r="F8" s="26"/>
    </row>
    <row r="9" spans="1:6" ht="14.25" x14ac:dyDescent="0.2">
      <c r="A9" s="29" t="s">
        <v>1761</v>
      </c>
      <c r="B9" s="17" t="s">
        <v>2175</v>
      </c>
      <c r="C9" s="15" t="s">
        <v>1756</v>
      </c>
      <c r="D9" s="16">
        <v>12</v>
      </c>
      <c r="E9" s="31">
        <v>0</v>
      </c>
      <c r="F9" s="28">
        <f>ROUND(D9*E9,2)</f>
        <v>0</v>
      </c>
    </row>
    <row r="10" spans="1:6" ht="32.25" customHeight="1" x14ac:dyDescent="0.2">
      <c r="A10" s="29" t="s">
        <v>2205</v>
      </c>
      <c r="B10" s="17" t="s">
        <v>2119</v>
      </c>
      <c r="C10" s="15" t="s">
        <v>1780</v>
      </c>
      <c r="D10" s="39">
        <v>3.6</v>
      </c>
      <c r="E10" s="31">
        <v>0</v>
      </c>
      <c r="F10" s="28">
        <f>ROUND(D10*E10,2)</f>
        <v>0</v>
      </c>
    </row>
    <row r="11" spans="1:6" ht="57" x14ac:dyDescent="0.2">
      <c r="A11" s="29" t="s">
        <v>2206</v>
      </c>
      <c r="B11" s="17" t="s">
        <v>1987</v>
      </c>
      <c r="C11" s="15" t="s">
        <v>1780</v>
      </c>
      <c r="D11" s="16">
        <f>3*6*1.2</f>
        <v>21.599999999999998</v>
      </c>
      <c r="E11" s="31">
        <v>0</v>
      </c>
      <c r="F11" s="28">
        <f>ROUND(D11*E11,2)</f>
        <v>0</v>
      </c>
    </row>
    <row r="12" spans="1:6" ht="99.75" x14ac:dyDescent="0.2">
      <c r="A12" s="29" t="s">
        <v>2207</v>
      </c>
      <c r="B12" s="17" t="s">
        <v>2122</v>
      </c>
      <c r="C12" s="15"/>
      <c r="D12" s="16"/>
      <c r="E12" s="25"/>
      <c r="F12" s="26"/>
    </row>
    <row r="13" spans="1:6" ht="42.75" x14ac:dyDescent="0.2">
      <c r="A13" s="29" t="s">
        <v>1761</v>
      </c>
      <c r="B13" s="17" t="s">
        <v>2152</v>
      </c>
      <c r="C13" s="15" t="s">
        <v>1756</v>
      </c>
      <c r="D13" s="39">
        <f>4*0.6</f>
        <v>2.4</v>
      </c>
      <c r="E13" s="31">
        <v>0</v>
      </c>
      <c r="F13" s="28">
        <f t="shared" ref="F13:F23" si="0">ROUND(D13*E13,2)</f>
        <v>0</v>
      </c>
    </row>
    <row r="14" spans="1:6" ht="28.5" x14ac:dyDescent="0.2">
      <c r="A14" s="29" t="s">
        <v>1774</v>
      </c>
      <c r="B14" s="17" t="s">
        <v>2124</v>
      </c>
      <c r="C14" s="15" t="s">
        <v>1756</v>
      </c>
      <c r="D14" s="39">
        <f>4*0.1</f>
        <v>0.4</v>
      </c>
      <c r="E14" s="31">
        <v>0</v>
      </c>
      <c r="F14" s="28">
        <f t="shared" si="0"/>
        <v>0</v>
      </c>
    </row>
    <row r="15" spans="1:6" ht="72.75" customHeight="1" x14ac:dyDescent="0.2">
      <c r="A15" s="29" t="s">
        <v>2208</v>
      </c>
      <c r="B15" s="17" t="s">
        <v>2154</v>
      </c>
      <c r="C15" s="15" t="s">
        <v>1756</v>
      </c>
      <c r="D15" s="39">
        <v>7.5</v>
      </c>
      <c r="E15" s="31">
        <v>0</v>
      </c>
      <c r="F15" s="28">
        <f t="shared" si="0"/>
        <v>0</v>
      </c>
    </row>
    <row r="16" spans="1:6" ht="15" x14ac:dyDescent="0.2">
      <c r="A16" s="29" t="s">
        <v>2209</v>
      </c>
      <c r="B16" s="17" t="s">
        <v>2126</v>
      </c>
      <c r="C16" s="15"/>
      <c r="D16" s="16"/>
      <c r="E16" s="25"/>
      <c r="F16" s="26"/>
    </row>
    <row r="17" spans="1:7" ht="14.25" x14ac:dyDescent="0.2">
      <c r="A17" s="29" t="s">
        <v>1761</v>
      </c>
      <c r="B17" s="17" t="s">
        <v>2127</v>
      </c>
      <c r="C17" s="15" t="s">
        <v>1756</v>
      </c>
      <c r="D17" s="39">
        <v>0.2</v>
      </c>
      <c r="E17" s="31">
        <v>0</v>
      </c>
      <c r="F17" s="28">
        <f t="shared" si="0"/>
        <v>0</v>
      </c>
    </row>
    <row r="18" spans="1:7" ht="28.5" x14ac:dyDescent="0.2">
      <c r="A18" s="29" t="s">
        <v>1774</v>
      </c>
      <c r="B18" s="17" t="s">
        <v>2210</v>
      </c>
      <c r="C18" s="15" t="s">
        <v>1756</v>
      </c>
      <c r="D18" s="39">
        <v>2.4</v>
      </c>
      <c r="E18" s="31">
        <v>0</v>
      </c>
      <c r="F18" s="28">
        <f t="shared" si="0"/>
        <v>0</v>
      </c>
    </row>
    <row r="19" spans="1:7" ht="14.25" x14ac:dyDescent="0.2">
      <c r="A19" s="29" t="s">
        <v>1873</v>
      </c>
      <c r="B19" s="17" t="s">
        <v>2129</v>
      </c>
      <c r="C19" s="15" t="s">
        <v>1773</v>
      </c>
      <c r="D19" s="16">
        <v>240</v>
      </c>
      <c r="E19" s="31">
        <v>0</v>
      </c>
      <c r="F19" s="28">
        <f t="shared" si="0"/>
        <v>0</v>
      </c>
    </row>
    <row r="20" spans="1:7" ht="14.25" x14ac:dyDescent="0.2">
      <c r="A20" s="29" t="s">
        <v>1875</v>
      </c>
      <c r="B20" s="17" t="s">
        <v>2211</v>
      </c>
      <c r="C20" s="15" t="s">
        <v>1773</v>
      </c>
      <c r="D20" s="16">
        <f>D19*0.3</f>
        <v>72</v>
      </c>
      <c r="E20" s="31">
        <v>0</v>
      </c>
      <c r="F20" s="28">
        <f t="shared" si="0"/>
        <v>0</v>
      </c>
    </row>
    <row r="21" spans="1:7" ht="28.5" x14ac:dyDescent="0.2">
      <c r="A21" s="29" t="s">
        <v>2131</v>
      </c>
      <c r="B21" s="17" t="s">
        <v>2132</v>
      </c>
      <c r="C21" s="15" t="s">
        <v>1780</v>
      </c>
      <c r="D21" s="16">
        <v>15</v>
      </c>
      <c r="E21" s="31">
        <v>0</v>
      </c>
      <c r="F21" s="28">
        <f t="shared" si="0"/>
        <v>0</v>
      </c>
    </row>
    <row r="22" spans="1:7" ht="14.25" x14ac:dyDescent="0.2">
      <c r="A22" s="29" t="s">
        <v>2133</v>
      </c>
      <c r="B22" s="17" t="s">
        <v>2212</v>
      </c>
      <c r="C22" s="15" t="s">
        <v>1780</v>
      </c>
      <c r="D22" s="39">
        <v>0.6</v>
      </c>
      <c r="E22" s="31">
        <v>0</v>
      </c>
      <c r="F22" s="28">
        <f t="shared" si="0"/>
        <v>0</v>
      </c>
    </row>
    <row r="23" spans="1:7" ht="114.75" thickBot="1" x14ac:dyDescent="0.25">
      <c r="A23" s="29" t="s">
        <v>2213</v>
      </c>
      <c r="B23" s="37" t="s">
        <v>2214</v>
      </c>
      <c r="C23" s="283" t="s">
        <v>1826</v>
      </c>
      <c r="D23" s="281">
        <v>3</v>
      </c>
      <c r="E23" s="38">
        <v>0</v>
      </c>
      <c r="F23" s="28">
        <f t="shared" si="0"/>
        <v>0</v>
      </c>
    </row>
    <row r="24" spans="1:7" ht="18.75" customHeight="1" thickBot="1" x14ac:dyDescent="0.3">
      <c r="A24" s="267"/>
      <c r="B24" s="269"/>
      <c r="C24" s="333" t="s">
        <v>2215</v>
      </c>
      <c r="D24" s="334"/>
      <c r="E24" s="335"/>
      <c r="F24" s="18">
        <f>SUM(F9:F23)</f>
        <v>0</v>
      </c>
      <c r="G24" s="8"/>
    </row>
    <row r="25" spans="1:7" ht="18" x14ac:dyDescent="0.25">
      <c r="A25" s="182"/>
      <c r="B25" s="183"/>
      <c r="C25" s="184"/>
      <c r="D25" s="185"/>
      <c r="E25" s="186"/>
      <c r="F25" s="187"/>
      <c r="G25" s="8"/>
    </row>
    <row r="26" spans="1:7" ht="18" x14ac:dyDescent="0.25">
      <c r="A26" s="182"/>
      <c r="B26" s="183"/>
      <c r="C26" s="184"/>
      <c r="D26" s="185"/>
      <c r="E26" s="186"/>
      <c r="F26" s="187"/>
      <c r="G26" s="8"/>
    </row>
    <row r="27" spans="1:7" ht="18" x14ac:dyDescent="0.25">
      <c r="A27" s="182"/>
      <c r="B27" s="183"/>
      <c r="C27" s="184"/>
      <c r="D27" s="185"/>
      <c r="E27" s="186"/>
      <c r="F27" s="187"/>
      <c r="G27" s="8"/>
    </row>
    <row r="28" spans="1:7" x14ac:dyDescent="0.2">
      <c r="A28" s="275"/>
      <c r="B28" s="78"/>
      <c r="C28" s="189"/>
      <c r="D28" s="185"/>
      <c r="E28" s="186"/>
      <c r="F28" s="187"/>
    </row>
    <row r="29" spans="1:7" x14ac:dyDescent="0.2">
      <c r="A29" s="275"/>
      <c r="B29" s="78"/>
      <c r="C29" s="189"/>
      <c r="D29" s="185"/>
      <c r="E29" s="186"/>
      <c r="F29" s="187"/>
    </row>
    <row r="30" spans="1:7" x14ac:dyDescent="0.2">
      <c r="A30" s="275"/>
      <c r="B30" s="78"/>
      <c r="C30" s="189"/>
      <c r="D30" s="185"/>
      <c r="E30" s="186"/>
      <c r="F30" s="187"/>
    </row>
    <row r="31" spans="1:7" x14ac:dyDescent="0.2">
      <c r="A31" s="275"/>
      <c r="B31" s="78"/>
      <c r="C31" s="189"/>
      <c r="D31" s="185"/>
      <c r="E31" s="186"/>
      <c r="F31" s="187"/>
    </row>
    <row r="32" spans="1:7" x14ac:dyDescent="0.2">
      <c r="A32" s="275"/>
      <c r="B32" s="78"/>
      <c r="C32" s="189"/>
      <c r="D32" s="185"/>
      <c r="E32" s="186"/>
      <c r="F32" s="187"/>
    </row>
    <row r="33" spans="1:6" x14ac:dyDescent="0.2">
      <c r="A33" s="275"/>
      <c r="B33" s="78"/>
      <c r="C33" s="189"/>
      <c r="D33" s="185"/>
      <c r="E33" s="186"/>
      <c r="F33" s="187"/>
    </row>
    <row r="34" spans="1:6" x14ac:dyDescent="0.2">
      <c r="A34" s="275"/>
      <c r="B34" s="78"/>
      <c r="C34" s="189"/>
      <c r="D34" s="185"/>
      <c r="E34" s="186"/>
      <c r="F34" s="187"/>
    </row>
    <row r="35" spans="1:6" x14ac:dyDescent="0.2">
      <c r="A35" s="275"/>
      <c r="B35" s="78"/>
      <c r="C35" s="189"/>
      <c r="D35" s="185"/>
      <c r="E35" s="186"/>
      <c r="F35" s="187"/>
    </row>
    <row r="36" spans="1:6" x14ac:dyDescent="0.2">
      <c r="A36" s="275"/>
      <c r="B36" s="78"/>
      <c r="C36" s="189"/>
      <c r="D36" s="185"/>
      <c r="E36" s="186"/>
      <c r="F36" s="187"/>
    </row>
    <row r="37" spans="1:6" x14ac:dyDescent="0.2">
      <c r="A37" s="275"/>
      <c r="B37" s="78"/>
      <c r="C37" s="189"/>
      <c r="D37" s="185"/>
      <c r="E37" s="186"/>
      <c r="F37" s="187"/>
    </row>
    <row r="38" spans="1:6" x14ac:dyDescent="0.2">
      <c r="A38" s="275"/>
      <c r="B38" s="78"/>
      <c r="C38" s="189"/>
      <c r="D38" s="185"/>
      <c r="E38" s="186"/>
      <c r="F38" s="187"/>
    </row>
    <row r="39" spans="1:6" x14ac:dyDescent="0.2">
      <c r="A39" s="275"/>
      <c r="B39" s="78"/>
      <c r="C39" s="189"/>
      <c r="D39" s="185"/>
      <c r="E39" s="186"/>
      <c r="F39" s="187"/>
    </row>
    <row r="40" spans="1:6" x14ac:dyDescent="0.2">
      <c r="A40" s="275"/>
      <c r="B40" s="78"/>
      <c r="C40" s="189"/>
      <c r="D40" s="185"/>
      <c r="E40" s="186"/>
      <c r="F40" s="187"/>
    </row>
    <row r="41" spans="1:6" x14ac:dyDescent="0.2">
      <c r="A41" s="275"/>
      <c r="B41" s="78"/>
      <c r="C41" s="189"/>
      <c r="D41" s="185"/>
      <c r="E41" s="186"/>
      <c r="F41" s="187"/>
    </row>
    <row r="42" spans="1:6" x14ac:dyDescent="0.2">
      <c r="A42" s="275"/>
      <c r="B42" s="78"/>
      <c r="C42" s="189"/>
      <c r="D42" s="185"/>
      <c r="E42" s="186"/>
      <c r="F42" s="187"/>
    </row>
    <row r="43" spans="1:6" x14ac:dyDescent="0.2">
      <c r="A43" s="275"/>
      <c r="B43" s="78"/>
      <c r="C43" s="189"/>
      <c r="D43" s="185"/>
      <c r="E43" s="186"/>
      <c r="F43" s="187"/>
    </row>
    <row r="44" spans="1:6" x14ac:dyDescent="0.2">
      <c r="A44" s="275"/>
      <c r="B44" s="78"/>
      <c r="C44" s="189"/>
      <c r="D44" s="185"/>
      <c r="E44" s="186"/>
      <c r="F44" s="187"/>
    </row>
    <row r="45" spans="1:6" x14ac:dyDescent="0.2">
      <c r="A45" s="275"/>
      <c r="B45" s="78"/>
      <c r="C45" s="189"/>
      <c r="D45" s="185"/>
      <c r="E45" s="186"/>
      <c r="F45" s="187"/>
    </row>
    <row r="46" spans="1:6" x14ac:dyDescent="0.2">
      <c r="A46" s="275"/>
      <c r="B46" s="78"/>
      <c r="C46" s="189"/>
      <c r="D46" s="185"/>
      <c r="E46" s="186"/>
      <c r="F46" s="187"/>
    </row>
    <row r="47" spans="1:6" x14ac:dyDescent="0.2">
      <c r="A47" s="275"/>
      <c r="B47" s="78"/>
      <c r="C47" s="189"/>
      <c r="D47" s="185"/>
      <c r="E47" s="186"/>
      <c r="F47" s="187"/>
    </row>
    <row r="48" spans="1:6" x14ac:dyDescent="0.2">
      <c r="A48" s="275"/>
      <c r="B48" s="78"/>
      <c r="C48" s="189"/>
      <c r="D48" s="185"/>
      <c r="E48" s="186"/>
      <c r="F48" s="187"/>
    </row>
    <row r="49" spans="1:6" x14ac:dyDescent="0.2">
      <c r="A49" s="275"/>
      <c r="B49" s="78"/>
      <c r="C49" s="189"/>
      <c r="D49" s="185"/>
      <c r="E49" s="186"/>
      <c r="F49" s="187"/>
    </row>
    <row r="50" spans="1:6" x14ac:dyDescent="0.2">
      <c r="A50" s="275"/>
      <c r="B50" s="78"/>
      <c r="C50" s="189"/>
      <c r="D50" s="185"/>
      <c r="E50" s="186"/>
      <c r="F50" s="187"/>
    </row>
    <row r="51" spans="1:6" x14ac:dyDescent="0.2">
      <c r="A51" s="275"/>
      <c r="B51" s="78"/>
      <c r="C51" s="189"/>
      <c r="D51" s="185"/>
      <c r="E51" s="186"/>
      <c r="F51" s="187"/>
    </row>
    <row r="52" spans="1:6" x14ac:dyDescent="0.2">
      <c r="A52" s="275"/>
      <c r="B52" s="78"/>
      <c r="C52" s="189"/>
      <c r="D52" s="185"/>
      <c r="E52" s="186"/>
      <c r="F52" s="187"/>
    </row>
    <row r="53" spans="1:6" x14ac:dyDescent="0.2">
      <c r="A53" s="275"/>
      <c r="B53" s="78"/>
      <c r="C53" s="189"/>
      <c r="D53" s="185"/>
      <c r="E53" s="186"/>
      <c r="F53" s="187"/>
    </row>
    <row r="54" spans="1:6" x14ac:dyDescent="0.2">
      <c r="A54" s="275"/>
      <c r="B54" s="78"/>
      <c r="C54" s="189"/>
      <c r="D54" s="185"/>
      <c r="E54" s="186"/>
      <c r="F54" s="187"/>
    </row>
    <row r="55" spans="1:6" x14ac:dyDescent="0.2">
      <c r="A55" s="275"/>
      <c r="B55" s="78"/>
      <c r="C55" s="189"/>
      <c r="D55" s="185"/>
      <c r="E55" s="186"/>
      <c r="F55" s="187"/>
    </row>
    <row r="56" spans="1:6" x14ac:dyDescent="0.2">
      <c r="A56" s="275"/>
      <c r="B56" s="78"/>
      <c r="C56" s="189"/>
      <c r="D56" s="185"/>
      <c r="E56" s="186"/>
      <c r="F56" s="187"/>
    </row>
    <row r="57" spans="1:6" x14ac:dyDescent="0.2">
      <c r="A57" s="275"/>
      <c r="B57" s="78"/>
      <c r="C57" s="189"/>
      <c r="D57" s="185"/>
      <c r="E57" s="186"/>
      <c r="F57" s="187"/>
    </row>
    <row r="58" spans="1:6" x14ac:dyDescent="0.2">
      <c r="A58" s="275"/>
      <c r="B58" s="78"/>
      <c r="C58" s="189"/>
      <c r="D58" s="185"/>
      <c r="E58" s="186"/>
      <c r="F58" s="187"/>
    </row>
    <row r="59" spans="1:6" x14ac:dyDescent="0.2">
      <c r="A59" s="275"/>
      <c r="B59" s="78"/>
      <c r="C59" s="189"/>
      <c r="D59" s="185"/>
      <c r="E59" s="186"/>
      <c r="F59" s="187"/>
    </row>
    <row r="60" spans="1:6" x14ac:dyDescent="0.2">
      <c r="A60" s="275"/>
      <c r="B60" s="78"/>
      <c r="C60" s="189"/>
      <c r="D60" s="185"/>
      <c r="E60" s="186"/>
      <c r="F60" s="187"/>
    </row>
    <row r="61" spans="1:6" x14ac:dyDescent="0.2">
      <c r="A61" s="275"/>
      <c r="B61" s="78"/>
      <c r="C61" s="189"/>
      <c r="D61" s="185"/>
      <c r="E61" s="186"/>
      <c r="F61" s="187"/>
    </row>
    <row r="62" spans="1:6" x14ac:dyDescent="0.2">
      <c r="A62" s="275"/>
      <c r="B62" s="78"/>
      <c r="C62" s="189"/>
      <c r="D62" s="185"/>
      <c r="E62" s="186"/>
      <c r="F62" s="187"/>
    </row>
    <row r="63" spans="1:6" x14ac:dyDescent="0.2">
      <c r="A63" s="275"/>
      <c r="B63" s="78"/>
      <c r="C63" s="189"/>
      <c r="D63" s="185"/>
      <c r="E63" s="186"/>
      <c r="F63" s="187"/>
    </row>
    <row r="64" spans="1:6" x14ac:dyDescent="0.2">
      <c r="A64" s="275"/>
      <c r="B64" s="78"/>
      <c r="C64" s="189"/>
      <c r="D64" s="185"/>
      <c r="E64" s="186"/>
      <c r="F64" s="187"/>
    </row>
    <row r="65" spans="1:6" x14ac:dyDescent="0.2">
      <c r="A65" s="275"/>
      <c r="B65" s="78"/>
      <c r="C65" s="189"/>
      <c r="D65" s="185"/>
      <c r="E65" s="186"/>
      <c r="F65" s="187"/>
    </row>
    <row r="66" spans="1:6" x14ac:dyDescent="0.2">
      <c r="A66" s="275"/>
      <c r="B66" s="78"/>
      <c r="C66" s="189"/>
      <c r="D66" s="185"/>
      <c r="E66" s="186"/>
      <c r="F66" s="187"/>
    </row>
    <row r="67" spans="1:6" x14ac:dyDescent="0.2">
      <c r="A67" s="275"/>
      <c r="B67" s="78"/>
      <c r="C67" s="189"/>
      <c r="D67" s="185"/>
      <c r="E67" s="186"/>
      <c r="F67" s="187"/>
    </row>
    <row r="68" spans="1:6" x14ac:dyDescent="0.2">
      <c r="A68" s="275"/>
      <c r="B68" s="78"/>
      <c r="C68" s="189"/>
      <c r="D68" s="185"/>
      <c r="E68" s="186"/>
      <c r="F68" s="187"/>
    </row>
    <row r="69" spans="1:6" x14ac:dyDescent="0.2">
      <c r="A69" s="275"/>
      <c r="B69" s="78"/>
      <c r="C69" s="189"/>
      <c r="D69" s="185"/>
      <c r="E69" s="186"/>
      <c r="F69" s="187"/>
    </row>
    <row r="70" spans="1:6" x14ac:dyDescent="0.2">
      <c r="A70" s="275"/>
      <c r="B70" s="78"/>
      <c r="C70" s="189"/>
      <c r="D70" s="185"/>
      <c r="E70" s="186"/>
      <c r="F70" s="187"/>
    </row>
    <row r="71" spans="1:6" x14ac:dyDescent="0.2">
      <c r="A71" s="275"/>
      <c r="B71" s="78"/>
      <c r="C71" s="189"/>
      <c r="D71" s="185"/>
      <c r="E71" s="186"/>
      <c r="F71" s="187"/>
    </row>
    <row r="72" spans="1:6" x14ac:dyDescent="0.2">
      <c r="A72" s="275"/>
      <c r="B72" s="78"/>
      <c r="C72" s="189"/>
      <c r="D72" s="185"/>
      <c r="E72" s="186"/>
      <c r="F72" s="187"/>
    </row>
    <row r="73" spans="1:6" x14ac:dyDescent="0.2">
      <c r="A73" s="275"/>
      <c r="B73" s="78"/>
      <c r="C73" s="189"/>
      <c r="D73" s="185"/>
      <c r="E73" s="186"/>
      <c r="F73" s="187"/>
    </row>
    <row r="74" spans="1:6" x14ac:dyDescent="0.2">
      <c r="A74" s="275"/>
      <c r="B74" s="78"/>
      <c r="C74" s="189"/>
      <c r="D74" s="185"/>
      <c r="E74" s="186"/>
      <c r="F74" s="187"/>
    </row>
    <row r="75" spans="1:6" x14ac:dyDescent="0.2">
      <c r="A75" s="275"/>
      <c r="B75" s="78"/>
      <c r="C75" s="189"/>
      <c r="D75" s="185"/>
      <c r="E75" s="186"/>
      <c r="F75" s="187"/>
    </row>
    <row r="76" spans="1:6" x14ac:dyDescent="0.2">
      <c r="A76" s="275"/>
      <c r="B76" s="78"/>
      <c r="C76" s="189"/>
      <c r="D76" s="185"/>
      <c r="E76" s="186"/>
      <c r="F76" s="187"/>
    </row>
    <row r="77" spans="1:6" x14ac:dyDescent="0.2">
      <c r="A77" s="275"/>
      <c r="B77" s="78"/>
      <c r="C77" s="189"/>
      <c r="D77" s="185"/>
      <c r="E77" s="186"/>
      <c r="F77" s="187"/>
    </row>
    <row r="78" spans="1:6" x14ac:dyDescent="0.2">
      <c r="A78" s="275"/>
      <c r="B78" s="78"/>
      <c r="C78" s="189"/>
      <c r="D78" s="185"/>
      <c r="E78" s="186"/>
      <c r="F78" s="187"/>
    </row>
    <row r="79" spans="1:6" x14ac:dyDescent="0.2">
      <c r="A79" s="275"/>
      <c r="B79" s="78"/>
      <c r="C79" s="189"/>
      <c r="D79" s="185"/>
      <c r="E79" s="186"/>
      <c r="F79" s="187"/>
    </row>
    <row r="80" spans="1:6" x14ac:dyDescent="0.2">
      <c r="A80" s="275"/>
      <c r="B80" s="78"/>
      <c r="C80" s="189"/>
      <c r="D80" s="185"/>
      <c r="E80" s="186"/>
      <c r="F80" s="187"/>
    </row>
    <row r="81" spans="1:6" x14ac:dyDescent="0.2">
      <c r="A81" s="275"/>
      <c r="B81" s="78"/>
      <c r="C81" s="189"/>
      <c r="D81" s="185"/>
      <c r="E81" s="186"/>
      <c r="F81" s="187"/>
    </row>
    <row r="82" spans="1:6" x14ac:dyDescent="0.2">
      <c r="A82" s="275"/>
      <c r="B82" s="78"/>
      <c r="C82" s="189"/>
      <c r="D82" s="185"/>
      <c r="E82" s="186"/>
      <c r="F82" s="187"/>
    </row>
    <row r="83" spans="1:6" x14ac:dyDescent="0.2">
      <c r="A83" s="275"/>
      <c r="B83" s="78"/>
      <c r="C83" s="189"/>
      <c r="D83" s="185"/>
      <c r="E83" s="186"/>
      <c r="F83" s="187"/>
    </row>
    <row r="84" spans="1:6" x14ac:dyDescent="0.2">
      <c r="A84" s="275"/>
      <c r="B84" s="78"/>
      <c r="C84" s="189"/>
      <c r="D84" s="185"/>
      <c r="E84" s="186"/>
      <c r="F84" s="187"/>
    </row>
    <row r="85" spans="1:6" x14ac:dyDescent="0.2">
      <c r="A85" s="275"/>
      <c r="B85" s="78"/>
      <c r="C85" s="189"/>
      <c r="D85" s="185"/>
      <c r="E85" s="186"/>
      <c r="F85" s="187"/>
    </row>
    <row r="86" spans="1:6" x14ac:dyDescent="0.2">
      <c r="A86" s="275"/>
      <c r="B86" s="78"/>
      <c r="C86" s="189"/>
      <c r="D86" s="185"/>
      <c r="E86" s="186"/>
      <c r="F86" s="187"/>
    </row>
    <row r="87" spans="1:6" x14ac:dyDescent="0.2">
      <c r="A87" s="275"/>
      <c r="B87" s="78"/>
      <c r="C87" s="189"/>
      <c r="D87" s="185"/>
      <c r="E87" s="186"/>
      <c r="F87" s="187"/>
    </row>
    <row r="88" spans="1:6" x14ac:dyDescent="0.2">
      <c r="A88" s="275"/>
      <c r="B88" s="78"/>
      <c r="C88" s="189"/>
      <c r="D88" s="185"/>
      <c r="E88" s="186"/>
      <c r="F88" s="187"/>
    </row>
    <row r="89" spans="1:6" x14ac:dyDescent="0.2">
      <c r="A89" s="275"/>
      <c r="B89" s="78"/>
      <c r="C89" s="189"/>
      <c r="D89" s="185"/>
      <c r="E89" s="186"/>
      <c r="F89" s="187"/>
    </row>
    <row r="90" spans="1:6" x14ac:dyDescent="0.2">
      <c r="A90" s="275"/>
      <c r="B90" s="78"/>
      <c r="C90" s="189"/>
      <c r="D90" s="185"/>
      <c r="E90" s="186"/>
      <c r="F90" s="187"/>
    </row>
    <row r="91" spans="1:6" x14ac:dyDescent="0.2">
      <c r="A91" s="275"/>
      <c r="B91" s="78"/>
      <c r="C91" s="189"/>
      <c r="D91" s="185"/>
      <c r="E91" s="186"/>
      <c r="F91" s="187"/>
    </row>
    <row r="92" spans="1:6" x14ac:dyDescent="0.2">
      <c r="A92" s="275"/>
      <c r="B92" s="78"/>
      <c r="C92" s="189"/>
      <c r="D92" s="185"/>
      <c r="E92" s="186"/>
      <c r="F92" s="187"/>
    </row>
    <row r="93" spans="1:6" x14ac:dyDescent="0.2">
      <c r="A93" s="275"/>
      <c r="B93" s="78"/>
      <c r="C93" s="189"/>
      <c r="D93" s="185"/>
      <c r="E93" s="186"/>
      <c r="F93" s="187"/>
    </row>
    <row r="94" spans="1:6" x14ac:dyDescent="0.2">
      <c r="A94" s="275"/>
      <c r="B94" s="78"/>
      <c r="C94" s="189"/>
      <c r="D94" s="185"/>
      <c r="E94" s="186"/>
      <c r="F94" s="187"/>
    </row>
    <row r="95" spans="1:6" x14ac:dyDescent="0.2">
      <c r="A95" s="275"/>
      <c r="B95" s="78"/>
      <c r="C95" s="189"/>
      <c r="D95" s="185"/>
      <c r="E95" s="186"/>
      <c r="F95" s="187"/>
    </row>
    <row r="96" spans="1:6" x14ac:dyDescent="0.2">
      <c r="A96" s="275"/>
      <c r="B96" s="78"/>
      <c r="C96" s="189"/>
      <c r="D96" s="185"/>
      <c r="E96" s="186"/>
      <c r="F96" s="187"/>
    </row>
    <row r="97" spans="1:6" x14ac:dyDescent="0.2">
      <c r="A97" s="275"/>
      <c r="B97" s="78"/>
      <c r="C97" s="189"/>
      <c r="D97" s="185"/>
      <c r="E97" s="186"/>
      <c r="F97" s="187"/>
    </row>
    <row r="98" spans="1:6" x14ac:dyDescent="0.2">
      <c r="A98" s="275"/>
      <c r="B98" s="78"/>
      <c r="C98" s="189"/>
      <c r="D98" s="185"/>
      <c r="E98" s="186"/>
      <c r="F98" s="187"/>
    </row>
    <row r="99" spans="1:6" x14ac:dyDescent="0.2">
      <c r="A99" s="275"/>
      <c r="B99" s="78"/>
      <c r="C99" s="189"/>
      <c r="D99" s="185"/>
      <c r="E99" s="186"/>
      <c r="F99" s="187"/>
    </row>
    <row r="100" spans="1:6" x14ac:dyDescent="0.2">
      <c r="A100" s="275"/>
      <c r="B100" s="78"/>
      <c r="C100" s="189"/>
      <c r="D100" s="185"/>
      <c r="E100" s="186"/>
      <c r="F100" s="187"/>
    </row>
    <row r="101" spans="1:6" x14ac:dyDescent="0.2">
      <c r="A101" s="275"/>
      <c r="B101" s="78"/>
      <c r="C101" s="189"/>
      <c r="D101" s="185"/>
      <c r="E101" s="186"/>
      <c r="F101" s="187"/>
    </row>
    <row r="102" spans="1:6" x14ac:dyDescent="0.2">
      <c r="A102" s="275"/>
      <c r="B102" s="78"/>
      <c r="C102" s="189"/>
      <c r="D102" s="185"/>
      <c r="E102" s="186"/>
      <c r="F102" s="187"/>
    </row>
    <row r="103" spans="1:6" x14ac:dyDescent="0.2">
      <c r="A103" s="275"/>
      <c r="B103" s="78"/>
      <c r="C103" s="189"/>
      <c r="D103" s="185"/>
      <c r="E103" s="186"/>
      <c r="F103" s="187"/>
    </row>
    <row r="104" spans="1:6" x14ac:dyDescent="0.2">
      <c r="A104" s="275"/>
      <c r="B104" s="78"/>
      <c r="C104" s="189"/>
      <c r="D104" s="185"/>
      <c r="E104" s="186"/>
      <c r="F104" s="187"/>
    </row>
    <row r="105" spans="1:6" x14ac:dyDescent="0.2">
      <c r="A105" s="275"/>
      <c r="B105" s="78"/>
      <c r="C105" s="189"/>
      <c r="D105" s="185"/>
      <c r="E105" s="186"/>
      <c r="F105" s="187"/>
    </row>
    <row r="106" spans="1:6" x14ac:dyDescent="0.2">
      <c r="A106" s="275"/>
      <c r="B106" s="78"/>
      <c r="C106" s="189"/>
      <c r="D106" s="185"/>
      <c r="E106" s="186"/>
      <c r="F106" s="187"/>
    </row>
    <row r="107" spans="1:6" x14ac:dyDescent="0.2">
      <c r="A107" s="275"/>
      <c r="B107" s="78"/>
      <c r="C107" s="189"/>
      <c r="D107" s="185"/>
      <c r="E107" s="186"/>
      <c r="F107" s="187"/>
    </row>
    <row r="108" spans="1:6" x14ac:dyDescent="0.2">
      <c r="A108" s="275"/>
      <c r="B108" s="78"/>
      <c r="C108" s="189"/>
      <c r="D108" s="185"/>
      <c r="E108" s="186"/>
      <c r="F108" s="187"/>
    </row>
    <row r="109" spans="1:6" x14ac:dyDescent="0.2">
      <c r="A109" s="275"/>
      <c r="B109" s="78"/>
      <c r="C109" s="189"/>
      <c r="D109" s="185"/>
      <c r="E109" s="186"/>
      <c r="F109" s="187"/>
    </row>
    <row r="110" spans="1:6" x14ac:dyDescent="0.2">
      <c r="A110" s="275"/>
      <c r="B110" s="78"/>
      <c r="C110" s="189"/>
      <c r="D110" s="185"/>
      <c r="E110" s="186"/>
      <c r="F110" s="187"/>
    </row>
    <row r="111" spans="1:6" x14ac:dyDescent="0.2">
      <c r="A111" s="275"/>
      <c r="B111" s="78"/>
      <c r="C111" s="189"/>
      <c r="D111" s="185"/>
      <c r="E111" s="186"/>
      <c r="F111" s="187"/>
    </row>
    <row r="112" spans="1:6" x14ac:dyDescent="0.2">
      <c r="A112" s="275"/>
      <c r="B112" s="78"/>
      <c r="C112" s="189"/>
      <c r="D112" s="185"/>
      <c r="E112" s="186"/>
      <c r="F112" s="187"/>
    </row>
    <row r="113" spans="1:6" x14ac:dyDescent="0.2">
      <c r="A113" s="275"/>
      <c r="B113" s="78"/>
      <c r="C113" s="189"/>
      <c r="D113" s="185"/>
      <c r="E113" s="186"/>
      <c r="F113" s="187"/>
    </row>
    <row r="114" spans="1:6" x14ac:dyDescent="0.2">
      <c r="A114" s="275"/>
      <c r="B114" s="78"/>
      <c r="C114" s="189"/>
      <c r="D114" s="185"/>
      <c r="E114" s="186"/>
      <c r="F114" s="187"/>
    </row>
    <row r="115" spans="1:6" x14ac:dyDescent="0.2">
      <c r="A115" s="275"/>
      <c r="B115" s="78"/>
      <c r="C115" s="189"/>
      <c r="D115" s="185"/>
      <c r="E115" s="186"/>
      <c r="F115" s="187"/>
    </row>
    <row r="116" spans="1:6" x14ac:dyDescent="0.2">
      <c r="A116" s="275"/>
      <c r="B116" s="78"/>
      <c r="C116" s="189"/>
      <c r="D116" s="185"/>
      <c r="E116" s="186"/>
      <c r="F116" s="187"/>
    </row>
    <row r="117" spans="1:6" x14ac:dyDescent="0.2">
      <c r="A117" s="275"/>
      <c r="B117" s="78"/>
      <c r="C117" s="189"/>
      <c r="D117" s="185"/>
      <c r="E117" s="186"/>
      <c r="F117" s="187"/>
    </row>
    <row r="118" spans="1:6" x14ac:dyDescent="0.2">
      <c r="A118" s="275"/>
      <c r="B118" s="78"/>
      <c r="C118" s="189"/>
      <c r="D118" s="185"/>
      <c r="E118" s="186"/>
      <c r="F118" s="187"/>
    </row>
    <row r="119" spans="1:6" x14ac:dyDescent="0.2">
      <c r="A119" s="275"/>
      <c r="B119" s="78"/>
      <c r="C119" s="189"/>
      <c r="D119" s="185"/>
      <c r="E119" s="186"/>
      <c r="F119" s="187"/>
    </row>
    <row r="120" spans="1:6" x14ac:dyDescent="0.2">
      <c r="A120" s="275"/>
      <c r="B120" s="78"/>
      <c r="C120" s="189"/>
      <c r="D120" s="185"/>
      <c r="E120" s="186"/>
      <c r="F120" s="187"/>
    </row>
    <row r="121" spans="1:6" x14ac:dyDescent="0.2">
      <c r="A121" s="275"/>
      <c r="B121" s="78"/>
      <c r="C121" s="189"/>
      <c r="D121" s="185"/>
      <c r="E121" s="186"/>
      <c r="F121" s="187"/>
    </row>
    <row r="122" spans="1:6" x14ac:dyDescent="0.2">
      <c r="A122" s="275"/>
      <c r="B122" s="78"/>
      <c r="C122" s="189"/>
      <c r="D122" s="185"/>
      <c r="E122" s="186"/>
      <c r="F122" s="187"/>
    </row>
    <row r="123" spans="1:6" x14ac:dyDescent="0.2">
      <c r="A123" s="275"/>
      <c r="B123" s="78"/>
      <c r="C123" s="189"/>
      <c r="D123" s="185"/>
      <c r="E123" s="186"/>
      <c r="F123" s="187"/>
    </row>
    <row r="124" spans="1:6" x14ac:dyDescent="0.2">
      <c r="A124" s="275"/>
      <c r="B124" s="78"/>
      <c r="C124" s="189"/>
      <c r="D124" s="185"/>
      <c r="E124" s="186"/>
      <c r="F124" s="187"/>
    </row>
    <row r="125" spans="1:6" x14ac:dyDescent="0.2">
      <c r="A125" s="275"/>
      <c r="B125" s="78"/>
      <c r="C125" s="189"/>
      <c r="D125" s="185"/>
      <c r="E125" s="186"/>
      <c r="F125" s="187"/>
    </row>
    <row r="126" spans="1:6" x14ac:dyDescent="0.2">
      <c r="A126" s="275"/>
      <c r="B126" s="78"/>
      <c r="C126" s="189"/>
      <c r="D126" s="185"/>
      <c r="E126" s="186"/>
      <c r="F126" s="187"/>
    </row>
    <row r="127" spans="1:6" x14ac:dyDescent="0.2">
      <c r="A127" s="275"/>
      <c r="B127" s="78"/>
      <c r="C127" s="189"/>
      <c r="D127" s="185"/>
      <c r="E127" s="186"/>
      <c r="F127" s="187"/>
    </row>
    <row r="128" spans="1:6" x14ac:dyDescent="0.2">
      <c r="A128" s="275"/>
      <c r="B128" s="78"/>
      <c r="C128" s="189"/>
      <c r="D128" s="185"/>
      <c r="E128" s="186"/>
      <c r="F128" s="187"/>
    </row>
    <row r="129" spans="1:6" x14ac:dyDescent="0.2">
      <c r="A129" s="275"/>
      <c r="B129" s="78"/>
      <c r="C129" s="189"/>
      <c r="D129" s="185"/>
      <c r="E129" s="186"/>
      <c r="F129" s="187"/>
    </row>
    <row r="130" spans="1:6" x14ac:dyDescent="0.2">
      <c r="A130" s="275"/>
      <c r="B130" s="78"/>
      <c r="C130" s="189"/>
      <c r="D130" s="185"/>
      <c r="E130" s="186"/>
      <c r="F130" s="187"/>
    </row>
    <row r="131" spans="1:6" x14ac:dyDescent="0.2">
      <c r="A131" s="275"/>
      <c r="B131" s="78"/>
      <c r="C131" s="189"/>
      <c r="D131" s="185"/>
      <c r="E131" s="186"/>
      <c r="F131" s="187"/>
    </row>
    <row r="132" spans="1:6" x14ac:dyDescent="0.2">
      <c r="A132" s="275"/>
      <c r="B132" s="78"/>
      <c r="C132" s="189"/>
      <c r="D132" s="185"/>
      <c r="E132" s="186"/>
      <c r="F132" s="187"/>
    </row>
    <row r="133" spans="1:6" x14ac:dyDescent="0.2">
      <c r="A133" s="275"/>
      <c r="B133" s="78"/>
      <c r="C133" s="189"/>
      <c r="D133" s="185"/>
      <c r="E133" s="186"/>
      <c r="F133" s="187"/>
    </row>
    <row r="134" spans="1:6" x14ac:dyDescent="0.2">
      <c r="A134" s="275"/>
      <c r="B134" s="78"/>
      <c r="C134" s="189"/>
      <c r="D134" s="185"/>
      <c r="E134" s="186"/>
      <c r="F134" s="187"/>
    </row>
    <row r="135" spans="1:6" x14ac:dyDescent="0.2">
      <c r="A135" s="275"/>
      <c r="B135" s="78"/>
      <c r="C135" s="189"/>
      <c r="D135" s="185"/>
      <c r="E135" s="186"/>
      <c r="F135" s="187"/>
    </row>
    <row r="136" spans="1:6" x14ac:dyDescent="0.2">
      <c r="A136" s="275"/>
      <c r="B136" s="78"/>
      <c r="C136" s="189"/>
      <c r="D136" s="185"/>
      <c r="E136" s="186"/>
      <c r="F136" s="187"/>
    </row>
    <row r="137" spans="1:6" x14ac:dyDescent="0.2">
      <c r="A137" s="275"/>
      <c r="B137" s="78"/>
      <c r="C137" s="189"/>
      <c r="D137" s="185"/>
      <c r="E137" s="186"/>
      <c r="F137" s="187"/>
    </row>
    <row r="138" spans="1:6" x14ac:dyDescent="0.2">
      <c r="A138" s="275"/>
      <c r="B138" s="78"/>
      <c r="C138" s="189"/>
      <c r="D138" s="185"/>
      <c r="E138" s="186"/>
      <c r="F138" s="187"/>
    </row>
    <row r="139" spans="1:6" x14ac:dyDescent="0.2">
      <c r="A139" s="275"/>
      <c r="B139" s="78"/>
      <c r="C139" s="189"/>
      <c r="D139" s="185"/>
      <c r="E139" s="186"/>
      <c r="F139" s="187"/>
    </row>
    <row r="140" spans="1:6" x14ac:dyDescent="0.2">
      <c r="A140" s="275"/>
      <c r="B140" s="78"/>
      <c r="C140" s="189"/>
      <c r="D140" s="185"/>
      <c r="E140" s="186"/>
      <c r="F140" s="187"/>
    </row>
    <row r="141" spans="1:6" x14ac:dyDescent="0.2">
      <c r="A141" s="275"/>
      <c r="B141" s="78"/>
      <c r="C141" s="189"/>
      <c r="D141" s="185"/>
      <c r="E141" s="186"/>
      <c r="F141" s="187"/>
    </row>
    <row r="142" spans="1:6" x14ac:dyDescent="0.2">
      <c r="A142" s="275"/>
      <c r="B142" s="78"/>
      <c r="C142" s="189"/>
      <c r="D142" s="185"/>
      <c r="E142" s="186"/>
      <c r="F142" s="187"/>
    </row>
    <row r="143" spans="1:6" x14ac:dyDescent="0.2">
      <c r="A143" s="275"/>
      <c r="B143" s="78"/>
      <c r="C143" s="189"/>
      <c r="D143" s="185"/>
      <c r="E143" s="186"/>
      <c r="F143" s="187"/>
    </row>
    <row r="144" spans="1:6" x14ac:dyDescent="0.2">
      <c r="A144" s="275"/>
      <c r="B144" s="78"/>
      <c r="C144" s="189"/>
      <c r="D144" s="185"/>
      <c r="E144" s="186"/>
      <c r="F144" s="187"/>
    </row>
    <row r="145" spans="1:6" x14ac:dyDescent="0.2">
      <c r="A145" s="275"/>
      <c r="B145" s="78"/>
      <c r="C145" s="189"/>
      <c r="D145" s="185"/>
      <c r="E145" s="186"/>
      <c r="F145" s="187"/>
    </row>
    <row r="146" spans="1:6" x14ac:dyDescent="0.2">
      <c r="A146" s="275"/>
      <c r="B146" s="78"/>
      <c r="C146" s="189"/>
      <c r="D146" s="185"/>
      <c r="E146" s="186"/>
      <c r="F146" s="187"/>
    </row>
    <row r="147" spans="1:6" x14ac:dyDescent="0.2">
      <c r="A147" s="275"/>
      <c r="B147" s="78"/>
      <c r="C147" s="189"/>
      <c r="D147" s="185"/>
      <c r="E147" s="186"/>
      <c r="F147" s="187"/>
    </row>
    <row r="148" spans="1:6" x14ac:dyDescent="0.2">
      <c r="A148" s="275"/>
      <c r="B148" s="78"/>
      <c r="C148" s="189"/>
      <c r="D148" s="185"/>
      <c r="E148" s="186"/>
      <c r="F148" s="187"/>
    </row>
    <row r="149" spans="1:6" x14ac:dyDescent="0.2">
      <c r="A149" s="275"/>
      <c r="B149" s="78"/>
      <c r="C149" s="189"/>
      <c r="D149" s="185"/>
      <c r="E149" s="186"/>
      <c r="F149" s="187"/>
    </row>
    <row r="150" spans="1:6" x14ac:dyDescent="0.2">
      <c r="A150" s="275"/>
      <c r="B150" s="78"/>
      <c r="C150" s="189"/>
      <c r="D150" s="185"/>
      <c r="E150" s="186"/>
      <c r="F150" s="187"/>
    </row>
    <row r="151" spans="1:6" x14ac:dyDescent="0.2">
      <c r="A151" s="275"/>
      <c r="B151" s="78"/>
      <c r="C151" s="189"/>
      <c r="D151" s="185"/>
      <c r="E151" s="186"/>
      <c r="F151" s="187"/>
    </row>
    <row r="152" spans="1:6" x14ac:dyDescent="0.2">
      <c r="A152" s="275"/>
      <c r="B152" s="78"/>
      <c r="C152" s="189"/>
      <c r="D152" s="185"/>
      <c r="E152" s="186"/>
      <c r="F152" s="187"/>
    </row>
    <row r="153" spans="1:6" x14ac:dyDescent="0.2">
      <c r="A153" s="275"/>
      <c r="B153" s="78"/>
      <c r="C153" s="189"/>
      <c r="D153" s="185"/>
      <c r="E153" s="186"/>
      <c r="F153" s="187"/>
    </row>
    <row r="154" spans="1:6" x14ac:dyDescent="0.2">
      <c r="A154" s="275"/>
      <c r="B154" s="78"/>
      <c r="C154" s="189"/>
      <c r="D154" s="185"/>
      <c r="E154" s="186"/>
      <c r="F154" s="187"/>
    </row>
    <row r="155" spans="1:6" x14ac:dyDescent="0.2">
      <c r="A155" s="275"/>
      <c r="B155" s="78"/>
      <c r="C155" s="189"/>
      <c r="D155" s="185"/>
      <c r="E155" s="186"/>
      <c r="F155" s="187"/>
    </row>
    <row r="156" spans="1:6" x14ac:dyDescent="0.2">
      <c r="A156" s="275"/>
      <c r="B156" s="78"/>
      <c r="C156" s="189"/>
      <c r="D156" s="185"/>
      <c r="E156" s="186"/>
      <c r="F156" s="187"/>
    </row>
    <row r="157" spans="1:6" x14ac:dyDescent="0.2">
      <c r="A157" s="275"/>
      <c r="B157" s="78"/>
      <c r="C157" s="189"/>
      <c r="D157" s="185"/>
      <c r="E157" s="186"/>
      <c r="F157" s="187"/>
    </row>
    <row r="158" spans="1:6" x14ac:dyDescent="0.2">
      <c r="A158" s="275"/>
      <c r="B158" s="78"/>
      <c r="C158" s="189"/>
      <c r="D158" s="185"/>
      <c r="E158" s="186"/>
      <c r="F158" s="187"/>
    </row>
    <row r="159" spans="1:6" x14ac:dyDescent="0.2">
      <c r="A159" s="275"/>
      <c r="B159" s="78"/>
      <c r="C159" s="189"/>
      <c r="D159" s="185"/>
      <c r="E159" s="186"/>
      <c r="F159" s="187"/>
    </row>
    <row r="160" spans="1:6" x14ac:dyDescent="0.2">
      <c r="A160" s="275"/>
      <c r="B160" s="78"/>
      <c r="C160" s="189"/>
      <c r="D160" s="185"/>
      <c r="E160" s="186"/>
      <c r="F160" s="187"/>
    </row>
    <row r="161" spans="1:6" x14ac:dyDescent="0.2">
      <c r="A161" s="275"/>
      <c r="B161" s="78"/>
      <c r="C161" s="189"/>
      <c r="D161" s="185"/>
      <c r="E161" s="186"/>
      <c r="F161" s="187"/>
    </row>
    <row r="162" spans="1:6" x14ac:dyDescent="0.2">
      <c r="A162" s="275"/>
      <c r="B162" s="78"/>
      <c r="C162" s="189"/>
      <c r="D162" s="185"/>
      <c r="E162" s="186"/>
      <c r="F162" s="187"/>
    </row>
    <row r="163" spans="1:6" x14ac:dyDescent="0.2">
      <c r="A163" s="275"/>
      <c r="B163" s="78"/>
      <c r="C163" s="189"/>
      <c r="D163" s="185"/>
      <c r="E163" s="186"/>
      <c r="F163" s="187"/>
    </row>
    <row r="164" spans="1:6" x14ac:dyDescent="0.2">
      <c r="A164" s="275"/>
      <c r="B164" s="78"/>
      <c r="C164" s="189"/>
      <c r="D164" s="185"/>
      <c r="E164" s="186"/>
      <c r="F164" s="187"/>
    </row>
    <row r="165" spans="1:6" x14ac:dyDescent="0.2">
      <c r="A165" s="275"/>
      <c r="B165" s="78"/>
      <c r="C165" s="189"/>
      <c r="D165" s="185"/>
      <c r="E165" s="186"/>
      <c r="F165" s="187"/>
    </row>
    <row r="166" spans="1:6" x14ac:dyDescent="0.2">
      <c r="A166" s="275"/>
      <c r="B166" s="78"/>
      <c r="C166" s="189"/>
      <c r="D166" s="185"/>
      <c r="E166" s="186"/>
      <c r="F166" s="187"/>
    </row>
    <row r="167" spans="1:6" x14ac:dyDescent="0.2">
      <c r="A167" s="275"/>
      <c r="B167" s="78"/>
      <c r="C167" s="189"/>
      <c r="D167" s="185"/>
      <c r="E167" s="186"/>
      <c r="F167" s="187"/>
    </row>
    <row r="168" spans="1:6" x14ac:dyDescent="0.2">
      <c r="A168" s="275"/>
      <c r="B168" s="78"/>
      <c r="C168" s="189"/>
      <c r="D168" s="185"/>
      <c r="E168" s="186"/>
      <c r="F168" s="187"/>
    </row>
    <row r="169" spans="1:6" x14ac:dyDescent="0.2">
      <c r="A169" s="275"/>
      <c r="B169" s="78"/>
      <c r="C169" s="189"/>
      <c r="D169" s="185"/>
      <c r="E169" s="186"/>
      <c r="F169" s="187"/>
    </row>
    <row r="170" spans="1:6" x14ac:dyDescent="0.2">
      <c r="A170" s="275"/>
      <c r="B170" s="78"/>
      <c r="C170" s="189"/>
      <c r="D170" s="185"/>
      <c r="E170" s="186"/>
      <c r="F170" s="187"/>
    </row>
    <row r="171" spans="1:6" x14ac:dyDescent="0.2">
      <c r="A171" s="275"/>
      <c r="B171" s="78"/>
      <c r="C171" s="189"/>
      <c r="D171" s="185"/>
      <c r="E171" s="186"/>
      <c r="F171" s="187"/>
    </row>
    <row r="172" spans="1:6" x14ac:dyDescent="0.2">
      <c r="A172" s="275"/>
      <c r="B172" s="78"/>
      <c r="C172" s="189"/>
      <c r="D172" s="185"/>
      <c r="E172" s="186"/>
      <c r="F172" s="187"/>
    </row>
    <row r="173" spans="1:6" x14ac:dyDescent="0.2">
      <c r="A173" s="275"/>
      <c r="B173" s="78"/>
      <c r="C173" s="189"/>
      <c r="D173" s="185"/>
      <c r="E173" s="186"/>
      <c r="F173" s="187"/>
    </row>
    <row r="174" spans="1:6" x14ac:dyDescent="0.2">
      <c r="A174" s="275"/>
      <c r="B174" s="78"/>
      <c r="C174" s="189"/>
      <c r="D174" s="185"/>
      <c r="E174" s="186"/>
      <c r="F174" s="187"/>
    </row>
    <row r="175" spans="1:6" x14ac:dyDescent="0.2">
      <c r="A175" s="275"/>
      <c r="B175" s="78"/>
      <c r="C175" s="189"/>
      <c r="D175" s="185"/>
      <c r="E175" s="186"/>
      <c r="F175" s="187"/>
    </row>
    <row r="176" spans="1:6" x14ac:dyDescent="0.2">
      <c r="A176" s="275"/>
      <c r="B176" s="78"/>
      <c r="C176" s="189"/>
      <c r="D176" s="185"/>
      <c r="E176" s="186"/>
      <c r="F176" s="187"/>
    </row>
    <row r="177" spans="1:6" x14ac:dyDescent="0.2">
      <c r="A177" s="275"/>
      <c r="B177" s="78"/>
      <c r="C177" s="189"/>
      <c r="D177" s="185"/>
      <c r="E177" s="186"/>
      <c r="F177" s="187"/>
    </row>
    <row r="178" spans="1:6" x14ac:dyDescent="0.2">
      <c r="A178" s="275"/>
      <c r="B178" s="78"/>
      <c r="C178" s="189"/>
      <c r="D178" s="185"/>
      <c r="E178" s="186"/>
      <c r="F178" s="187"/>
    </row>
    <row r="179" spans="1:6" x14ac:dyDescent="0.2">
      <c r="A179" s="275"/>
      <c r="B179" s="78"/>
      <c r="C179" s="189"/>
      <c r="D179" s="185"/>
      <c r="E179" s="186"/>
      <c r="F179" s="187"/>
    </row>
    <row r="180" spans="1:6" x14ac:dyDescent="0.2">
      <c r="A180" s="275"/>
      <c r="B180" s="78"/>
      <c r="C180" s="189"/>
      <c r="D180" s="185"/>
      <c r="E180" s="186"/>
      <c r="F180" s="187"/>
    </row>
    <row r="181" spans="1:6" x14ac:dyDescent="0.2">
      <c r="A181" s="275"/>
      <c r="B181" s="78"/>
      <c r="C181" s="189"/>
      <c r="D181" s="185"/>
      <c r="E181" s="186"/>
      <c r="F181" s="187"/>
    </row>
    <row r="182" spans="1:6" x14ac:dyDescent="0.2">
      <c r="A182" s="275"/>
      <c r="B182" s="78"/>
      <c r="C182" s="189"/>
      <c r="D182" s="185"/>
      <c r="E182" s="186"/>
      <c r="F182" s="187"/>
    </row>
    <row r="183" spans="1:6" x14ac:dyDescent="0.2">
      <c r="A183" s="275"/>
      <c r="B183" s="78"/>
      <c r="C183" s="189"/>
      <c r="D183" s="185"/>
      <c r="E183" s="186"/>
      <c r="F183" s="187"/>
    </row>
    <row r="184" spans="1:6" x14ac:dyDescent="0.2">
      <c r="A184" s="275"/>
      <c r="B184" s="78"/>
      <c r="C184" s="189"/>
      <c r="D184" s="185"/>
      <c r="E184" s="186"/>
      <c r="F184" s="187"/>
    </row>
    <row r="185" spans="1:6" x14ac:dyDescent="0.2">
      <c r="A185" s="275"/>
      <c r="B185" s="78"/>
      <c r="C185" s="189"/>
      <c r="D185" s="185"/>
      <c r="E185" s="186"/>
      <c r="F185" s="187"/>
    </row>
    <row r="186" spans="1:6" x14ac:dyDescent="0.2">
      <c r="A186" s="275"/>
      <c r="B186" s="78"/>
      <c r="C186" s="189"/>
      <c r="D186" s="185"/>
      <c r="E186" s="186"/>
      <c r="F186" s="187"/>
    </row>
    <row r="187" spans="1:6" x14ac:dyDescent="0.2">
      <c r="A187" s="275"/>
      <c r="B187" s="78"/>
      <c r="C187" s="189"/>
      <c r="D187" s="185"/>
      <c r="E187" s="186"/>
      <c r="F187" s="187"/>
    </row>
    <row r="188" spans="1:6" x14ac:dyDescent="0.2">
      <c r="A188" s="275"/>
      <c r="B188" s="78"/>
      <c r="C188" s="189"/>
      <c r="D188" s="185"/>
      <c r="E188" s="186"/>
      <c r="F188" s="187"/>
    </row>
    <row r="189" spans="1:6" x14ac:dyDescent="0.2">
      <c r="A189" s="275"/>
      <c r="B189" s="78"/>
      <c r="C189" s="189"/>
      <c r="D189" s="185"/>
      <c r="E189" s="186"/>
      <c r="F189" s="187"/>
    </row>
    <row r="190" spans="1:6" x14ac:dyDescent="0.2">
      <c r="A190" s="275"/>
      <c r="B190" s="78"/>
      <c r="C190" s="189"/>
      <c r="D190" s="185"/>
      <c r="E190" s="186"/>
      <c r="F190" s="187"/>
    </row>
    <row r="191" spans="1:6" x14ac:dyDescent="0.2">
      <c r="A191" s="275"/>
      <c r="B191" s="78"/>
      <c r="C191" s="189"/>
      <c r="D191" s="185"/>
      <c r="E191" s="186"/>
      <c r="F191" s="187"/>
    </row>
    <row r="192" spans="1:6" x14ac:dyDescent="0.2">
      <c r="A192" s="275"/>
      <c r="B192" s="78"/>
      <c r="C192" s="189"/>
      <c r="D192" s="185"/>
      <c r="E192" s="186"/>
      <c r="F192" s="187"/>
    </row>
    <row r="193" spans="1:6" x14ac:dyDescent="0.2">
      <c r="A193" s="275"/>
      <c r="B193" s="78"/>
      <c r="C193" s="189"/>
      <c r="D193" s="185"/>
      <c r="E193" s="186"/>
      <c r="F193" s="187"/>
    </row>
    <row r="194" spans="1:6" x14ac:dyDescent="0.2">
      <c r="A194" s="275"/>
      <c r="B194" s="78"/>
      <c r="C194" s="189"/>
      <c r="D194" s="185"/>
      <c r="E194" s="186"/>
      <c r="F194" s="187"/>
    </row>
    <row r="195" spans="1:6" x14ac:dyDescent="0.2">
      <c r="A195" s="275"/>
      <c r="B195" s="78"/>
      <c r="C195" s="189"/>
      <c r="D195" s="185"/>
      <c r="E195" s="186"/>
      <c r="F195" s="187"/>
    </row>
    <row r="196" spans="1:6" x14ac:dyDescent="0.2">
      <c r="A196" s="275"/>
      <c r="B196" s="78"/>
      <c r="C196" s="189"/>
      <c r="D196" s="185"/>
      <c r="E196" s="186"/>
      <c r="F196" s="187"/>
    </row>
    <row r="197" spans="1:6" x14ac:dyDescent="0.2">
      <c r="A197" s="275"/>
      <c r="B197" s="78"/>
      <c r="C197" s="189"/>
      <c r="D197" s="185"/>
      <c r="E197" s="186"/>
      <c r="F197" s="187"/>
    </row>
    <row r="198" spans="1:6" x14ac:dyDescent="0.2">
      <c r="A198" s="275"/>
      <c r="B198" s="78"/>
      <c r="C198" s="189"/>
      <c r="D198" s="185"/>
      <c r="E198" s="186"/>
      <c r="F198" s="187"/>
    </row>
    <row r="199" spans="1:6" x14ac:dyDescent="0.2">
      <c r="A199" s="275"/>
      <c r="B199" s="78"/>
      <c r="C199" s="189"/>
      <c r="D199" s="185"/>
      <c r="E199" s="186"/>
      <c r="F199" s="187"/>
    </row>
    <row r="200" spans="1:6" x14ac:dyDescent="0.2">
      <c r="A200" s="275"/>
      <c r="B200" s="78"/>
      <c r="C200" s="189"/>
      <c r="D200" s="185"/>
      <c r="E200" s="186"/>
      <c r="F200" s="187"/>
    </row>
    <row r="201" spans="1:6" x14ac:dyDescent="0.2">
      <c r="A201" s="275"/>
      <c r="B201" s="78"/>
      <c r="C201" s="189"/>
      <c r="D201" s="185"/>
      <c r="E201" s="186"/>
      <c r="F201" s="187"/>
    </row>
    <row r="202" spans="1:6" x14ac:dyDescent="0.2">
      <c r="A202" s="275"/>
      <c r="B202" s="78"/>
      <c r="C202" s="189"/>
      <c r="D202" s="185"/>
      <c r="E202" s="186"/>
      <c r="F202" s="187"/>
    </row>
    <row r="203" spans="1:6" x14ac:dyDescent="0.2">
      <c r="A203" s="275"/>
      <c r="B203" s="78"/>
      <c r="C203" s="189"/>
      <c r="D203" s="185"/>
      <c r="E203" s="186"/>
      <c r="F203" s="187"/>
    </row>
    <row r="204" spans="1:6" x14ac:dyDescent="0.2">
      <c r="A204" s="275"/>
      <c r="B204" s="78"/>
      <c r="C204" s="189"/>
      <c r="D204" s="185"/>
      <c r="E204" s="186"/>
      <c r="F204" s="187"/>
    </row>
    <row r="205" spans="1:6" x14ac:dyDescent="0.2">
      <c r="A205" s="275"/>
      <c r="B205" s="78"/>
      <c r="C205" s="189"/>
      <c r="D205" s="185"/>
      <c r="E205" s="186"/>
      <c r="F205" s="187"/>
    </row>
    <row r="206" spans="1:6" x14ac:dyDescent="0.2">
      <c r="A206" s="275"/>
      <c r="B206" s="78"/>
      <c r="C206" s="189"/>
      <c r="D206" s="185"/>
      <c r="E206" s="186"/>
      <c r="F206" s="187"/>
    </row>
    <row r="207" spans="1:6" x14ac:dyDescent="0.2">
      <c r="A207" s="275"/>
      <c r="B207" s="78"/>
      <c r="C207" s="189"/>
      <c r="D207" s="185"/>
      <c r="E207" s="186"/>
      <c r="F207" s="187"/>
    </row>
    <row r="208" spans="1:6" x14ac:dyDescent="0.2">
      <c r="A208" s="275"/>
      <c r="B208" s="78"/>
      <c r="C208" s="189"/>
      <c r="D208" s="185"/>
      <c r="E208" s="186"/>
      <c r="F208" s="187"/>
    </row>
    <row r="209" spans="1:6" x14ac:dyDescent="0.2">
      <c r="A209" s="275"/>
      <c r="B209" s="78"/>
      <c r="C209" s="189"/>
      <c r="D209" s="185"/>
      <c r="E209" s="186"/>
      <c r="F209" s="187"/>
    </row>
    <row r="210" spans="1:6" x14ac:dyDescent="0.2">
      <c r="A210" s="275"/>
      <c r="B210" s="78"/>
      <c r="C210" s="189"/>
      <c r="D210" s="185"/>
      <c r="E210" s="186"/>
      <c r="F210" s="187"/>
    </row>
    <row r="211" spans="1:6" x14ac:dyDescent="0.2">
      <c r="A211" s="275"/>
      <c r="B211" s="78"/>
      <c r="C211" s="189"/>
      <c r="D211" s="185"/>
      <c r="E211" s="186"/>
      <c r="F211" s="187"/>
    </row>
    <row r="212" spans="1:6" x14ac:dyDescent="0.2">
      <c r="A212" s="275"/>
      <c r="B212" s="78"/>
      <c r="C212" s="189"/>
      <c r="D212" s="185"/>
      <c r="E212" s="186"/>
      <c r="F212" s="187"/>
    </row>
    <row r="213" spans="1:6" x14ac:dyDescent="0.2">
      <c r="A213" s="275"/>
      <c r="B213" s="78"/>
      <c r="C213" s="189"/>
      <c r="D213" s="185"/>
      <c r="E213" s="186"/>
      <c r="F213" s="187"/>
    </row>
    <row r="214" spans="1:6" x14ac:dyDescent="0.2">
      <c r="A214" s="275"/>
      <c r="B214" s="78"/>
      <c r="C214" s="189"/>
      <c r="D214" s="185"/>
      <c r="E214" s="186"/>
      <c r="F214" s="187"/>
    </row>
    <row r="215" spans="1:6" x14ac:dyDescent="0.2">
      <c r="A215" s="275"/>
      <c r="B215" s="78"/>
      <c r="C215" s="189"/>
      <c r="D215" s="185"/>
      <c r="E215" s="186"/>
      <c r="F215" s="187"/>
    </row>
    <row r="216" spans="1:6" x14ac:dyDescent="0.2">
      <c r="A216" s="275"/>
      <c r="B216" s="78"/>
      <c r="C216" s="189"/>
      <c r="D216" s="185"/>
      <c r="E216" s="186"/>
      <c r="F216" s="187"/>
    </row>
    <row r="217" spans="1:6" x14ac:dyDescent="0.2">
      <c r="A217" s="275"/>
      <c r="B217" s="78"/>
      <c r="C217" s="189"/>
      <c r="D217" s="185"/>
      <c r="E217" s="186"/>
      <c r="F217" s="187"/>
    </row>
    <row r="218" spans="1:6" x14ac:dyDescent="0.2">
      <c r="A218" s="275"/>
      <c r="B218" s="78"/>
      <c r="C218" s="189"/>
      <c r="D218" s="185"/>
      <c r="E218" s="186"/>
      <c r="F218" s="187"/>
    </row>
    <row r="219" spans="1:6" x14ac:dyDescent="0.2">
      <c r="A219" s="275"/>
      <c r="B219" s="78"/>
      <c r="C219" s="189"/>
      <c r="D219" s="185"/>
      <c r="E219" s="186"/>
      <c r="F219" s="187"/>
    </row>
    <row r="220" spans="1:6" x14ac:dyDescent="0.2">
      <c r="A220" s="275"/>
      <c r="B220" s="78"/>
      <c r="C220" s="189"/>
      <c r="D220" s="185"/>
      <c r="E220" s="186"/>
      <c r="F220" s="187"/>
    </row>
    <row r="221" spans="1:6" x14ac:dyDescent="0.2">
      <c r="A221" s="275"/>
      <c r="B221" s="78"/>
      <c r="C221" s="189"/>
      <c r="D221" s="185"/>
      <c r="E221" s="186"/>
      <c r="F221" s="187"/>
    </row>
    <row r="222" spans="1:6" x14ac:dyDescent="0.2">
      <c r="A222" s="275"/>
      <c r="B222" s="78"/>
      <c r="C222" s="189"/>
      <c r="D222" s="185"/>
      <c r="E222" s="186"/>
      <c r="F222" s="187"/>
    </row>
    <row r="223" spans="1:6" x14ac:dyDescent="0.2">
      <c r="A223" s="275"/>
      <c r="B223" s="78"/>
      <c r="C223" s="189"/>
      <c r="D223" s="185"/>
      <c r="E223" s="186"/>
      <c r="F223" s="187"/>
    </row>
    <row r="224" spans="1:6" x14ac:dyDescent="0.2">
      <c r="A224" s="275"/>
      <c r="B224" s="78"/>
      <c r="C224" s="189"/>
      <c r="D224" s="185"/>
      <c r="E224" s="186"/>
      <c r="F224" s="187"/>
    </row>
    <row r="225" spans="1:6" x14ac:dyDescent="0.2">
      <c r="A225" s="275"/>
      <c r="B225" s="78"/>
      <c r="C225" s="189"/>
      <c r="D225" s="185"/>
      <c r="E225" s="186"/>
      <c r="F225" s="187"/>
    </row>
    <row r="226" spans="1:6" x14ac:dyDescent="0.2">
      <c r="A226" s="275"/>
      <c r="B226" s="78"/>
      <c r="C226" s="189"/>
      <c r="D226" s="185"/>
      <c r="E226" s="186"/>
      <c r="F226" s="187"/>
    </row>
    <row r="227" spans="1:6" x14ac:dyDescent="0.2">
      <c r="A227" s="275"/>
      <c r="B227" s="78"/>
      <c r="C227" s="189"/>
      <c r="D227" s="185"/>
      <c r="E227" s="186"/>
      <c r="F227" s="187"/>
    </row>
    <row r="228" spans="1:6" x14ac:dyDescent="0.2">
      <c r="A228" s="275"/>
      <c r="B228" s="78"/>
      <c r="C228" s="189"/>
      <c r="D228" s="185"/>
      <c r="E228" s="186"/>
      <c r="F228" s="187"/>
    </row>
    <row r="229" spans="1:6" x14ac:dyDescent="0.2">
      <c r="A229" s="275"/>
      <c r="B229" s="78"/>
      <c r="C229" s="189"/>
      <c r="D229" s="185"/>
      <c r="E229" s="186"/>
      <c r="F229" s="187"/>
    </row>
    <row r="230" spans="1:6" x14ac:dyDescent="0.2">
      <c r="A230" s="275"/>
      <c r="B230" s="78"/>
      <c r="C230" s="189"/>
      <c r="D230" s="185"/>
      <c r="E230" s="186"/>
      <c r="F230" s="187"/>
    </row>
    <row r="231" spans="1:6" x14ac:dyDescent="0.2">
      <c r="A231" s="275"/>
      <c r="B231" s="78"/>
      <c r="C231" s="189"/>
      <c r="D231" s="185"/>
      <c r="E231" s="186"/>
      <c r="F231" s="187"/>
    </row>
    <row r="232" spans="1:6" x14ac:dyDescent="0.2">
      <c r="A232" s="275"/>
      <c r="B232" s="78"/>
      <c r="C232" s="189"/>
      <c r="D232" s="185"/>
      <c r="E232" s="186"/>
      <c r="F232" s="187"/>
    </row>
    <row r="233" spans="1:6" x14ac:dyDescent="0.2">
      <c r="A233" s="275"/>
      <c r="B233" s="78"/>
      <c r="C233" s="189"/>
      <c r="D233" s="185"/>
      <c r="E233" s="186"/>
      <c r="F233" s="187"/>
    </row>
    <row r="234" spans="1:6" x14ac:dyDescent="0.2">
      <c r="A234" s="275"/>
      <c r="B234" s="78"/>
      <c r="C234" s="189"/>
      <c r="D234" s="185"/>
      <c r="E234" s="186"/>
      <c r="F234" s="187"/>
    </row>
    <row r="235" spans="1:6" x14ac:dyDescent="0.2">
      <c r="A235" s="275"/>
      <c r="B235" s="78"/>
      <c r="C235" s="189"/>
      <c r="D235" s="185"/>
      <c r="E235" s="186"/>
      <c r="F235" s="187"/>
    </row>
    <row r="236" spans="1:6" x14ac:dyDescent="0.2">
      <c r="A236" s="275"/>
      <c r="B236" s="78"/>
      <c r="C236" s="189"/>
      <c r="D236" s="185"/>
      <c r="E236" s="186"/>
      <c r="F236" s="187"/>
    </row>
    <row r="237" spans="1:6" x14ac:dyDescent="0.2">
      <c r="A237" s="275"/>
      <c r="B237" s="78"/>
      <c r="C237" s="189"/>
      <c r="D237" s="185"/>
      <c r="E237" s="186"/>
      <c r="F237" s="187"/>
    </row>
    <row r="238" spans="1:6" x14ac:dyDescent="0.2">
      <c r="A238" s="275"/>
      <c r="B238" s="78"/>
      <c r="C238" s="189"/>
      <c r="D238" s="185"/>
      <c r="E238" s="186"/>
      <c r="F238" s="187"/>
    </row>
    <row r="239" spans="1:6" x14ac:dyDescent="0.2">
      <c r="A239" s="275"/>
      <c r="B239" s="78"/>
      <c r="C239" s="189"/>
      <c r="D239" s="185"/>
      <c r="E239" s="186"/>
      <c r="F239" s="187"/>
    </row>
    <row r="240" spans="1:6" x14ac:dyDescent="0.2">
      <c r="A240" s="275"/>
      <c r="B240" s="78"/>
      <c r="C240" s="189"/>
      <c r="D240" s="185"/>
      <c r="E240" s="186"/>
      <c r="F240" s="187"/>
    </row>
    <row r="241" spans="1:6" x14ac:dyDescent="0.2">
      <c r="A241" s="275"/>
      <c r="B241" s="78"/>
      <c r="C241" s="189"/>
      <c r="D241" s="185"/>
      <c r="E241" s="186"/>
      <c r="F241" s="187"/>
    </row>
    <row r="242" spans="1:6" x14ac:dyDescent="0.2">
      <c r="A242" s="275"/>
      <c r="B242" s="78"/>
      <c r="C242" s="189"/>
      <c r="D242" s="185"/>
      <c r="E242" s="186"/>
      <c r="F242" s="187"/>
    </row>
    <row r="243" spans="1:6" x14ac:dyDescent="0.2">
      <c r="A243" s="275"/>
      <c r="B243" s="78"/>
      <c r="C243" s="189"/>
      <c r="D243" s="185"/>
      <c r="E243" s="186"/>
      <c r="F243" s="187"/>
    </row>
    <row r="244" spans="1:6" x14ac:dyDescent="0.2">
      <c r="A244" s="275"/>
      <c r="B244" s="78"/>
      <c r="C244" s="189"/>
      <c r="D244" s="185"/>
      <c r="E244" s="186"/>
      <c r="F244" s="187"/>
    </row>
    <row r="245" spans="1:6" x14ac:dyDescent="0.2">
      <c r="A245" s="275"/>
      <c r="B245" s="78"/>
      <c r="C245" s="189"/>
      <c r="D245" s="185"/>
      <c r="E245" s="186"/>
      <c r="F245" s="187"/>
    </row>
    <row r="246" spans="1:6" x14ac:dyDescent="0.2">
      <c r="A246" s="275"/>
      <c r="B246" s="78"/>
      <c r="C246" s="189"/>
      <c r="D246" s="185"/>
      <c r="E246" s="186"/>
      <c r="F246" s="187"/>
    </row>
    <row r="247" spans="1:6" x14ac:dyDescent="0.2">
      <c r="A247" s="275"/>
      <c r="B247" s="78"/>
      <c r="C247" s="189"/>
      <c r="D247" s="185"/>
      <c r="E247" s="186"/>
      <c r="F247" s="187"/>
    </row>
    <row r="248" spans="1:6" x14ac:dyDescent="0.2">
      <c r="A248" s="275"/>
      <c r="B248" s="78"/>
      <c r="C248" s="189"/>
      <c r="D248" s="185"/>
      <c r="E248" s="186"/>
      <c r="F248" s="187"/>
    </row>
    <row r="249" spans="1:6" x14ac:dyDescent="0.2">
      <c r="A249" s="275"/>
      <c r="B249" s="78"/>
      <c r="C249" s="189"/>
      <c r="D249" s="185"/>
      <c r="E249" s="186"/>
      <c r="F249" s="187"/>
    </row>
    <row r="250" spans="1:6" x14ac:dyDescent="0.2">
      <c r="A250" s="275"/>
      <c r="B250" s="78"/>
      <c r="C250" s="189"/>
      <c r="D250" s="185"/>
      <c r="E250" s="186"/>
      <c r="F250" s="187"/>
    </row>
    <row r="251" spans="1:6" x14ac:dyDescent="0.2">
      <c r="A251" s="275"/>
      <c r="B251" s="78"/>
      <c r="C251" s="189"/>
      <c r="D251" s="185"/>
      <c r="E251" s="186"/>
      <c r="F251" s="187"/>
    </row>
    <row r="252" spans="1:6" x14ac:dyDescent="0.2">
      <c r="A252" s="275"/>
      <c r="B252" s="78"/>
      <c r="C252" s="189"/>
      <c r="D252" s="185"/>
      <c r="E252" s="186"/>
      <c r="F252" s="187"/>
    </row>
    <row r="253" spans="1:6" x14ac:dyDescent="0.2">
      <c r="A253" s="275"/>
      <c r="B253" s="78"/>
      <c r="C253" s="189"/>
      <c r="D253" s="185"/>
      <c r="E253" s="186"/>
      <c r="F253" s="187"/>
    </row>
    <row r="254" spans="1:6" x14ac:dyDescent="0.2">
      <c r="A254" s="275"/>
      <c r="B254" s="78"/>
      <c r="C254" s="189"/>
      <c r="D254" s="185"/>
      <c r="E254" s="186"/>
      <c r="F254" s="187"/>
    </row>
    <row r="255" spans="1:6" x14ac:dyDescent="0.2">
      <c r="A255" s="275"/>
      <c r="B255" s="78"/>
      <c r="C255" s="189"/>
      <c r="D255" s="185"/>
      <c r="E255" s="186"/>
      <c r="F255" s="187"/>
    </row>
    <row r="256" spans="1:6" x14ac:dyDescent="0.2">
      <c r="A256" s="275"/>
      <c r="B256" s="78"/>
      <c r="C256" s="189"/>
      <c r="D256" s="185"/>
      <c r="E256" s="186"/>
      <c r="F256" s="187"/>
    </row>
    <row r="257" spans="1:6" x14ac:dyDescent="0.2">
      <c r="A257" s="275"/>
      <c r="B257" s="78"/>
      <c r="C257" s="189"/>
      <c r="D257" s="185"/>
      <c r="E257" s="186"/>
      <c r="F257" s="187"/>
    </row>
    <row r="258" spans="1:6" x14ac:dyDescent="0.2">
      <c r="A258" s="275"/>
      <c r="B258" s="78"/>
      <c r="C258" s="189"/>
      <c r="D258" s="185"/>
      <c r="E258" s="186"/>
      <c r="F258" s="187"/>
    </row>
    <row r="259" spans="1:6" x14ac:dyDescent="0.2">
      <c r="A259" s="275"/>
      <c r="B259" s="78"/>
      <c r="C259" s="189"/>
      <c r="D259" s="185"/>
      <c r="E259" s="186"/>
      <c r="F259" s="187"/>
    </row>
    <row r="260" spans="1:6" x14ac:dyDescent="0.2">
      <c r="A260" s="275"/>
      <c r="B260" s="78"/>
      <c r="C260" s="189"/>
      <c r="D260" s="185"/>
      <c r="E260" s="186"/>
      <c r="F260" s="187"/>
    </row>
    <row r="261" spans="1:6" x14ac:dyDescent="0.2">
      <c r="A261" s="275"/>
      <c r="B261" s="78"/>
      <c r="C261" s="189"/>
      <c r="D261" s="185"/>
      <c r="E261" s="186"/>
      <c r="F261" s="187"/>
    </row>
    <row r="262" spans="1:6" x14ac:dyDescent="0.2">
      <c r="A262" s="275"/>
      <c r="B262" s="78"/>
      <c r="C262" s="189"/>
      <c r="D262" s="185"/>
      <c r="E262" s="186"/>
      <c r="F262" s="187"/>
    </row>
    <row r="263" spans="1:6" x14ac:dyDescent="0.2">
      <c r="A263" s="275"/>
      <c r="B263" s="78"/>
      <c r="C263" s="189"/>
      <c r="D263" s="185"/>
      <c r="E263" s="186"/>
      <c r="F263" s="187"/>
    </row>
    <row r="264" spans="1:6" x14ac:dyDescent="0.2">
      <c r="A264" s="275"/>
      <c r="B264" s="78"/>
      <c r="C264" s="189"/>
      <c r="D264" s="185"/>
      <c r="E264" s="186"/>
      <c r="F264" s="187"/>
    </row>
    <row r="265" spans="1:6" x14ac:dyDescent="0.2">
      <c r="A265" s="275"/>
      <c r="B265" s="78"/>
      <c r="C265" s="189"/>
      <c r="D265" s="185"/>
      <c r="E265" s="186"/>
      <c r="F265" s="187"/>
    </row>
    <row r="266" spans="1:6" x14ac:dyDescent="0.2">
      <c r="A266" s="275"/>
      <c r="B266" s="78"/>
      <c r="C266" s="189"/>
      <c r="D266" s="185"/>
      <c r="E266" s="186"/>
      <c r="F266" s="187"/>
    </row>
    <row r="267" spans="1:6" x14ac:dyDescent="0.2">
      <c r="A267" s="275"/>
      <c r="B267" s="78"/>
      <c r="C267" s="189"/>
      <c r="D267" s="185"/>
      <c r="E267" s="186"/>
      <c r="F267" s="187"/>
    </row>
    <row r="268" spans="1:6" x14ac:dyDescent="0.2">
      <c r="A268" s="275"/>
      <c r="B268" s="78"/>
      <c r="C268" s="189"/>
      <c r="D268" s="185"/>
      <c r="E268" s="186"/>
      <c r="F268" s="187"/>
    </row>
    <row r="269" spans="1:6" x14ac:dyDescent="0.2">
      <c r="A269" s="275"/>
      <c r="B269" s="78"/>
      <c r="C269" s="189"/>
      <c r="D269" s="185"/>
      <c r="E269" s="186"/>
      <c r="F269" s="187"/>
    </row>
    <row r="270" spans="1:6" x14ac:dyDescent="0.2">
      <c r="A270" s="275"/>
      <c r="B270" s="78"/>
      <c r="C270" s="189"/>
      <c r="D270" s="185"/>
      <c r="E270" s="186"/>
      <c r="F270" s="187"/>
    </row>
    <row r="271" spans="1:6" x14ac:dyDescent="0.2">
      <c r="A271" s="275"/>
      <c r="B271" s="78"/>
      <c r="C271" s="189"/>
      <c r="D271" s="185"/>
      <c r="E271" s="186"/>
      <c r="F271" s="187"/>
    </row>
    <row r="272" spans="1:6" x14ac:dyDescent="0.2">
      <c r="A272" s="275"/>
      <c r="B272" s="78"/>
      <c r="C272" s="189"/>
      <c r="D272" s="185"/>
      <c r="E272" s="186"/>
      <c r="F272" s="187"/>
    </row>
    <row r="273" spans="1:6" x14ac:dyDescent="0.2">
      <c r="A273" s="275"/>
      <c r="B273" s="78"/>
      <c r="C273" s="189"/>
      <c r="D273" s="185"/>
      <c r="E273" s="186"/>
      <c r="F273" s="187"/>
    </row>
    <row r="274" spans="1:6" x14ac:dyDescent="0.2">
      <c r="A274" s="275"/>
      <c r="B274" s="78"/>
      <c r="C274" s="189"/>
      <c r="D274" s="185"/>
      <c r="E274" s="186"/>
      <c r="F274" s="187"/>
    </row>
    <row r="275" spans="1:6" x14ac:dyDescent="0.2">
      <c r="A275" s="275"/>
      <c r="B275" s="78"/>
      <c r="C275" s="189"/>
      <c r="D275" s="185"/>
      <c r="E275" s="186"/>
      <c r="F275" s="187"/>
    </row>
    <row r="276" spans="1:6" x14ac:dyDescent="0.2">
      <c r="A276" s="275"/>
      <c r="B276" s="78"/>
      <c r="C276" s="189"/>
      <c r="D276" s="185"/>
      <c r="E276" s="186"/>
      <c r="F276" s="187"/>
    </row>
    <row r="277" spans="1:6" x14ac:dyDescent="0.2">
      <c r="A277" s="275"/>
      <c r="B277" s="78"/>
      <c r="C277" s="189"/>
      <c r="D277" s="185"/>
      <c r="E277" s="186"/>
      <c r="F277" s="187"/>
    </row>
    <row r="278" spans="1:6" x14ac:dyDescent="0.2">
      <c r="A278" s="275"/>
      <c r="B278" s="78"/>
      <c r="C278" s="189"/>
      <c r="D278" s="185"/>
      <c r="E278" s="186"/>
      <c r="F278" s="187"/>
    </row>
    <row r="279" spans="1:6" x14ac:dyDescent="0.2">
      <c r="A279" s="275"/>
      <c r="B279" s="78"/>
      <c r="C279" s="189"/>
      <c r="D279" s="185"/>
      <c r="E279" s="186"/>
      <c r="F279" s="187"/>
    </row>
    <row r="280" spans="1:6" x14ac:dyDescent="0.2">
      <c r="A280" s="275"/>
      <c r="B280" s="78"/>
      <c r="C280" s="189"/>
      <c r="D280" s="185"/>
      <c r="E280" s="186"/>
      <c r="F280" s="187"/>
    </row>
    <row r="281" spans="1:6" x14ac:dyDescent="0.2">
      <c r="A281" s="275"/>
      <c r="B281" s="78"/>
      <c r="C281" s="189"/>
      <c r="D281" s="185"/>
      <c r="E281" s="186"/>
      <c r="F281" s="187"/>
    </row>
    <row r="282" spans="1:6" x14ac:dyDescent="0.2">
      <c r="A282" s="275"/>
      <c r="B282" s="78"/>
      <c r="C282" s="189"/>
      <c r="D282" s="185"/>
      <c r="E282" s="186"/>
      <c r="F282" s="187"/>
    </row>
    <row r="283" spans="1:6" x14ac:dyDescent="0.2">
      <c r="A283" s="275"/>
      <c r="B283" s="78"/>
      <c r="C283" s="189"/>
      <c r="D283" s="185"/>
      <c r="E283" s="186"/>
      <c r="F283" s="187"/>
    </row>
    <row r="284" spans="1:6" x14ac:dyDescent="0.2">
      <c r="A284" s="275"/>
      <c r="B284" s="78"/>
      <c r="C284" s="189"/>
      <c r="D284" s="185"/>
      <c r="E284" s="186"/>
      <c r="F284" s="187"/>
    </row>
    <row r="285" spans="1:6" x14ac:dyDescent="0.2">
      <c r="A285" s="275"/>
      <c r="B285" s="78"/>
      <c r="C285" s="189"/>
      <c r="D285" s="185"/>
      <c r="E285" s="186"/>
      <c r="F285" s="187"/>
    </row>
    <row r="286" spans="1:6" x14ac:dyDescent="0.2">
      <c r="A286" s="275"/>
      <c r="B286" s="78"/>
      <c r="C286" s="189"/>
      <c r="D286" s="185"/>
      <c r="E286" s="186"/>
      <c r="F286" s="187"/>
    </row>
    <row r="287" spans="1:6" x14ac:dyDescent="0.2">
      <c r="A287" s="275"/>
      <c r="B287" s="78"/>
      <c r="C287" s="189"/>
      <c r="D287" s="185"/>
      <c r="E287" s="186"/>
      <c r="F287" s="187"/>
    </row>
    <row r="288" spans="1:6" x14ac:dyDescent="0.2">
      <c r="A288" s="275"/>
      <c r="B288" s="78"/>
      <c r="C288" s="189"/>
      <c r="D288" s="185"/>
      <c r="E288" s="186"/>
      <c r="F288" s="187"/>
    </row>
    <row r="289" spans="1:6" x14ac:dyDescent="0.2">
      <c r="A289" s="275"/>
      <c r="B289" s="78"/>
      <c r="C289" s="189"/>
      <c r="D289" s="185"/>
      <c r="E289" s="186"/>
      <c r="F289" s="187"/>
    </row>
    <row r="290" spans="1:6" x14ac:dyDescent="0.2">
      <c r="A290" s="275"/>
      <c r="B290" s="78"/>
      <c r="C290" s="189"/>
      <c r="D290" s="185"/>
      <c r="E290" s="186"/>
      <c r="F290" s="187"/>
    </row>
    <row r="291" spans="1:6" x14ac:dyDescent="0.2">
      <c r="A291" s="275"/>
      <c r="B291" s="78"/>
      <c r="C291" s="189"/>
      <c r="D291" s="185"/>
      <c r="E291" s="186"/>
      <c r="F291" s="187"/>
    </row>
    <row r="292" spans="1:6" x14ac:dyDescent="0.2">
      <c r="A292" s="275"/>
      <c r="B292" s="78"/>
      <c r="C292" s="189"/>
      <c r="D292" s="185"/>
      <c r="E292" s="186"/>
      <c r="F292" s="187"/>
    </row>
    <row r="293" spans="1:6" x14ac:dyDescent="0.2">
      <c r="A293" s="275"/>
      <c r="B293" s="78"/>
      <c r="C293" s="189"/>
      <c r="D293" s="185"/>
      <c r="E293" s="186"/>
      <c r="F293" s="187"/>
    </row>
    <row r="294" spans="1:6" x14ac:dyDescent="0.2">
      <c r="A294" s="275"/>
      <c r="B294" s="78"/>
      <c r="C294" s="189"/>
      <c r="D294" s="185"/>
      <c r="E294" s="186"/>
      <c r="F294" s="187"/>
    </row>
    <row r="295" spans="1:6" x14ac:dyDescent="0.2">
      <c r="A295" s="275"/>
      <c r="B295" s="78"/>
      <c r="C295" s="189"/>
      <c r="D295" s="185"/>
      <c r="E295" s="186"/>
      <c r="F295" s="187"/>
    </row>
    <row r="296" spans="1:6" x14ac:dyDescent="0.2">
      <c r="A296" s="275"/>
      <c r="B296" s="78"/>
      <c r="C296" s="189"/>
      <c r="D296" s="185"/>
      <c r="E296" s="186"/>
      <c r="F296" s="187"/>
    </row>
    <row r="297" spans="1:6" x14ac:dyDescent="0.2">
      <c r="A297" s="275"/>
      <c r="B297" s="78"/>
      <c r="C297" s="189"/>
      <c r="D297" s="185"/>
      <c r="E297" s="186"/>
      <c r="F297" s="187"/>
    </row>
    <row r="298" spans="1:6" x14ac:dyDescent="0.2">
      <c r="A298" s="275"/>
      <c r="B298" s="78"/>
      <c r="C298" s="189"/>
      <c r="D298" s="185"/>
      <c r="E298" s="186"/>
      <c r="F298" s="187"/>
    </row>
    <row r="299" spans="1:6" x14ac:dyDescent="0.2">
      <c r="A299" s="275"/>
      <c r="B299" s="78"/>
      <c r="C299" s="189"/>
      <c r="D299" s="185"/>
      <c r="E299" s="186"/>
      <c r="F299" s="187"/>
    </row>
    <row r="300" spans="1:6" x14ac:dyDescent="0.2">
      <c r="A300" s="275"/>
      <c r="B300" s="78"/>
      <c r="C300" s="189"/>
      <c r="D300" s="185"/>
      <c r="E300" s="186"/>
      <c r="F300" s="187"/>
    </row>
    <row r="301" spans="1:6" x14ac:dyDescent="0.2">
      <c r="A301" s="275"/>
      <c r="B301" s="78"/>
      <c r="C301" s="189"/>
      <c r="D301" s="185"/>
      <c r="E301" s="186"/>
      <c r="F301" s="187"/>
    </row>
    <row r="302" spans="1:6" x14ac:dyDescent="0.2">
      <c r="A302" s="275"/>
      <c r="B302" s="78"/>
      <c r="C302" s="189"/>
      <c r="D302" s="185"/>
      <c r="E302" s="186"/>
      <c r="F302" s="187"/>
    </row>
    <row r="303" spans="1:6" x14ac:dyDescent="0.2">
      <c r="A303" s="275"/>
      <c r="B303" s="78"/>
      <c r="C303" s="189"/>
      <c r="D303" s="185"/>
      <c r="E303" s="186"/>
      <c r="F303" s="187"/>
    </row>
    <row r="304" spans="1:6" x14ac:dyDescent="0.2">
      <c r="A304" s="275"/>
      <c r="B304" s="78"/>
      <c r="C304" s="189"/>
      <c r="D304" s="185"/>
      <c r="E304" s="186"/>
      <c r="F304" s="187"/>
    </row>
    <row r="305" spans="1:6" x14ac:dyDescent="0.2">
      <c r="A305" s="275"/>
      <c r="B305" s="78"/>
      <c r="C305" s="189"/>
      <c r="D305" s="185"/>
      <c r="E305" s="186"/>
      <c r="F305" s="187"/>
    </row>
    <row r="306" spans="1:6" x14ac:dyDescent="0.2">
      <c r="A306" s="275"/>
      <c r="B306" s="78"/>
      <c r="C306" s="189"/>
      <c r="D306" s="185"/>
      <c r="E306" s="186"/>
      <c r="F306" s="187"/>
    </row>
    <row r="307" spans="1:6" x14ac:dyDescent="0.2">
      <c r="A307" s="275"/>
      <c r="B307" s="78"/>
      <c r="C307" s="189"/>
      <c r="D307" s="185"/>
      <c r="E307" s="186"/>
      <c r="F307" s="187"/>
    </row>
    <row r="308" spans="1:6" x14ac:dyDescent="0.2">
      <c r="A308" s="275"/>
      <c r="B308" s="78"/>
      <c r="C308" s="189"/>
      <c r="D308" s="185"/>
      <c r="E308" s="186"/>
      <c r="F308" s="187"/>
    </row>
    <row r="309" spans="1:6" x14ac:dyDescent="0.2">
      <c r="A309" s="275"/>
      <c r="B309" s="78"/>
      <c r="C309" s="189"/>
      <c r="D309" s="185"/>
      <c r="E309" s="186"/>
      <c r="F309" s="187"/>
    </row>
    <row r="310" spans="1:6" x14ac:dyDescent="0.2">
      <c r="A310" s="275"/>
      <c r="B310" s="78"/>
      <c r="C310" s="189"/>
      <c r="D310" s="185"/>
      <c r="E310" s="186"/>
      <c r="F310" s="187"/>
    </row>
    <row r="311" spans="1:6" x14ac:dyDescent="0.2">
      <c r="A311" s="275"/>
      <c r="B311" s="78"/>
      <c r="C311" s="189"/>
      <c r="D311" s="185"/>
      <c r="E311" s="186"/>
      <c r="F311" s="187"/>
    </row>
    <row r="312" spans="1:6" x14ac:dyDescent="0.2">
      <c r="A312" s="275"/>
      <c r="B312" s="78"/>
      <c r="C312" s="189"/>
      <c r="D312" s="185"/>
      <c r="E312" s="186"/>
      <c r="F312" s="187"/>
    </row>
    <row r="313" spans="1:6" x14ac:dyDescent="0.2">
      <c r="A313" s="275"/>
      <c r="B313" s="78"/>
      <c r="C313" s="189"/>
      <c r="D313" s="185"/>
      <c r="E313" s="186"/>
      <c r="F313" s="187"/>
    </row>
    <row r="314" spans="1:6" x14ac:dyDescent="0.2">
      <c r="A314" s="275"/>
      <c r="B314" s="78"/>
      <c r="C314" s="189"/>
      <c r="D314" s="185"/>
      <c r="E314" s="186"/>
      <c r="F314" s="187"/>
    </row>
    <row r="315" spans="1:6" x14ac:dyDescent="0.2">
      <c r="A315" s="275"/>
      <c r="B315" s="78"/>
      <c r="C315" s="189"/>
      <c r="D315" s="185"/>
      <c r="E315" s="186"/>
      <c r="F315" s="187"/>
    </row>
    <row r="316" spans="1:6" x14ac:dyDescent="0.2">
      <c r="A316" s="275"/>
      <c r="B316" s="78"/>
      <c r="C316" s="189"/>
      <c r="D316" s="185"/>
      <c r="E316" s="186"/>
      <c r="F316" s="187"/>
    </row>
    <row r="317" spans="1:6" x14ac:dyDescent="0.2">
      <c r="A317" s="275"/>
      <c r="B317" s="78"/>
      <c r="C317" s="189"/>
      <c r="D317" s="185"/>
      <c r="E317" s="186"/>
      <c r="F317" s="187"/>
    </row>
    <row r="318" spans="1:6" x14ac:dyDescent="0.2">
      <c r="A318" s="275"/>
      <c r="B318" s="78"/>
      <c r="C318" s="189"/>
      <c r="D318" s="185"/>
      <c r="E318" s="186"/>
      <c r="F318" s="187"/>
    </row>
    <row r="319" spans="1:6" x14ac:dyDescent="0.2">
      <c r="A319" s="275"/>
      <c r="B319" s="78"/>
      <c r="C319" s="189"/>
      <c r="D319" s="185"/>
      <c r="E319" s="186"/>
      <c r="F319" s="187"/>
    </row>
    <row r="320" spans="1:6" x14ac:dyDescent="0.2">
      <c r="A320" s="275"/>
      <c r="B320" s="78"/>
      <c r="C320" s="189"/>
      <c r="D320" s="185"/>
      <c r="E320" s="186"/>
      <c r="F320" s="187"/>
    </row>
    <row r="321" spans="1:6" x14ac:dyDescent="0.2">
      <c r="A321" s="275"/>
      <c r="B321" s="78"/>
      <c r="C321" s="189"/>
      <c r="D321" s="185"/>
      <c r="E321" s="186"/>
      <c r="F321" s="187"/>
    </row>
    <row r="322" spans="1:6" x14ac:dyDescent="0.2">
      <c r="A322" s="275"/>
      <c r="B322" s="78"/>
      <c r="C322" s="189"/>
      <c r="D322" s="185"/>
      <c r="E322" s="186"/>
      <c r="F322" s="187"/>
    </row>
    <row r="323" spans="1:6" x14ac:dyDescent="0.2">
      <c r="A323" s="275"/>
      <c r="B323" s="78"/>
      <c r="C323" s="189"/>
      <c r="D323" s="185"/>
      <c r="E323" s="186"/>
      <c r="F323" s="187"/>
    </row>
    <row r="324" spans="1:6" x14ac:dyDescent="0.2">
      <c r="A324" s="275"/>
      <c r="B324" s="78"/>
      <c r="C324" s="189"/>
      <c r="D324" s="185"/>
      <c r="E324" s="186"/>
      <c r="F324" s="187"/>
    </row>
    <row r="325" spans="1:6" x14ac:dyDescent="0.2">
      <c r="A325" s="275"/>
      <c r="B325" s="78"/>
      <c r="C325" s="189"/>
      <c r="D325" s="185"/>
      <c r="E325" s="186"/>
      <c r="F325" s="187"/>
    </row>
    <row r="326" spans="1:6" x14ac:dyDescent="0.2">
      <c r="A326" s="275"/>
      <c r="B326" s="78"/>
      <c r="C326" s="189"/>
      <c r="D326" s="185"/>
      <c r="E326" s="186"/>
      <c r="F326" s="187"/>
    </row>
    <row r="327" spans="1:6" x14ac:dyDescent="0.2">
      <c r="A327" s="275"/>
      <c r="B327" s="78"/>
      <c r="C327" s="189"/>
      <c r="D327" s="185"/>
      <c r="E327" s="186"/>
      <c r="F327" s="187"/>
    </row>
    <row r="328" spans="1:6" x14ac:dyDescent="0.2">
      <c r="A328" s="275"/>
      <c r="B328" s="78"/>
      <c r="C328" s="189"/>
      <c r="D328" s="185"/>
      <c r="E328" s="186"/>
      <c r="F328" s="187"/>
    </row>
    <row r="329" spans="1:6" x14ac:dyDescent="0.2">
      <c r="A329" s="275"/>
      <c r="B329" s="78"/>
      <c r="C329" s="189"/>
      <c r="D329" s="185"/>
      <c r="E329" s="186"/>
      <c r="F329" s="187"/>
    </row>
    <row r="330" spans="1:6" x14ac:dyDescent="0.2">
      <c r="A330" s="275"/>
      <c r="B330" s="78"/>
      <c r="C330" s="189"/>
      <c r="D330" s="185"/>
      <c r="E330" s="186"/>
      <c r="F330" s="187"/>
    </row>
    <row r="331" spans="1:6" x14ac:dyDescent="0.2">
      <c r="A331" s="275"/>
      <c r="B331" s="78"/>
      <c r="C331" s="189"/>
      <c r="D331" s="185"/>
      <c r="E331" s="186"/>
      <c r="F331" s="187"/>
    </row>
    <row r="332" spans="1:6" x14ac:dyDescent="0.2">
      <c r="A332" s="275"/>
      <c r="B332" s="78"/>
      <c r="C332" s="189"/>
      <c r="D332" s="185"/>
      <c r="E332" s="186"/>
      <c r="F332" s="187"/>
    </row>
    <row r="333" spans="1:6" x14ac:dyDescent="0.2">
      <c r="A333" s="275"/>
      <c r="B333" s="78"/>
      <c r="C333" s="189"/>
      <c r="D333" s="185"/>
      <c r="E333" s="186"/>
      <c r="F333" s="187"/>
    </row>
    <row r="334" spans="1:6" x14ac:dyDescent="0.2">
      <c r="A334" s="275"/>
      <c r="B334" s="78"/>
      <c r="C334" s="189"/>
      <c r="D334" s="185"/>
      <c r="E334" s="186"/>
      <c r="F334" s="187"/>
    </row>
    <row r="335" spans="1:6" x14ac:dyDescent="0.2">
      <c r="A335" s="275"/>
      <c r="B335" s="78"/>
      <c r="C335" s="189"/>
      <c r="D335" s="185"/>
      <c r="E335" s="186"/>
      <c r="F335" s="187"/>
    </row>
    <row r="336" spans="1:6" x14ac:dyDescent="0.2">
      <c r="A336" s="275"/>
      <c r="B336" s="78"/>
      <c r="C336" s="189"/>
      <c r="D336" s="185"/>
      <c r="E336" s="186"/>
      <c r="F336" s="187"/>
    </row>
    <row r="337" spans="1:6" x14ac:dyDescent="0.2">
      <c r="A337" s="275"/>
      <c r="B337" s="78"/>
      <c r="C337" s="189"/>
      <c r="D337" s="185"/>
      <c r="E337" s="186"/>
      <c r="F337" s="187"/>
    </row>
    <row r="338" spans="1:6" x14ac:dyDescent="0.2">
      <c r="A338" s="275"/>
      <c r="B338" s="78"/>
      <c r="C338" s="189"/>
      <c r="D338" s="185"/>
      <c r="E338" s="186"/>
      <c r="F338" s="187"/>
    </row>
    <row r="339" spans="1:6" x14ac:dyDescent="0.2">
      <c r="A339" s="275"/>
      <c r="B339" s="78"/>
      <c r="C339" s="189"/>
      <c r="D339" s="185"/>
      <c r="E339" s="186"/>
      <c r="F339" s="187"/>
    </row>
    <row r="340" spans="1:6" x14ac:dyDescent="0.2">
      <c r="A340" s="275"/>
      <c r="B340" s="78"/>
      <c r="C340" s="189"/>
      <c r="D340" s="185"/>
      <c r="E340" s="186"/>
      <c r="F340" s="187"/>
    </row>
    <row r="341" spans="1:6" x14ac:dyDescent="0.2">
      <c r="A341" s="275"/>
      <c r="B341" s="78"/>
      <c r="C341" s="189"/>
      <c r="D341" s="185"/>
      <c r="E341" s="186"/>
      <c r="F341" s="187"/>
    </row>
    <row r="342" spans="1:6" x14ac:dyDescent="0.2">
      <c r="A342" s="275"/>
      <c r="B342" s="78"/>
      <c r="C342" s="189"/>
      <c r="D342" s="185"/>
      <c r="E342" s="186"/>
      <c r="F342" s="187"/>
    </row>
    <row r="343" spans="1:6" x14ac:dyDescent="0.2">
      <c r="A343" s="275"/>
      <c r="B343" s="78"/>
      <c r="C343" s="189"/>
      <c r="D343" s="185"/>
      <c r="E343" s="186"/>
      <c r="F343" s="187"/>
    </row>
    <row r="344" spans="1:6" x14ac:dyDescent="0.2">
      <c r="A344" s="275"/>
      <c r="B344" s="78"/>
      <c r="C344" s="189"/>
      <c r="D344" s="185"/>
      <c r="E344" s="186"/>
      <c r="F344" s="187"/>
    </row>
    <row r="345" spans="1:6" x14ac:dyDescent="0.2">
      <c r="A345" s="275"/>
      <c r="B345" s="78"/>
      <c r="C345" s="189"/>
      <c r="D345" s="185"/>
      <c r="E345" s="186"/>
      <c r="F345" s="187"/>
    </row>
    <row r="346" spans="1:6" x14ac:dyDescent="0.2">
      <c r="A346" s="275"/>
      <c r="B346" s="78"/>
      <c r="C346" s="189"/>
      <c r="D346" s="185"/>
      <c r="E346" s="186"/>
      <c r="F346" s="187"/>
    </row>
    <row r="347" spans="1:6" x14ac:dyDescent="0.2">
      <c r="A347" s="275"/>
      <c r="B347" s="78"/>
      <c r="C347" s="189"/>
      <c r="D347" s="185"/>
      <c r="E347" s="186"/>
      <c r="F347" s="187"/>
    </row>
    <row r="348" spans="1:6" x14ac:dyDescent="0.2">
      <c r="A348" s="275"/>
      <c r="B348" s="78"/>
      <c r="C348" s="189"/>
      <c r="D348" s="185"/>
      <c r="E348" s="186"/>
      <c r="F348" s="187"/>
    </row>
    <row r="349" spans="1:6" x14ac:dyDescent="0.2">
      <c r="A349" s="275"/>
      <c r="B349" s="78"/>
      <c r="C349" s="189"/>
      <c r="D349" s="185"/>
      <c r="E349" s="186"/>
      <c r="F349" s="187"/>
    </row>
    <row r="350" spans="1:6" x14ac:dyDescent="0.2">
      <c r="A350" s="275"/>
      <c r="B350" s="78"/>
      <c r="C350" s="189"/>
      <c r="D350" s="185"/>
      <c r="E350" s="186"/>
      <c r="F350" s="187"/>
    </row>
    <row r="351" spans="1:6" x14ac:dyDescent="0.2">
      <c r="A351" s="275"/>
      <c r="B351" s="78"/>
      <c r="C351" s="189"/>
      <c r="D351" s="185"/>
      <c r="E351" s="186"/>
      <c r="F351" s="187"/>
    </row>
    <row r="352" spans="1:6" x14ac:dyDescent="0.2">
      <c r="A352" s="275"/>
      <c r="B352" s="78"/>
      <c r="C352" s="189"/>
      <c r="D352" s="185"/>
      <c r="E352" s="186"/>
      <c r="F352" s="187"/>
    </row>
    <row r="353" spans="1:6" x14ac:dyDescent="0.2">
      <c r="A353" s="275"/>
      <c r="B353" s="78"/>
      <c r="C353" s="189"/>
      <c r="D353" s="185"/>
      <c r="E353" s="186"/>
      <c r="F353" s="187"/>
    </row>
    <row r="354" spans="1:6" x14ac:dyDescent="0.2">
      <c r="A354" s="275"/>
      <c r="B354" s="78"/>
      <c r="C354" s="189"/>
      <c r="D354" s="185"/>
      <c r="E354" s="186"/>
      <c r="F354" s="187"/>
    </row>
    <row r="355" spans="1:6" x14ac:dyDescent="0.2">
      <c r="A355" s="275"/>
      <c r="B355" s="78"/>
      <c r="C355" s="189"/>
      <c r="D355" s="185"/>
      <c r="E355" s="186"/>
      <c r="F355" s="187"/>
    </row>
    <row r="356" spans="1:6" x14ac:dyDescent="0.2">
      <c r="A356" s="275"/>
      <c r="B356" s="78"/>
      <c r="C356" s="189"/>
      <c r="D356" s="185"/>
      <c r="E356" s="186"/>
      <c r="F356" s="187"/>
    </row>
    <row r="357" spans="1:6" x14ac:dyDescent="0.2">
      <c r="A357" s="275"/>
      <c r="B357" s="78"/>
      <c r="C357" s="189"/>
      <c r="D357" s="185"/>
      <c r="E357" s="186"/>
      <c r="F357" s="187"/>
    </row>
    <row r="358" spans="1:6" x14ac:dyDescent="0.2">
      <c r="A358" s="275"/>
      <c r="B358" s="78"/>
      <c r="C358" s="189"/>
      <c r="D358" s="185"/>
      <c r="E358" s="186"/>
      <c r="F358" s="187"/>
    </row>
    <row r="359" spans="1:6" x14ac:dyDescent="0.2">
      <c r="A359" s="275"/>
      <c r="B359" s="78"/>
      <c r="C359" s="189"/>
      <c r="D359" s="185"/>
      <c r="E359" s="186"/>
      <c r="F359" s="187"/>
    </row>
    <row r="360" spans="1:6" x14ac:dyDescent="0.2">
      <c r="A360" s="275"/>
      <c r="B360" s="78"/>
      <c r="C360" s="189"/>
      <c r="D360" s="185"/>
      <c r="E360" s="186"/>
      <c r="F360" s="187"/>
    </row>
    <row r="361" spans="1:6" x14ac:dyDescent="0.2">
      <c r="A361" s="275"/>
      <c r="B361" s="78"/>
      <c r="C361" s="189"/>
      <c r="D361" s="185"/>
      <c r="E361" s="186"/>
      <c r="F361" s="187"/>
    </row>
    <row r="362" spans="1:6" x14ac:dyDescent="0.2">
      <c r="A362" s="275"/>
      <c r="B362" s="78"/>
      <c r="C362" s="189"/>
      <c r="D362" s="185"/>
      <c r="E362" s="186"/>
      <c r="F362" s="187"/>
    </row>
    <row r="363" spans="1:6" x14ac:dyDescent="0.2">
      <c r="A363" s="275"/>
      <c r="B363" s="78"/>
      <c r="C363" s="189"/>
      <c r="D363" s="185"/>
      <c r="E363" s="186"/>
      <c r="F363" s="187"/>
    </row>
    <row r="364" spans="1:6" x14ac:dyDescent="0.2">
      <c r="A364" s="275"/>
      <c r="B364" s="78"/>
      <c r="C364" s="189"/>
      <c r="D364" s="185"/>
      <c r="E364" s="186"/>
      <c r="F364" s="187"/>
    </row>
    <row r="365" spans="1:6" x14ac:dyDescent="0.2">
      <c r="A365" s="275"/>
      <c r="B365" s="78"/>
      <c r="C365" s="189"/>
      <c r="D365" s="185"/>
      <c r="E365" s="186"/>
      <c r="F365" s="187"/>
    </row>
    <row r="366" spans="1:6" x14ac:dyDescent="0.2">
      <c r="A366" s="275"/>
      <c r="B366" s="78"/>
      <c r="C366" s="189"/>
      <c r="D366" s="185"/>
      <c r="E366" s="186"/>
      <c r="F366" s="187"/>
    </row>
    <row r="367" spans="1:6" x14ac:dyDescent="0.2">
      <c r="A367" s="275"/>
      <c r="B367" s="78"/>
      <c r="C367" s="189"/>
      <c r="D367" s="185"/>
      <c r="E367" s="186"/>
      <c r="F367" s="187"/>
    </row>
    <row r="368" spans="1:6" x14ac:dyDescent="0.2">
      <c r="A368" s="275"/>
      <c r="B368" s="78"/>
      <c r="C368" s="189"/>
      <c r="D368" s="185"/>
      <c r="E368" s="186"/>
      <c r="F368" s="187"/>
    </row>
    <row r="369" spans="1:6" x14ac:dyDescent="0.2">
      <c r="A369" s="275"/>
      <c r="B369" s="78"/>
      <c r="C369" s="189"/>
      <c r="D369" s="185"/>
      <c r="E369" s="186"/>
      <c r="F369" s="187"/>
    </row>
    <row r="370" spans="1:6" x14ac:dyDescent="0.2">
      <c r="A370" s="275"/>
      <c r="B370" s="78"/>
      <c r="C370" s="189"/>
      <c r="D370" s="185"/>
      <c r="E370" s="186"/>
      <c r="F370" s="187"/>
    </row>
    <row r="371" spans="1:6" x14ac:dyDescent="0.2">
      <c r="A371" s="275"/>
      <c r="B371" s="78"/>
      <c r="C371" s="189"/>
      <c r="D371" s="185"/>
      <c r="E371" s="186"/>
      <c r="F371" s="187"/>
    </row>
    <row r="372" spans="1:6" x14ac:dyDescent="0.2">
      <c r="A372" s="275"/>
      <c r="B372" s="78"/>
      <c r="C372" s="189"/>
      <c r="D372" s="185"/>
      <c r="E372" s="186"/>
      <c r="F372" s="187"/>
    </row>
    <row r="373" spans="1:6" x14ac:dyDescent="0.2">
      <c r="A373" s="275"/>
      <c r="B373" s="78"/>
      <c r="C373" s="189"/>
      <c r="D373" s="185"/>
      <c r="E373" s="186"/>
      <c r="F373" s="187"/>
    </row>
    <row r="374" spans="1:6" x14ac:dyDescent="0.2">
      <c r="A374" s="275"/>
      <c r="B374" s="78"/>
      <c r="C374" s="189"/>
      <c r="D374" s="185"/>
      <c r="E374" s="186"/>
      <c r="F374" s="187"/>
    </row>
    <row r="375" spans="1:6" x14ac:dyDescent="0.2">
      <c r="A375" s="275"/>
      <c r="B375" s="78"/>
      <c r="C375" s="189"/>
      <c r="D375" s="185"/>
      <c r="E375" s="186"/>
      <c r="F375" s="187"/>
    </row>
    <row r="376" spans="1:6" x14ac:dyDescent="0.2">
      <c r="A376" s="275"/>
      <c r="B376" s="78"/>
      <c r="C376" s="189"/>
      <c r="D376" s="185"/>
      <c r="E376" s="186"/>
      <c r="F376" s="187"/>
    </row>
    <row r="377" spans="1:6" x14ac:dyDescent="0.2">
      <c r="A377" s="275"/>
      <c r="B377" s="78"/>
      <c r="C377" s="189"/>
      <c r="D377" s="185"/>
      <c r="E377" s="186"/>
      <c r="F377" s="187"/>
    </row>
    <row r="378" spans="1:6" x14ac:dyDescent="0.2">
      <c r="A378" s="275"/>
      <c r="B378" s="78"/>
      <c r="C378" s="189"/>
      <c r="D378" s="185"/>
      <c r="E378" s="186"/>
      <c r="F378" s="187"/>
    </row>
    <row r="379" spans="1:6" x14ac:dyDescent="0.2">
      <c r="A379" s="275"/>
      <c r="B379" s="78"/>
      <c r="C379" s="189"/>
      <c r="D379" s="185"/>
      <c r="E379" s="186"/>
      <c r="F379" s="187"/>
    </row>
    <row r="380" spans="1:6" x14ac:dyDescent="0.2">
      <c r="A380" s="275"/>
      <c r="B380" s="78"/>
      <c r="C380" s="189"/>
      <c r="D380" s="185"/>
      <c r="E380" s="186"/>
      <c r="F380" s="187"/>
    </row>
    <row r="381" spans="1:6" x14ac:dyDescent="0.2">
      <c r="A381" s="275"/>
      <c r="B381" s="78"/>
      <c r="C381" s="189"/>
      <c r="D381" s="185"/>
      <c r="E381" s="186"/>
      <c r="F381" s="187"/>
    </row>
    <row r="382" spans="1:6" x14ac:dyDescent="0.2">
      <c r="A382" s="275"/>
      <c r="B382" s="78"/>
      <c r="C382" s="189"/>
      <c r="D382" s="185"/>
      <c r="E382" s="186"/>
      <c r="F382" s="187"/>
    </row>
    <row r="383" spans="1:6" x14ac:dyDescent="0.2">
      <c r="A383" s="275"/>
      <c r="B383" s="78"/>
      <c r="C383" s="189"/>
      <c r="D383" s="185"/>
      <c r="E383" s="186"/>
      <c r="F383" s="187"/>
    </row>
    <row r="384" spans="1:6" x14ac:dyDescent="0.2">
      <c r="A384" s="275"/>
      <c r="B384" s="78"/>
      <c r="C384" s="189"/>
      <c r="D384" s="185"/>
      <c r="E384" s="186"/>
      <c r="F384" s="187"/>
    </row>
    <row r="385" spans="1:6" x14ac:dyDescent="0.2">
      <c r="A385" s="275"/>
      <c r="B385" s="78"/>
      <c r="C385" s="189"/>
      <c r="D385" s="185"/>
      <c r="E385" s="186"/>
      <c r="F385" s="187"/>
    </row>
    <row r="386" spans="1:6" x14ac:dyDescent="0.2">
      <c r="A386" s="275"/>
      <c r="B386" s="78"/>
      <c r="C386" s="189"/>
      <c r="D386" s="185"/>
      <c r="E386" s="186"/>
      <c r="F386" s="187"/>
    </row>
    <row r="387" spans="1:6" x14ac:dyDescent="0.2">
      <c r="A387" s="275"/>
      <c r="B387" s="78"/>
      <c r="C387" s="189"/>
      <c r="D387" s="185"/>
      <c r="E387" s="186"/>
      <c r="F387" s="187"/>
    </row>
    <row r="388" spans="1:6" x14ac:dyDescent="0.2">
      <c r="A388" s="275"/>
      <c r="B388" s="78"/>
      <c r="C388" s="189"/>
      <c r="D388" s="185"/>
      <c r="E388" s="186"/>
      <c r="F388" s="187"/>
    </row>
    <row r="389" spans="1:6" x14ac:dyDescent="0.2">
      <c r="A389" s="275"/>
      <c r="B389" s="78"/>
      <c r="C389" s="189"/>
      <c r="D389" s="185"/>
      <c r="E389" s="186"/>
      <c r="F389" s="187"/>
    </row>
    <row r="390" spans="1:6" x14ac:dyDescent="0.2">
      <c r="A390" s="275"/>
      <c r="B390" s="78"/>
      <c r="C390" s="189"/>
      <c r="D390" s="185"/>
      <c r="E390" s="186"/>
      <c r="F390" s="187"/>
    </row>
    <row r="391" spans="1:6" x14ac:dyDescent="0.2">
      <c r="A391" s="275"/>
      <c r="B391" s="78"/>
      <c r="C391" s="189"/>
      <c r="D391" s="185"/>
      <c r="E391" s="186"/>
      <c r="F391" s="187"/>
    </row>
    <row r="392" spans="1:6" x14ac:dyDescent="0.2">
      <c r="A392" s="275"/>
      <c r="B392" s="78"/>
      <c r="C392" s="189"/>
      <c r="D392" s="185"/>
      <c r="E392" s="186"/>
      <c r="F392" s="187"/>
    </row>
    <row r="393" spans="1:6" x14ac:dyDescent="0.2">
      <c r="A393" s="275"/>
      <c r="B393" s="78"/>
      <c r="C393" s="189"/>
      <c r="D393" s="185"/>
      <c r="E393" s="186"/>
      <c r="F393" s="187"/>
    </row>
    <row r="394" spans="1:6" x14ac:dyDescent="0.2">
      <c r="A394" s="275"/>
      <c r="B394" s="78"/>
      <c r="C394" s="189"/>
      <c r="D394" s="185"/>
      <c r="E394" s="186"/>
      <c r="F394" s="187"/>
    </row>
    <row r="395" spans="1:6" x14ac:dyDescent="0.2">
      <c r="A395" s="275"/>
      <c r="B395" s="78"/>
      <c r="C395" s="189"/>
      <c r="D395" s="185"/>
      <c r="E395" s="186"/>
      <c r="F395" s="187"/>
    </row>
    <row r="396" spans="1:6" x14ac:dyDescent="0.2">
      <c r="A396" s="275"/>
      <c r="B396" s="78"/>
      <c r="C396" s="189"/>
      <c r="D396" s="185"/>
      <c r="E396" s="186"/>
      <c r="F396" s="187"/>
    </row>
    <row r="397" spans="1:6" x14ac:dyDescent="0.2">
      <c r="A397" s="275"/>
      <c r="B397" s="78"/>
      <c r="C397" s="189"/>
      <c r="D397" s="185"/>
      <c r="E397" s="186"/>
      <c r="F397" s="187"/>
    </row>
    <row r="398" spans="1:6" x14ac:dyDescent="0.2">
      <c r="A398" s="275"/>
      <c r="B398" s="78"/>
      <c r="C398" s="189"/>
      <c r="D398" s="185"/>
      <c r="E398" s="186"/>
      <c r="F398" s="187"/>
    </row>
    <row r="399" spans="1:6" x14ac:dyDescent="0.2">
      <c r="A399" s="275"/>
      <c r="B399" s="78"/>
      <c r="C399" s="189"/>
      <c r="D399" s="185"/>
      <c r="E399" s="186"/>
      <c r="F399" s="187"/>
    </row>
    <row r="400" spans="1:6" x14ac:dyDescent="0.2">
      <c r="A400" s="275"/>
      <c r="B400" s="78"/>
      <c r="C400" s="189"/>
      <c r="D400" s="185"/>
      <c r="E400" s="186"/>
      <c r="F400" s="187"/>
    </row>
    <row r="401" spans="1:6" x14ac:dyDescent="0.2">
      <c r="A401" s="275"/>
      <c r="B401" s="78"/>
      <c r="C401" s="189"/>
      <c r="D401" s="185"/>
      <c r="E401" s="186"/>
      <c r="F401" s="187"/>
    </row>
    <row r="402" spans="1:6" x14ac:dyDescent="0.2">
      <c r="A402" s="275"/>
      <c r="B402" s="78"/>
      <c r="C402" s="189"/>
      <c r="D402" s="185"/>
      <c r="E402" s="186"/>
      <c r="F402" s="187"/>
    </row>
    <row r="403" spans="1:6" x14ac:dyDescent="0.2">
      <c r="A403" s="275"/>
      <c r="B403" s="78"/>
      <c r="C403" s="189"/>
      <c r="D403" s="185"/>
      <c r="E403" s="186"/>
      <c r="F403" s="187"/>
    </row>
    <row r="404" spans="1:6" x14ac:dyDescent="0.2">
      <c r="A404" s="275"/>
      <c r="B404" s="78"/>
      <c r="C404" s="189"/>
      <c r="D404" s="185"/>
      <c r="E404" s="186"/>
      <c r="F404" s="187"/>
    </row>
    <row r="405" spans="1:6" x14ac:dyDescent="0.2">
      <c r="A405" s="275"/>
      <c r="B405" s="78"/>
      <c r="C405" s="189"/>
      <c r="D405" s="185"/>
      <c r="E405" s="186"/>
      <c r="F405" s="187"/>
    </row>
    <row r="406" spans="1:6" x14ac:dyDescent="0.2">
      <c r="A406" s="275"/>
      <c r="B406" s="78"/>
      <c r="C406" s="189"/>
      <c r="D406" s="185"/>
      <c r="E406" s="186"/>
      <c r="F406" s="187"/>
    </row>
    <row r="407" spans="1:6" x14ac:dyDescent="0.2">
      <c r="A407" s="275"/>
      <c r="B407" s="78"/>
      <c r="C407" s="189"/>
      <c r="D407" s="185"/>
      <c r="E407" s="186"/>
      <c r="F407" s="187"/>
    </row>
    <row r="408" spans="1:6" x14ac:dyDescent="0.2">
      <c r="A408" s="275"/>
      <c r="B408" s="78"/>
      <c r="C408" s="189"/>
      <c r="D408" s="185"/>
      <c r="E408" s="186"/>
      <c r="F408" s="187"/>
    </row>
    <row r="409" spans="1:6" x14ac:dyDescent="0.2">
      <c r="A409" s="275"/>
      <c r="B409" s="78"/>
      <c r="C409" s="189"/>
      <c r="D409" s="185"/>
      <c r="E409" s="186"/>
      <c r="F409" s="187"/>
    </row>
    <row r="410" spans="1:6" x14ac:dyDescent="0.2">
      <c r="A410" s="275"/>
      <c r="B410" s="78"/>
      <c r="C410" s="189"/>
      <c r="D410" s="185"/>
      <c r="E410" s="186"/>
      <c r="F410" s="187"/>
    </row>
    <row r="411" spans="1:6" x14ac:dyDescent="0.2">
      <c r="A411" s="275"/>
      <c r="B411" s="78"/>
      <c r="C411" s="189"/>
      <c r="D411" s="185"/>
      <c r="E411" s="186"/>
      <c r="F411" s="187"/>
    </row>
    <row r="412" spans="1:6" x14ac:dyDescent="0.2">
      <c r="A412" s="275"/>
      <c r="B412" s="78"/>
      <c r="C412" s="189"/>
      <c r="D412" s="185"/>
      <c r="E412" s="186"/>
      <c r="F412" s="187"/>
    </row>
    <row r="413" spans="1:6" x14ac:dyDescent="0.2">
      <c r="A413" s="275"/>
      <c r="B413" s="78"/>
      <c r="C413" s="189"/>
      <c r="D413" s="185"/>
      <c r="E413" s="186"/>
      <c r="F413" s="187"/>
    </row>
    <row r="414" spans="1:6" x14ac:dyDescent="0.2">
      <c r="A414" s="275"/>
      <c r="B414" s="78"/>
      <c r="C414" s="189"/>
      <c r="D414" s="185"/>
      <c r="E414" s="186"/>
      <c r="F414" s="187"/>
    </row>
    <row r="415" spans="1:6" x14ac:dyDescent="0.2">
      <c r="A415" s="275"/>
      <c r="B415" s="78"/>
      <c r="C415" s="189"/>
      <c r="D415" s="185"/>
      <c r="E415" s="186"/>
      <c r="F415" s="187"/>
    </row>
    <row r="416" spans="1:6" x14ac:dyDescent="0.2">
      <c r="A416" s="275"/>
      <c r="B416" s="78"/>
      <c r="C416" s="189"/>
      <c r="D416" s="185"/>
      <c r="E416" s="186"/>
      <c r="F416" s="187"/>
    </row>
    <row r="417" spans="1:6" x14ac:dyDescent="0.2">
      <c r="A417" s="275"/>
      <c r="B417" s="78"/>
      <c r="C417" s="189"/>
      <c r="D417" s="185"/>
      <c r="E417" s="186"/>
      <c r="F417" s="187"/>
    </row>
    <row r="418" spans="1:6" x14ac:dyDescent="0.2">
      <c r="A418" s="275"/>
      <c r="B418" s="78"/>
      <c r="C418" s="189"/>
      <c r="D418" s="185"/>
      <c r="E418" s="186"/>
      <c r="F418" s="187"/>
    </row>
    <row r="419" spans="1:6" x14ac:dyDescent="0.2">
      <c r="A419" s="275"/>
      <c r="B419" s="78"/>
      <c r="C419" s="189"/>
      <c r="D419" s="185"/>
      <c r="E419" s="186"/>
      <c r="F419" s="187"/>
    </row>
    <row r="420" spans="1:6" x14ac:dyDescent="0.2">
      <c r="A420" s="275"/>
      <c r="B420" s="78"/>
      <c r="C420" s="189"/>
      <c r="D420" s="185"/>
      <c r="E420" s="186"/>
      <c r="F420" s="187"/>
    </row>
    <row r="421" spans="1:6" x14ac:dyDescent="0.2">
      <c r="A421" s="275"/>
      <c r="B421" s="78"/>
      <c r="C421" s="189"/>
      <c r="D421" s="185"/>
      <c r="E421" s="186"/>
      <c r="F421" s="187"/>
    </row>
    <row r="422" spans="1:6" x14ac:dyDescent="0.2">
      <c r="A422" s="275"/>
      <c r="B422" s="78"/>
      <c r="C422" s="189"/>
      <c r="D422" s="185"/>
      <c r="E422" s="186"/>
      <c r="F422" s="187"/>
    </row>
    <row r="423" spans="1:6" x14ac:dyDescent="0.2">
      <c r="A423" s="275"/>
      <c r="B423" s="78"/>
      <c r="C423" s="189"/>
      <c r="D423" s="185"/>
      <c r="E423" s="186"/>
      <c r="F423" s="187"/>
    </row>
    <row r="424" spans="1:6" x14ac:dyDescent="0.2">
      <c r="A424" s="275"/>
      <c r="B424" s="78"/>
      <c r="C424" s="189"/>
      <c r="D424" s="185"/>
      <c r="E424" s="186"/>
      <c r="F424" s="187"/>
    </row>
    <row r="425" spans="1:6" x14ac:dyDescent="0.2">
      <c r="A425" s="275"/>
      <c r="B425" s="78"/>
      <c r="C425" s="189"/>
      <c r="D425" s="185"/>
      <c r="E425" s="186"/>
      <c r="F425" s="187"/>
    </row>
    <row r="426" spans="1:6" x14ac:dyDescent="0.2">
      <c r="A426" s="275"/>
      <c r="B426" s="78"/>
      <c r="C426" s="189"/>
      <c r="D426" s="185"/>
      <c r="E426" s="186"/>
      <c r="F426" s="187"/>
    </row>
    <row r="427" spans="1:6" x14ac:dyDescent="0.2">
      <c r="A427" s="275"/>
      <c r="B427" s="78"/>
      <c r="C427" s="189"/>
      <c r="D427" s="185"/>
      <c r="E427" s="186"/>
      <c r="F427" s="187"/>
    </row>
    <row r="428" spans="1:6" x14ac:dyDescent="0.2">
      <c r="A428" s="275"/>
      <c r="B428" s="78"/>
      <c r="C428" s="189"/>
      <c r="D428" s="185"/>
      <c r="E428" s="186"/>
      <c r="F428" s="187"/>
    </row>
    <row r="429" spans="1:6" x14ac:dyDescent="0.2">
      <c r="A429" s="275"/>
      <c r="B429" s="78"/>
      <c r="C429" s="189"/>
      <c r="D429" s="185"/>
      <c r="E429" s="186"/>
      <c r="F429" s="187"/>
    </row>
    <row r="430" spans="1:6" x14ac:dyDescent="0.2">
      <c r="A430" s="275"/>
      <c r="B430" s="78"/>
      <c r="C430" s="189"/>
      <c r="D430" s="185"/>
      <c r="E430" s="186"/>
      <c r="F430" s="187"/>
    </row>
    <row r="431" spans="1:6" x14ac:dyDescent="0.2">
      <c r="A431" s="275"/>
      <c r="B431" s="78"/>
      <c r="C431" s="189"/>
      <c r="D431" s="185"/>
      <c r="E431" s="186"/>
      <c r="F431" s="187"/>
    </row>
    <row r="432" spans="1:6" x14ac:dyDescent="0.2">
      <c r="A432" s="275"/>
      <c r="B432" s="78"/>
      <c r="C432" s="189"/>
      <c r="D432" s="185"/>
      <c r="E432" s="186"/>
      <c r="F432" s="187"/>
    </row>
    <row r="433" spans="1:6" x14ac:dyDescent="0.2">
      <c r="A433" s="275"/>
      <c r="B433" s="78"/>
      <c r="C433" s="189"/>
      <c r="D433" s="185"/>
      <c r="E433" s="186"/>
      <c r="F433" s="187"/>
    </row>
    <row r="434" spans="1:6" x14ac:dyDescent="0.2">
      <c r="A434" s="275"/>
      <c r="B434" s="78"/>
      <c r="C434" s="189"/>
      <c r="D434" s="185"/>
      <c r="E434" s="186"/>
      <c r="F434" s="187"/>
    </row>
    <row r="435" spans="1:6" x14ac:dyDescent="0.2">
      <c r="A435" s="275"/>
      <c r="B435" s="78"/>
      <c r="C435" s="189"/>
      <c r="D435" s="185"/>
      <c r="E435" s="186"/>
      <c r="F435" s="187"/>
    </row>
    <row r="436" spans="1:6" x14ac:dyDescent="0.2">
      <c r="A436" s="275"/>
      <c r="B436" s="78"/>
      <c r="C436" s="189"/>
      <c r="D436" s="185"/>
      <c r="E436" s="186"/>
      <c r="F436" s="187"/>
    </row>
    <row r="437" spans="1:6" x14ac:dyDescent="0.2">
      <c r="A437" s="275"/>
      <c r="B437" s="78"/>
      <c r="C437" s="189"/>
      <c r="D437" s="185"/>
      <c r="E437" s="186"/>
      <c r="F437" s="187"/>
    </row>
    <row r="438" spans="1:6" x14ac:dyDescent="0.2">
      <c r="A438" s="275"/>
      <c r="B438" s="78"/>
      <c r="C438" s="189"/>
      <c r="D438" s="185"/>
      <c r="E438" s="186"/>
      <c r="F438" s="187"/>
    </row>
    <row r="439" spans="1:6" x14ac:dyDescent="0.2">
      <c r="A439" s="275"/>
      <c r="B439" s="78"/>
      <c r="C439" s="189"/>
      <c r="D439" s="185"/>
      <c r="E439" s="186"/>
      <c r="F439" s="187"/>
    </row>
    <row r="440" spans="1:6" x14ac:dyDescent="0.2">
      <c r="A440" s="275"/>
      <c r="B440" s="78"/>
      <c r="C440" s="189"/>
      <c r="D440" s="185"/>
      <c r="E440" s="186"/>
      <c r="F440" s="187"/>
    </row>
    <row r="441" spans="1:6" x14ac:dyDescent="0.2">
      <c r="A441" s="275"/>
      <c r="B441" s="78"/>
      <c r="C441" s="189"/>
      <c r="D441" s="185"/>
      <c r="E441" s="186"/>
      <c r="F441" s="187"/>
    </row>
    <row r="442" spans="1:6" x14ac:dyDescent="0.2">
      <c r="A442" s="275"/>
      <c r="B442" s="78"/>
      <c r="C442" s="189"/>
      <c r="D442" s="185"/>
      <c r="E442" s="186"/>
      <c r="F442" s="187"/>
    </row>
    <row r="443" spans="1:6" x14ac:dyDescent="0.2">
      <c r="A443" s="275"/>
      <c r="B443" s="78"/>
      <c r="C443" s="189"/>
      <c r="D443" s="185"/>
      <c r="E443" s="186"/>
      <c r="F443" s="187"/>
    </row>
    <row r="444" spans="1:6" x14ac:dyDescent="0.2">
      <c r="A444" s="275"/>
      <c r="B444" s="78"/>
      <c r="C444" s="189"/>
      <c r="D444" s="185"/>
      <c r="E444" s="186"/>
      <c r="F444" s="187"/>
    </row>
    <row r="445" spans="1:6" x14ac:dyDescent="0.2">
      <c r="A445" s="275"/>
      <c r="B445" s="78"/>
      <c r="C445" s="189"/>
      <c r="D445" s="185"/>
      <c r="E445" s="186"/>
      <c r="F445" s="187"/>
    </row>
    <row r="446" spans="1:6" x14ac:dyDescent="0.2">
      <c r="A446" s="275"/>
      <c r="B446" s="78"/>
      <c r="C446" s="189"/>
      <c r="D446" s="185"/>
      <c r="E446" s="186"/>
      <c r="F446" s="187"/>
    </row>
    <row r="447" spans="1:6" x14ac:dyDescent="0.2">
      <c r="A447" s="275"/>
      <c r="B447" s="78"/>
      <c r="C447" s="189"/>
      <c r="D447" s="185"/>
      <c r="E447" s="186"/>
      <c r="F447" s="187"/>
    </row>
    <row r="448" spans="1:6" x14ac:dyDescent="0.2">
      <c r="A448" s="275"/>
      <c r="B448" s="78"/>
      <c r="C448" s="189"/>
      <c r="D448" s="185"/>
      <c r="E448" s="186"/>
      <c r="F448" s="187"/>
    </row>
    <row r="449" spans="1:6" x14ac:dyDescent="0.2">
      <c r="A449" s="275"/>
      <c r="B449" s="78"/>
      <c r="C449" s="189"/>
      <c r="D449" s="185"/>
      <c r="E449" s="186"/>
      <c r="F449" s="187"/>
    </row>
    <row r="450" spans="1:6" x14ac:dyDescent="0.2">
      <c r="A450" s="275"/>
      <c r="B450" s="78"/>
      <c r="C450" s="189"/>
      <c r="D450" s="185"/>
      <c r="E450" s="186"/>
      <c r="F450" s="187"/>
    </row>
    <row r="451" spans="1:6" x14ac:dyDescent="0.2">
      <c r="A451" s="275"/>
      <c r="B451" s="78"/>
      <c r="C451" s="189"/>
      <c r="D451" s="185"/>
      <c r="E451" s="186"/>
      <c r="F451" s="187"/>
    </row>
    <row r="452" spans="1:6" x14ac:dyDescent="0.2">
      <c r="A452" s="275"/>
      <c r="B452" s="78"/>
      <c r="C452" s="189"/>
      <c r="D452" s="185"/>
      <c r="E452" s="186"/>
      <c r="F452" s="187"/>
    </row>
    <row r="453" spans="1:6" x14ac:dyDescent="0.2">
      <c r="A453" s="275"/>
      <c r="B453" s="78"/>
      <c r="C453" s="189"/>
      <c r="D453" s="185"/>
      <c r="E453" s="186"/>
      <c r="F453" s="187"/>
    </row>
    <row r="454" spans="1:6" x14ac:dyDescent="0.2">
      <c r="A454" s="275"/>
      <c r="B454" s="78"/>
      <c r="C454" s="189"/>
      <c r="D454" s="185"/>
      <c r="E454" s="186"/>
      <c r="F454" s="187"/>
    </row>
    <row r="455" spans="1:6" x14ac:dyDescent="0.2">
      <c r="A455" s="275"/>
      <c r="B455" s="78"/>
      <c r="C455" s="189"/>
      <c r="D455" s="185"/>
      <c r="E455" s="186"/>
      <c r="F455" s="187"/>
    </row>
    <row r="456" spans="1:6" x14ac:dyDescent="0.2">
      <c r="A456" s="275"/>
      <c r="B456" s="78"/>
      <c r="C456" s="189"/>
      <c r="D456" s="185"/>
      <c r="E456" s="186"/>
      <c r="F456" s="187"/>
    </row>
    <row r="457" spans="1:6" x14ac:dyDescent="0.2">
      <c r="A457" s="275"/>
      <c r="B457" s="78"/>
      <c r="C457" s="189"/>
      <c r="D457" s="185"/>
      <c r="E457" s="186"/>
      <c r="F457" s="187"/>
    </row>
    <row r="458" spans="1:6" x14ac:dyDescent="0.2">
      <c r="A458" s="275"/>
      <c r="B458" s="78"/>
      <c r="C458" s="189"/>
      <c r="D458" s="185"/>
      <c r="E458" s="186"/>
      <c r="F458" s="187"/>
    </row>
    <row r="459" spans="1:6" x14ac:dyDescent="0.2">
      <c r="A459" s="275"/>
      <c r="B459" s="78"/>
      <c r="C459" s="189"/>
      <c r="D459" s="185"/>
      <c r="E459" s="186"/>
      <c r="F459" s="187"/>
    </row>
    <row r="460" spans="1:6" x14ac:dyDescent="0.2">
      <c r="A460" s="275"/>
      <c r="B460" s="78"/>
      <c r="C460" s="189"/>
      <c r="D460" s="185"/>
      <c r="E460" s="186"/>
      <c r="F460" s="187"/>
    </row>
    <row r="461" spans="1:6" x14ac:dyDescent="0.2">
      <c r="A461" s="275"/>
      <c r="B461" s="78"/>
      <c r="C461" s="189"/>
      <c r="D461" s="185"/>
      <c r="E461" s="186"/>
      <c r="F461" s="187"/>
    </row>
    <row r="462" spans="1:6" x14ac:dyDescent="0.2">
      <c r="A462" s="275"/>
      <c r="B462" s="78"/>
      <c r="C462" s="189"/>
      <c r="D462" s="185"/>
      <c r="E462" s="186"/>
      <c r="F462" s="187"/>
    </row>
    <row r="463" spans="1:6" x14ac:dyDescent="0.2">
      <c r="A463" s="275"/>
      <c r="B463" s="78"/>
      <c r="C463" s="189"/>
      <c r="D463" s="185"/>
      <c r="E463" s="186"/>
      <c r="F463" s="187"/>
    </row>
    <row r="464" spans="1:6" x14ac:dyDescent="0.2">
      <c r="A464" s="275"/>
      <c r="B464" s="78"/>
      <c r="C464" s="189"/>
      <c r="D464" s="185"/>
      <c r="E464" s="186"/>
      <c r="F464" s="187"/>
    </row>
    <row r="465" spans="1:6" x14ac:dyDescent="0.2">
      <c r="A465" s="275"/>
      <c r="B465" s="78"/>
      <c r="C465" s="189"/>
      <c r="D465" s="185"/>
      <c r="E465" s="186"/>
      <c r="F465" s="187"/>
    </row>
    <row r="466" spans="1:6" x14ac:dyDescent="0.2">
      <c r="A466" s="275"/>
      <c r="B466" s="78"/>
      <c r="C466" s="189"/>
      <c r="D466" s="185"/>
      <c r="E466" s="186"/>
      <c r="F466" s="187"/>
    </row>
    <row r="467" spans="1:6" x14ac:dyDescent="0.2">
      <c r="A467" s="275"/>
      <c r="B467" s="78"/>
      <c r="C467" s="189"/>
      <c r="D467" s="185"/>
      <c r="E467" s="186"/>
      <c r="F467" s="187"/>
    </row>
    <row r="468" spans="1:6" x14ac:dyDescent="0.2">
      <c r="A468" s="275"/>
      <c r="B468" s="78"/>
      <c r="C468" s="189"/>
      <c r="D468" s="185"/>
      <c r="E468" s="186"/>
      <c r="F468" s="187"/>
    </row>
    <row r="469" spans="1:6" x14ac:dyDescent="0.2">
      <c r="A469" s="275"/>
      <c r="B469" s="78"/>
      <c r="C469" s="189"/>
      <c r="D469" s="185"/>
      <c r="E469" s="186"/>
      <c r="F469" s="187"/>
    </row>
    <row r="470" spans="1:6" x14ac:dyDescent="0.2">
      <c r="A470" s="275"/>
      <c r="B470" s="78"/>
      <c r="C470" s="189"/>
      <c r="D470" s="185"/>
      <c r="E470" s="186"/>
      <c r="F470" s="187"/>
    </row>
    <row r="471" spans="1:6" x14ac:dyDescent="0.2">
      <c r="A471" s="275"/>
      <c r="B471" s="78"/>
      <c r="C471" s="189"/>
      <c r="D471" s="185"/>
      <c r="E471" s="186"/>
      <c r="F471" s="187"/>
    </row>
    <row r="472" spans="1:6" x14ac:dyDescent="0.2">
      <c r="A472" s="275"/>
      <c r="B472" s="78"/>
      <c r="C472" s="189"/>
      <c r="D472" s="185"/>
      <c r="E472" s="186"/>
      <c r="F472" s="187"/>
    </row>
    <row r="473" spans="1:6" x14ac:dyDescent="0.2">
      <c r="A473" s="275"/>
      <c r="B473" s="78"/>
      <c r="C473" s="189"/>
      <c r="D473" s="185"/>
      <c r="E473" s="186"/>
      <c r="F473" s="187"/>
    </row>
    <row r="474" spans="1:6" x14ac:dyDescent="0.2">
      <c r="A474" s="275"/>
      <c r="B474" s="78"/>
      <c r="C474" s="189"/>
      <c r="D474" s="185"/>
      <c r="E474" s="186"/>
      <c r="F474" s="187"/>
    </row>
    <row r="475" spans="1:6" x14ac:dyDescent="0.2">
      <c r="A475" s="275"/>
      <c r="B475" s="78"/>
      <c r="C475" s="189"/>
      <c r="D475" s="185"/>
      <c r="E475" s="186"/>
      <c r="F475" s="187"/>
    </row>
    <row r="476" spans="1:6" x14ac:dyDescent="0.2">
      <c r="A476" s="275"/>
      <c r="B476" s="78"/>
      <c r="C476" s="189"/>
      <c r="D476" s="185"/>
      <c r="E476" s="186"/>
      <c r="F476" s="187"/>
    </row>
    <row r="477" spans="1:6" x14ac:dyDescent="0.2">
      <c r="A477" s="275"/>
      <c r="B477" s="78"/>
      <c r="C477" s="189"/>
      <c r="D477" s="185"/>
      <c r="E477" s="186"/>
      <c r="F477" s="187"/>
    </row>
    <row r="478" spans="1:6" x14ac:dyDescent="0.2">
      <c r="A478" s="275"/>
      <c r="B478" s="78"/>
      <c r="C478" s="189"/>
      <c r="D478" s="185"/>
      <c r="E478" s="186"/>
      <c r="F478" s="187"/>
    </row>
    <row r="479" spans="1:6" x14ac:dyDescent="0.2">
      <c r="A479" s="275"/>
      <c r="B479" s="78"/>
      <c r="C479" s="189"/>
      <c r="D479" s="185"/>
      <c r="E479" s="186"/>
      <c r="F479" s="187"/>
    </row>
    <row r="480" spans="1:6" x14ac:dyDescent="0.2">
      <c r="A480" s="275"/>
      <c r="B480" s="78"/>
      <c r="C480" s="189"/>
      <c r="D480" s="185"/>
      <c r="E480" s="186"/>
      <c r="F480" s="187"/>
    </row>
    <row r="481" spans="1:6" x14ac:dyDescent="0.2">
      <c r="A481" s="275"/>
      <c r="B481" s="78"/>
      <c r="C481" s="189"/>
      <c r="D481" s="185"/>
      <c r="E481" s="186"/>
      <c r="F481" s="187"/>
    </row>
    <row r="482" spans="1:6" x14ac:dyDescent="0.2">
      <c r="A482" s="275"/>
      <c r="B482" s="78"/>
      <c r="C482" s="189"/>
      <c r="D482" s="185"/>
      <c r="E482" s="186"/>
      <c r="F482" s="187"/>
    </row>
    <row r="483" spans="1:6" x14ac:dyDescent="0.2">
      <c r="A483" s="275"/>
      <c r="B483" s="78"/>
      <c r="C483" s="189"/>
      <c r="D483" s="185"/>
      <c r="E483" s="186"/>
      <c r="F483" s="187"/>
    </row>
    <row r="484" spans="1:6" x14ac:dyDescent="0.2">
      <c r="A484" s="275"/>
      <c r="B484" s="78"/>
      <c r="C484" s="189"/>
      <c r="D484" s="185"/>
      <c r="E484" s="186"/>
      <c r="F484" s="187"/>
    </row>
    <row r="485" spans="1:6" x14ac:dyDescent="0.2">
      <c r="A485" s="275"/>
      <c r="B485" s="78"/>
      <c r="C485" s="189"/>
      <c r="D485" s="185"/>
      <c r="E485" s="186"/>
      <c r="F485" s="187"/>
    </row>
    <row r="486" spans="1:6" x14ac:dyDescent="0.2">
      <c r="A486" s="275"/>
      <c r="B486" s="78"/>
      <c r="C486" s="189"/>
      <c r="D486" s="185"/>
      <c r="E486" s="186"/>
      <c r="F486" s="187"/>
    </row>
    <row r="487" spans="1:6" x14ac:dyDescent="0.2">
      <c r="A487" s="275"/>
      <c r="B487" s="78"/>
      <c r="C487" s="189"/>
      <c r="D487" s="185"/>
      <c r="E487" s="186"/>
      <c r="F487" s="187"/>
    </row>
    <row r="488" spans="1:6" x14ac:dyDescent="0.2">
      <c r="A488" s="275"/>
      <c r="B488" s="78"/>
      <c r="C488" s="189"/>
      <c r="D488" s="185"/>
      <c r="E488" s="186"/>
      <c r="F488" s="187"/>
    </row>
    <row r="489" spans="1:6" x14ac:dyDescent="0.2">
      <c r="A489" s="275"/>
      <c r="B489" s="78"/>
      <c r="C489" s="189"/>
      <c r="D489" s="185"/>
      <c r="E489" s="186"/>
      <c r="F489" s="187"/>
    </row>
    <row r="490" spans="1:6" x14ac:dyDescent="0.2">
      <c r="A490" s="275"/>
      <c r="B490" s="78"/>
      <c r="C490" s="189"/>
      <c r="D490" s="185"/>
      <c r="E490" s="186"/>
      <c r="F490" s="187"/>
    </row>
    <row r="491" spans="1:6" x14ac:dyDescent="0.2">
      <c r="A491" s="275"/>
      <c r="B491" s="78"/>
      <c r="C491" s="189"/>
      <c r="D491" s="185"/>
      <c r="E491" s="186"/>
      <c r="F491" s="187"/>
    </row>
    <row r="492" spans="1:6" x14ac:dyDescent="0.2">
      <c r="A492" s="275"/>
      <c r="B492" s="78"/>
      <c r="C492" s="189"/>
      <c r="D492" s="185"/>
      <c r="E492" s="186"/>
      <c r="F492" s="187"/>
    </row>
    <row r="493" spans="1:6" x14ac:dyDescent="0.2">
      <c r="A493" s="275"/>
      <c r="B493" s="78"/>
      <c r="C493" s="189"/>
      <c r="D493" s="185"/>
      <c r="E493" s="186"/>
      <c r="F493" s="187"/>
    </row>
    <row r="494" spans="1:6" x14ac:dyDescent="0.2">
      <c r="A494" s="275"/>
      <c r="B494" s="78"/>
      <c r="C494" s="189"/>
      <c r="D494" s="185"/>
      <c r="E494" s="186"/>
      <c r="F494" s="187"/>
    </row>
    <row r="495" spans="1:6" x14ac:dyDescent="0.2">
      <c r="A495" s="275"/>
      <c r="B495" s="78"/>
      <c r="C495" s="189"/>
      <c r="D495" s="185"/>
      <c r="E495" s="186"/>
      <c r="F495" s="187"/>
    </row>
    <row r="496" spans="1:6" x14ac:dyDescent="0.2">
      <c r="A496" s="275"/>
      <c r="B496" s="78"/>
      <c r="C496" s="189"/>
      <c r="D496" s="185"/>
      <c r="E496" s="186"/>
      <c r="F496" s="187"/>
    </row>
    <row r="497" spans="1:6" x14ac:dyDescent="0.2">
      <c r="A497" s="275"/>
      <c r="B497" s="78"/>
      <c r="C497" s="189"/>
      <c r="D497" s="185"/>
      <c r="E497" s="186"/>
      <c r="F497" s="187"/>
    </row>
    <row r="498" spans="1:6" x14ac:dyDescent="0.2">
      <c r="A498" s="275"/>
      <c r="B498" s="78"/>
      <c r="C498" s="189"/>
      <c r="D498" s="185"/>
      <c r="E498" s="186"/>
      <c r="F498" s="187"/>
    </row>
    <row r="499" spans="1:6" x14ac:dyDescent="0.2">
      <c r="A499" s="275"/>
      <c r="B499" s="78"/>
      <c r="C499" s="189"/>
      <c r="D499" s="185"/>
      <c r="E499" s="186"/>
      <c r="F499" s="187"/>
    </row>
    <row r="500" spans="1:6" x14ac:dyDescent="0.2">
      <c r="A500" s="275"/>
      <c r="B500" s="78"/>
      <c r="C500" s="189"/>
      <c r="D500" s="185"/>
      <c r="E500" s="186"/>
      <c r="F500" s="187"/>
    </row>
    <row r="501" spans="1:6" x14ac:dyDescent="0.2">
      <c r="A501" s="275"/>
      <c r="B501" s="78"/>
      <c r="C501" s="189"/>
      <c r="D501" s="185"/>
      <c r="E501" s="186"/>
      <c r="F501" s="187"/>
    </row>
    <row r="502" spans="1:6" x14ac:dyDescent="0.2">
      <c r="A502" s="275"/>
      <c r="B502" s="78"/>
      <c r="C502" s="189"/>
      <c r="D502" s="185"/>
      <c r="E502" s="186"/>
      <c r="F502" s="187"/>
    </row>
    <row r="503" spans="1:6" x14ac:dyDescent="0.2">
      <c r="A503" s="275"/>
      <c r="B503" s="78"/>
      <c r="C503" s="189"/>
      <c r="D503" s="185"/>
      <c r="E503" s="186"/>
      <c r="F503" s="187"/>
    </row>
    <row r="504" spans="1:6" x14ac:dyDescent="0.2">
      <c r="A504" s="275"/>
      <c r="B504" s="78"/>
      <c r="C504" s="189"/>
      <c r="D504" s="185"/>
      <c r="E504" s="186"/>
      <c r="F504" s="187"/>
    </row>
    <row r="505" spans="1:6" x14ac:dyDescent="0.2">
      <c r="A505" s="275"/>
      <c r="B505" s="78"/>
      <c r="C505" s="189"/>
      <c r="D505" s="185"/>
      <c r="E505" s="186"/>
      <c r="F505" s="187"/>
    </row>
    <row r="506" spans="1:6" x14ac:dyDescent="0.2">
      <c r="A506" s="275"/>
      <c r="B506" s="78"/>
      <c r="C506" s="189"/>
      <c r="D506" s="185"/>
      <c r="E506" s="186"/>
      <c r="F506" s="187"/>
    </row>
    <row r="507" spans="1:6" x14ac:dyDescent="0.2">
      <c r="A507" s="275"/>
      <c r="B507" s="78"/>
      <c r="C507" s="189"/>
      <c r="D507" s="185"/>
      <c r="E507" s="186"/>
      <c r="F507" s="187"/>
    </row>
    <row r="508" spans="1:6" x14ac:dyDescent="0.2">
      <c r="A508" s="275"/>
      <c r="B508" s="78"/>
      <c r="C508" s="189"/>
      <c r="D508" s="185"/>
      <c r="E508" s="186"/>
      <c r="F508" s="187"/>
    </row>
    <row r="509" spans="1:6" x14ac:dyDescent="0.2">
      <c r="A509" s="275"/>
      <c r="B509" s="78"/>
      <c r="C509" s="189"/>
      <c r="D509" s="185"/>
      <c r="E509" s="186"/>
      <c r="F509" s="187"/>
    </row>
    <row r="510" spans="1:6" x14ac:dyDescent="0.2">
      <c r="A510" s="275"/>
      <c r="B510" s="78"/>
      <c r="C510" s="189"/>
      <c r="D510" s="185"/>
      <c r="E510" s="186"/>
      <c r="F510" s="187"/>
    </row>
    <row r="511" spans="1:6" x14ac:dyDescent="0.2">
      <c r="A511" s="275"/>
      <c r="B511" s="78"/>
      <c r="C511" s="189"/>
      <c r="D511" s="185"/>
      <c r="E511" s="186"/>
      <c r="F511" s="187"/>
    </row>
    <row r="512" spans="1:6" x14ac:dyDescent="0.2">
      <c r="A512" s="275"/>
      <c r="B512" s="78"/>
      <c r="C512" s="189"/>
      <c r="D512" s="185"/>
      <c r="E512" s="186"/>
      <c r="F512" s="187"/>
    </row>
    <row r="513" spans="1:6" x14ac:dyDescent="0.2">
      <c r="A513" s="275"/>
      <c r="B513" s="78"/>
      <c r="C513" s="189"/>
      <c r="D513" s="185"/>
      <c r="E513" s="186"/>
      <c r="F513" s="187"/>
    </row>
    <row r="514" spans="1:6" x14ac:dyDescent="0.2">
      <c r="A514" s="275"/>
      <c r="B514" s="78"/>
      <c r="C514" s="189"/>
      <c r="D514" s="185"/>
      <c r="E514" s="186"/>
      <c r="F514" s="187"/>
    </row>
    <row r="515" spans="1:6" x14ac:dyDescent="0.2">
      <c r="A515" s="275"/>
      <c r="B515" s="78"/>
      <c r="C515" s="189"/>
      <c r="D515" s="185"/>
      <c r="E515" s="186"/>
      <c r="F515" s="187"/>
    </row>
    <row r="516" spans="1:6" x14ac:dyDescent="0.2">
      <c r="A516" s="275"/>
      <c r="B516" s="78"/>
      <c r="C516" s="189"/>
      <c r="D516" s="185"/>
      <c r="E516" s="186"/>
      <c r="F516" s="187"/>
    </row>
    <row r="517" spans="1:6" x14ac:dyDescent="0.2">
      <c r="A517" s="275"/>
      <c r="B517" s="78"/>
      <c r="C517" s="189"/>
      <c r="D517" s="185"/>
      <c r="E517" s="186"/>
      <c r="F517" s="187"/>
    </row>
    <row r="518" spans="1:6" x14ac:dyDescent="0.2">
      <c r="A518" s="275"/>
      <c r="B518" s="78"/>
      <c r="C518" s="189"/>
      <c r="D518" s="185"/>
      <c r="E518" s="186"/>
      <c r="F518" s="187"/>
    </row>
    <row r="519" spans="1:6" x14ac:dyDescent="0.2">
      <c r="A519" s="275"/>
      <c r="B519" s="78"/>
      <c r="C519" s="189"/>
      <c r="D519" s="185"/>
      <c r="E519" s="186"/>
      <c r="F519" s="187"/>
    </row>
    <row r="520" spans="1:6" x14ac:dyDescent="0.2">
      <c r="A520" s="275"/>
      <c r="B520" s="78"/>
      <c r="C520" s="189"/>
      <c r="D520" s="185"/>
      <c r="E520" s="186"/>
      <c r="F520" s="187"/>
    </row>
    <row r="521" spans="1:6" x14ac:dyDescent="0.2">
      <c r="A521" s="275"/>
      <c r="B521" s="78"/>
      <c r="C521" s="189"/>
      <c r="D521" s="185"/>
      <c r="E521" s="186"/>
      <c r="F521" s="187"/>
    </row>
    <row r="522" spans="1:6" x14ac:dyDescent="0.2">
      <c r="A522" s="275"/>
      <c r="B522" s="78"/>
      <c r="C522" s="189"/>
      <c r="D522" s="185"/>
      <c r="E522" s="186"/>
      <c r="F522" s="187"/>
    </row>
    <row r="523" spans="1:6" x14ac:dyDescent="0.2">
      <c r="A523" s="275"/>
      <c r="B523" s="78"/>
      <c r="C523" s="189"/>
      <c r="D523" s="185"/>
      <c r="E523" s="186"/>
      <c r="F523" s="187"/>
    </row>
    <row r="524" spans="1:6" x14ac:dyDescent="0.2">
      <c r="A524" s="275"/>
      <c r="B524" s="78"/>
      <c r="C524" s="189"/>
      <c r="D524" s="185"/>
      <c r="E524" s="186"/>
      <c r="F524" s="187"/>
    </row>
    <row r="525" spans="1:6" x14ac:dyDescent="0.2">
      <c r="A525" s="275"/>
      <c r="B525" s="78"/>
      <c r="C525" s="189"/>
      <c r="D525" s="185"/>
      <c r="E525" s="186"/>
      <c r="F525" s="187"/>
    </row>
    <row r="526" spans="1:6" x14ac:dyDescent="0.2">
      <c r="A526" s="275"/>
      <c r="B526" s="78"/>
      <c r="C526" s="189"/>
      <c r="D526" s="185"/>
      <c r="E526" s="186"/>
      <c r="F526" s="187"/>
    </row>
    <row r="527" spans="1:6" x14ac:dyDescent="0.2">
      <c r="A527" s="275"/>
      <c r="B527" s="78"/>
      <c r="C527" s="189"/>
      <c r="D527" s="185"/>
      <c r="E527" s="186"/>
      <c r="F527" s="187"/>
    </row>
    <row r="528" spans="1:6" x14ac:dyDescent="0.2">
      <c r="A528" s="275"/>
      <c r="B528" s="78"/>
      <c r="C528" s="189"/>
      <c r="D528" s="185"/>
      <c r="E528" s="186"/>
      <c r="F528" s="187"/>
    </row>
    <row r="529" spans="1:6" x14ac:dyDescent="0.2">
      <c r="A529" s="275"/>
      <c r="B529" s="78"/>
      <c r="C529" s="189"/>
      <c r="D529" s="185"/>
      <c r="E529" s="186"/>
      <c r="F529" s="187"/>
    </row>
    <row r="530" spans="1:6" x14ac:dyDescent="0.2">
      <c r="A530" s="275"/>
      <c r="B530" s="78"/>
      <c r="C530" s="189"/>
      <c r="D530" s="185"/>
      <c r="E530" s="186"/>
      <c r="F530" s="187"/>
    </row>
    <row r="531" spans="1:6" x14ac:dyDescent="0.2">
      <c r="A531" s="275"/>
      <c r="B531" s="78"/>
      <c r="C531" s="189"/>
      <c r="D531" s="185"/>
      <c r="E531" s="186"/>
      <c r="F531" s="187"/>
    </row>
    <row r="532" spans="1:6" x14ac:dyDescent="0.2">
      <c r="A532" s="275"/>
      <c r="B532" s="78"/>
      <c r="C532" s="189"/>
      <c r="D532" s="185"/>
      <c r="E532" s="186"/>
      <c r="F532" s="187"/>
    </row>
    <row r="533" spans="1:6" x14ac:dyDescent="0.2">
      <c r="A533" s="275"/>
      <c r="B533" s="78"/>
      <c r="C533" s="189"/>
      <c r="D533" s="185"/>
      <c r="E533" s="186"/>
      <c r="F533" s="187"/>
    </row>
    <row r="534" spans="1:6" x14ac:dyDescent="0.2">
      <c r="A534" s="275"/>
      <c r="B534" s="78"/>
      <c r="C534" s="189"/>
      <c r="D534" s="185"/>
      <c r="E534" s="186"/>
      <c r="F534" s="187"/>
    </row>
    <row r="535" spans="1:6" x14ac:dyDescent="0.2">
      <c r="A535" s="275"/>
      <c r="B535" s="78"/>
      <c r="C535" s="189"/>
      <c r="D535" s="185"/>
      <c r="E535" s="186"/>
      <c r="F535" s="187"/>
    </row>
    <row r="536" spans="1:6" x14ac:dyDescent="0.2">
      <c r="A536" s="275"/>
      <c r="B536" s="78"/>
      <c r="C536" s="189"/>
      <c r="D536" s="185"/>
      <c r="E536" s="186"/>
      <c r="F536" s="187"/>
    </row>
    <row r="537" spans="1:6" x14ac:dyDescent="0.2">
      <c r="A537" s="275"/>
      <c r="B537" s="78"/>
      <c r="C537" s="189"/>
      <c r="D537" s="185"/>
      <c r="E537" s="186"/>
      <c r="F537" s="187"/>
    </row>
    <row r="538" spans="1:6" x14ac:dyDescent="0.2">
      <c r="A538" s="275"/>
      <c r="B538" s="78"/>
      <c r="C538" s="189"/>
      <c r="D538" s="185"/>
      <c r="E538" s="186"/>
      <c r="F538" s="187"/>
    </row>
    <row r="539" spans="1:6" x14ac:dyDescent="0.2">
      <c r="A539" s="275"/>
      <c r="B539" s="78"/>
      <c r="C539" s="189"/>
      <c r="D539" s="185"/>
      <c r="E539" s="186"/>
      <c r="F539" s="187"/>
    </row>
    <row r="540" spans="1:6" x14ac:dyDescent="0.2">
      <c r="A540" s="275"/>
      <c r="B540" s="78"/>
      <c r="C540" s="189"/>
      <c r="D540" s="185"/>
      <c r="E540" s="186"/>
      <c r="F540" s="187"/>
    </row>
    <row r="541" spans="1:6" x14ac:dyDescent="0.2">
      <c r="A541" s="275"/>
      <c r="B541" s="78"/>
      <c r="C541" s="189"/>
      <c r="D541" s="185"/>
      <c r="E541" s="186"/>
      <c r="F541" s="187"/>
    </row>
    <row r="542" spans="1:6" x14ac:dyDescent="0.2">
      <c r="A542" s="275"/>
      <c r="B542" s="78"/>
      <c r="C542" s="189"/>
      <c r="D542" s="185"/>
      <c r="E542" s="186"/>
      <c r="F542" s="187"/>
    </row>
    <row r="543" spans="1:6" x14ac:dyDescent="0.2">
      <c r="A543" s="275"/>
      <c r="B543" s="78"/>
      <c r="C543" s="189"/>
      <c r="D543" s="185"/>
      <c r="E543" s="186"/>
      <c r="F543" s="187"/>
    </row>
    <row r="544" spans="1:6" x14ac:dyDescent="0.2">
      <c r="A544" s="275"/>
      <c r="B544" s="78"/>
      <c r="C544" s="189"/>
      <c r="D544" s="185"/>
      <c r="E544" s="186"/>
      <c r="F544" s="187"/>
    </row>
    <row r="545" spans="1:6" x14ac:dyDescent="0.2">
      <c r="A545" s="275"/>
      <c r="B545" s="78"/>
      <c r="C545" s="189"/>
      <c r="D545" s="185"/>
      <c r="E545" s="186"/>
      <c r="F545" s="187"/>
    </row>
    <row r="546" spans="1:6" x14ac:dyDescent="0.2">
      <c r="A546" s="275"/>
      <c r="B546" s="78"/>
      <c r="C546" s="189"/>
      <c r="D546" s="185"/>
      <c r="E546" s="186"/>
      <c r="F546" s="187"/>
    </row>
    <row r="547" spans="1:6" x14ac:dyDescent="0.2">
      <c r="A547" s="275"/>
      <c r="B547" s="78"/>
      <c r="C547" s="189"/>
      <c r="D547" s="185"/>
      <c r="E547" s="186"/>
      <c r="F547" s="187"/>
    </row>
    <row r="548" spans="1:6" x14ac:dyDescent="0.2">
      <c r="A548" s="275"/>
      <c r="B548" s="78"/>
      <c r="C548" s="189"/>
      <c r="D548" s="185"/>
      <c r="E548" s="186"/>
      <c r="F548" s="187"/>
    </row>
    <row r="549" spans="1:6" x14ac:dyDescent="0.2">
      <c r="A549" s="275"/>
      <c r="B549" s="78"/>
      <c r="C549" s="189"/>
      <c r="D549" s="185"/>
      <c r="E549" s="186"/>
      <c r="F549" s="187"/>
    </row>
    <row r="550" spans="1:6" x14ac:dyDescent="0.2">
      <c r="A550" s="275"/>
      <c r="B550" s="78"/>
      <c r="C550" s="189"/>
      <c r="D550" s="185"/>
      <c r="E550" s="186"/>
      <c r="F550" s="187"/>
    </row>
    <row r="551" spans="1:6" x14ac:dyDescent="0.2">
      <c r="A551" s="275"/>
      <c r="B551" s="78"/>
      <c r="C551" s="189"/>
      <c r="D551" s="185"/>
      <c r="E551" s="186"/>
      <c r="F551" s="187"/>
    </row>
    <row r="552" spans="1:6" x14ac:dyDescent="0.2">
      <c r="A552" s="275"/>
      <c r="B552" s="78"/>
      <c r="C552" s="189"/>
      <c r="D552" s="185"/>
      <c r="E552" s="186"/>
      <c r="F552" s="187"/>
    </row>
    <row r="553" spans="1:6" x14ac:dyDescent="0.2">
      <c r="A553" s="275"/>
      <c r="B553" s="78"/>
      <c r="C553" s="189"/>
      <c r="D553" s="185"/>
      <c r="E553" s="186"/>
      <c r="F553" s="187"/>
    </row>
    <row r="554" spans="1:6" x14ac:dyDescent="0.2">
      <c r="A554" s="275"/>
      <c r="B554" s="78"/>
      <c r="C554" s="189"/>
      <c r="D554" s="185"/>
      <c r="E554" s="186"/>
      <c r="F554" s="187"/>
    </row>
    <row r="555" spans="1:6" x14ac:dyDescent="0.2">
      <c r="A555" s="275"/>
      <c r="B555" s="78"/>
      <c r="C555" s="189"/>
      <c r="D555" s="185"/>
      <c r="E555" s="186"/>
      <c r="F555" s="187"/>
    </row>
    <row r="556" spans="1:6" x14ac:dyDescent="0.2">
      <c r="A556" s="275"/>
      <c r="B556" s="78"/>
      <c r="C556" s="189"/>
      <c r="D556" s="185"/>
      <c r="E556" s="186"/>
      <c r="F556" s="187"/>
    </row>
    <row r="557" spans="1:6" x14ac:dyDescent="0.2">
      <c r="A557" s="275"/>
      <c r="B557" s="78"/>
      <c r="C557" s="189"/>
      <c r="D557" s="185"/>
      <c r="E557" s="186"/>
      <c r="F557" s="187"/>
    </row>
    <row r="558" spans="1:6" x14ac:dyDescent="0.2">
      <c r="A558" s="275"/>
      <c r="B558" s="78"/>
      <c r="C558" s="189"/>
      <c r="D558" s="185"/>
      <c r="E558" s="186"/>
      <c r="F558" s="187"/>
    </row>
    <row r="559" spans="1:6" x14ac:dyDescent="0.2">
      <c r="A559" s="275"/>
      <c r="B559" s="78"/>
      <c r="C559" s="189"/>
      <c r="D559" s="185"/>
      <c r="E559" s="186"/>
      <c r="F559" s="187"/>
    </row>
    <row r="560" spans="1:6" x14ac:dyDescent="0.2">
      <c r="A560" s="275"/>
      <c r="B560" s="78"/>
      <c r="C560" s="189"/>
      <c r="D560" s="185"/>
      <c r="E560" s="186"/>
      <c r="F560" s="187"/>
    </row>
    <row r="561" spans="1:6" x14ac:dyDescent="0.2">
      <c r="A561" s="275"/>
      <c r="B561" s="78"/>
      <c r="C561" s="189"/>
      <c r="D561" s="185"/>
      <c r="E561" s="186"/>
      <c r="F561" s="187"/>
    </row>
    <row r="562" spans="1:6" x14ac:dyDescent="0.2">
      <c r="A562" s="275"/>
      <c r="B562" s="78"/>
      <c r="C562" s="189"/>
      <c r="D562" s="185"/>
      <c r="E562" s="186"/>
      <c r="F562" s="187"/>
    </row>
    <row r="563" spans="1:6" x14ac:dyDescent="0.2">
      <c r="A563" s="275"/>
      <c r="B563" s="78"/>
      <c r="C563" s="189"/>
      <c r="D563" s="185"/>
      <c r="E563" s="186"/>
      <c r="F563" s="187"/>
    </row>
    <row r="564" spans="1:6" x14ac:dyDescent="0.2">
      <c r="A564" s="275"/>
      <c r="B564" s="78"/>
      <c r="C564" s="189"/>
      <c r="D564" s="185"/>
      <c r="E564" s="186"/>
      <c r="F564" s="187"/>
    </row>
    <row r="565" spans="1:6" x14ac:dyDescent="0.2">
      <c r="A565" s="275"/>
      <c r="B565" s="78"/>
      <c r="C565" s="189"/>
      <c r="D565" s="185"/>
      <c r="E565" s="186"/>
      <c r="F565" s="187"/>
    </row>
    <row r="566" spans="1:6" x14ac:dyDescent="0.2">
      <c r="A566" s="275"/>
      <c r="B566" s="78"/>
      <c r="C566" s="189"/>
      <c r="D566" s="185"/>
      <c r="E566" s="186"/>
      <c r="F566" s="187"/>
    </row>
    <row r="567" spans="1:6" x14ac:dyDescent="0.2">
      <c r="A567" s="275"/>
      <c r="B567" s="78"/>
      <c r="C567" s="189"/>
      <c r="D567" s="185"/>
      <c r="E567" s="186"/>
      <c r="F567" s="187"/>
    </row>
    <row r="568" spans="1:6" x14ac:dyDescent="0.2">
      <c r="A568" s="275"/>
      <c r="B568" s="78"/>
      <c r="C568" s="189"/>
      <c r="D568" s="185"/>
      <c r="E568" s="186"/>
      <c r="F568" s="187"/>
    </row>
    <row r="569" spans="1:6" x14ac:dyDescent="0.2">
      <c r="A569" s="275"/>
      <c r="B569" s="78"/>
      <c r="C569" s="189"/>
      <c r="D569" s="185"/>
      <c r="E569" s="186"/>
      <c r="F569" s="187"/>
    </row>
    <row r="570" spans="1:6" x14ac:dyDescent="0.2">
      <c r="A570" s="275"/>
      <c r="B570" s="78"/>
      <c r="C570" s="189"/>
      <c r="D570" s="185"/>
      <c r="E570" s="186"/>
      <c r="F570" s="187"/>
    </row>
    <row r="571" spans="1:6" x14ac:dyDescent="0.2">
      <c r="A571" s="275"/>
      <c r="B571" s="78"/>
      <c r="C571" s="189"/>
      <c r="D571" s="185"/>
      <c r="E571" s="186"/>
      <c r="F571" s="187"/>
    </row>
    <row r="572" spans="1:6" x14ac:dyDescent="0.2">
      <c r="A572" s="275"/>
      <c r="B572" s="78"/>
      <c r="C572" s="189"/>
      <c r="D572" s="185"/>
      <c r="E572" s="186"/>
      <c r="F572" s="187"/>
    </row>
    <row r="573" spans="1:6" x14ac:dyDescent="0.2">
      <c r="A573" s="275"/>
      <c r="B573" s="78"/>
      <c r="C573" s="189"/>
      <c r="D573" s="185"/>
      <c r="E573" s="186"/>
      <c r="F573" s="187"/>
    </row>
    <row r="574" spans="1:6" x14ac:dyDescent="0.2">
      <c r="A574" s="275"/>
      <c r="B574" s="78"/>
      <c r="C574" s="189"/>
      <c r="D574" s="185"/>
      <c r="E574" s="186"/>
      <c r="F574" s="187"/>
    </row>
    <row r="575" spans="1:6" x14ac:dyDescent="0.2">
      <c r="A575" s="275"/>
      <c r="B575" s="78"/>
      <c r="C575" s="189"/>
      <c r="D575" s="185"/>
      <c r="E575" s="186"/>
      <c r="F575" s="187"/>
    </row>
    <row r="576" spans="1:6" x14ac:dyDescent="0.2">
      <c r="A576" s="275"/>
      <c r="B576" s="78"/>
      <c r="C576" s="189"/>
      <c r="D576" s="185"/>
      <c r="E576" s="186"/>
      <c r="F576" s="187"/>
    </row>
    <row r="577" spans="1:6" x14ac:dyDescent="0.2">
      <c r="A577" s="275"/>
      <c r="B577" s="78"/>
      <c r="C577" s="189"/>
      <c r="D577" s="185"/>
      <c r="E577" s="186"/>
      <c r="F577" s="187"/>
    </row>
    <row r="578" spans="1:6" x14ac:dyDescent="0.2">
      <c r="A578" s="275"/>
      <c r="B578" s="78"/>
      <c r="C578" s="189"/>
      <c r="D578" s="185"/>
      <c r="E578" s="186"/>
      <c r="F578" s="187"/>
    </row>
    <row r="579" spans="1:6" x14ac:dyDescent="0.2">
      <c r="A579" s="275"/>
      <c r="B579" s="78"/>
      <c r="C579" s="189"/>
      <c r="D579" s="185"/>
      <c r="E579" s="186"/>
      <c r="F579" s="187"/>
    </row>
    <row r="580" spans="1:6" x14ac:dyDescent="0.2">
      <c r="A580" s="275"/>
      <c r="B580" s="78"/>
      <c r="C580" s="189"/>
      <c r="D580" s="185"/>
      <c r="E580" s="186"/>
      <c r="F580" s="187"/>
    </row>
    <row r="581" spans="1:6" x14ac:dyDescent="0.2">
      <c r="A581" s="275"/>
      <c r="B581" s="78"/>
      <c r="C581" s="189"/>
      <c r="D581" s="185"/>
      <c r="E581" s="186"/>
      <c r="F581" s="187"/>
    </row>
    <row r="582" spans="1:6" x14ac:dyDescent="0.2">
      <c r="A582" s="275"/>
      <c r="B582" s="78"/>
      <c r="C582" s="189"/>
      <c r="D582" s="185"/>
      <c r="E582" s="186"/>
      <c r="F582" s="187"/>
    </row>
    <row r="583" spans="1:6" x14ac:dyDescent="0.2">
      <c r="A583" s="275"/>
      <c r="B583" s="78"/>
      <c r="C583" s="189"/>
      <c r="D583" s="185"/>
      <c r="E583" s="186"/>
      <c r="F583" s="187"/>
    </row>
    <row r="584" spans="1:6" x14ac:dyDescent="0.2">
      <c r="A584" s="275"/>
      <c r="B584" s="78"/>
      <c r="C584" s="189"/>
      <c r="D584" s="185"/>
      <c r="E584" s="186"/>
      <c r="F584" s="187"/>
    </row>
    <row r="585" spans="1:6" x14ac:dyDescent="0.2">
      <c r="A585" s="275"/>
      <c r="B585" s="78"/>
      <c r="C585" s="189"/>
      <c r="D585" s="185"/>
      <c r="E585" s="186"/>
      <c r="F585" s="187"/>
    </row>
    <row r="586" spans="1:6" x14ac:dyDescent="0.2">
      <c r="A586" s="275"/>
      <c r="B586" s="78"/>
      <c r="C586" s="189"/>
      <c r="D586" s="185"/>
      <c r="E586" s="186"/>
      <c r="F586" s="187"/>
    </row>
    <row r="587" spans="1:6" x14ac:dyDescent="0.2">
      <c r="A587" s="275"/>
      <c r="B587" s="78"/>
      <c r="C587" s="189"/>
      <c r="D587" s="185"/>
      <c r="E587" s="186"/>
      <c r="F587" s="187"/>
    </row>
    <row r="588" spans="1:6" x14ac:dyDescent="0.2">
      <c r="A588" s="275"/>
      <c r="B588" s="78"/>
      <c r="C588" s="189"/>
      <c r="D588" s="185"/>
      <c r="E588" s="186"/>
      <c r="F588" s="187"/>
    </row>
    <row r="589" spans="1:6" x14ac:dyDescent="0.2">
      <c r="A589" s="275"/>
      <c r="B589" s="78"/>
      <c r="C589" s="189"/>
      <c r="D589" s="185"/>
      <c r="E589" s="186"/>
      <c r="F589" s="187"/>
    </row>
    <row r="590" spans="1:6" x14ac:dyDescent="0.2">
      <c r="A590" s="275"/>
      <c r="B590" s="78"/>
      <c r="C590" s="189"/>
      <c r="D590" s="185"/>
      <c r="E590" s="186"/>
      <c r="F590" s="187"/>
    </row>
    <row r="591" spans="1:6" x14ac:dyDescent="0.2">
      <c r="A591" s="275"/>
      <c r="B591" s="78"/>
      <c r="C591" s="189"/>
      <c r="D591" s="185"/>
      <c r="E591" s="186"/>
      <c r="F591" s="187"/>
    </row>
    <row r="592" spans="1:6" x14ac:dyDescent="0.2">
      <c r="A592" s="275"/>
      <c r="B592" s="78"/>
      <c r="C592" s="189"/>
      <c r="D592" s="185"/>
      <c r="E592" s="186"/>
      <c r="F592" s="187"/>
    </row>
    <row r="593" spans="1:6" x14ac:dyDescent="0.2">
      <c r="A593" s="275"/>
      <c r="B593" s="78"/>
      <c r="C593" s="189"/>
      <c r="D593" s="185"/>
      <c r="E593" s="186"/>
      <c r="F593" s="187"/>
    </row>
    <row r="594" spans="1:6" x14ac:dyDescent="0.2">
      <c r="A594" s="275"/>
      <c r="B594" s="78"/>
      <c r="C594" s="189"/>
      <c r="D594" s="185"/>
      <c r="E594" s="186"/>
      <c r="F594" s="187"/>
    </row>
    <row r="595" spans="1:6" x14ac:dyDescent="0.2">
      <c r="A595" s="275"/>
      <c r="B595" s="78"/>
      <c r="C595" s="189"/>
      <c r="D595" s="185"/>
      <c r="E595" s="186"/>
      <c r="F595" s="187"/>
    </row>
    <row r="596" spans="1:6" x14ac:dyDescent="0.2">
      <c r="A596" s="275"/>
      <c r="B596" s="78"/>
      <c r="C596" s="189"/>
      <c r="D596" s="185"/>
      <c r="E596" s="186"/>
      <c r="F596" s="187"/>
    </row>
    <row r="597" spans="1:6" x14ac:dyDescent="0.2">
      <c r="A597" s="275"/>
      <c r="B597" s="78"/>
      <c r="C597" s="189"/>
      <c r="D597" s="185"/>
      <c r="E597" s="186"/>
      <c r="F597" s="187"/>
    </row>
    <row r="598" spans="1:6" x14ac:dyDescent="0.2">
      <c r="A598" s="275"/>
      <c r="B598" s="78"/>
      <c r="C598" s="189"/>
      <c r="D598" s="185"/>
      <c r="E598" s="186"/>
      <c r="F598" s="187"/>
    </row>
    <row r="599" spans="1:6" x14ac:dyDescent="0.2">
      <c r="A599" s="275"/>
      <c r="B599" s="78"/>
      <c r="C599" s="189"/>
      <c r="D599" s="185"/>
      <c r="E599" s="186"/>
      <c r="F599" s="187"/>
    </row>
    <row r="600" spans="1:6" x14ac:dyDescent="0.2">
      <c r="A600" s="275"/>
      <c r="B600" s="78"/>
      <c r="C600" s="189"/>
      <c r="D600" s="185"/>
      <c r="E600" s="186"/>
      <c r="F600" s="187"/>
    </row>
    <row r="601" spans="1:6" x14ac:dyDescent="0.2">
      <c r="A601" s="275"/>
      <c r="B601" s="78"/>
      <c r="C601" s="189"/>
      <c r="D601" s="185"/>
      <c r="E601" s="186"/>
      <c r="F601" s="187"/>
    </row>
    <row r="602" spans="1:6" x14ac:dyDescent="0.2">
      <c r="A602" s="275"/>
      <c r="B602" s="78"/>
      <c r="C602" s="189"/>
      <c r="D602" s="185"/>
      <c r="E602" s="186"/>
      <c r="F602" s="187"/>
    </row>
    <row r="603" spans="1:6" x14ac:dyDescent="0.2">
      <c r="A603" s="275"/>
      <c r="B603" s="78"/>
      <c r="C603" s="189"/>
      <c r="D603" s="185"/>
      <c r="E603" s="186"/>
      <c r="F603" s="187"/>
    </row>
    <row r="604" spans="1:6" x14ac:dyDescent="0.2">
      <c r="A604" s="275"/>
      <c r="B604" s="78"/>
      <c r="C604" s="189"/>
      <c r="D604" s="185"/>
      <c r="E604" s="186"/>
      <c r="F604" s="187"/>
    </row>
    <row r="605" spans="1:6" x14ac:dyDescent="0.2">
      <c r="A605" s="275"/>
      <c r="B605" s="78"/>
      <c r="C605" s="189"/>
      <c r="D605" s="185"/>
      <c r="E605" s="186"/>
      <c r="F605" s="187"/>
    </row>
    <row r="606" spans="1:6" x14ac:dyDescent="0.2">
      <c r="A606" s="275"/>
      <c r="B606" s="78"/>
      <c r="C606" s="189"/>
      <c r="D606" s="185"/>
      <c r="E606" s="186"/>
      <c r="F606" s="187"/>
    </row>
    <row r="607" spans="1:6" x14ac:dyDescent="0.2">
      <c r="A607" s="275"/>
      <c r="B607" s="78"/>
      <c r="C607" s="189"/>
      <c r="D607" s="185"/>
      <c r="E607" s="186"/>
      <c r="F607" s="187"/>
    </row>
    <row r="608" spans="1:6" x14ac:dyDescent="0.2">
      <c r="A608" s="275"/>
      <c r="B608" s="78"/>
      <c r="C608" s="189"/>
      <c r="D608" s="185"/>
      <c r="E608" s="186"/>
      <c r="F608" s="187"/>
    </row>
    <row r="609" spans="1:6" x14ac:dyDescent="0.2">
      <c r="A609" s="275"/>
      <c r="B609" s="78"/>
      <c r="C609" s="189"/>
      <c r="D609" s="185"/>
      <c r="E609" s="186"/>
      <c r="F609" s="187"/>
    </row>
    <row r="610" spans="1:6" x14ac:dyDescent="0.2">
      <c r="A610" s="275"/>
      <c r="B610" s="78"/>
      <c r="C610" s="189"/>
      <c r="D610" s="185"/>
      <c r="E610" s="186"/>
      <c r="F610" s="187"/>
    </row>
    <row r="611" spans="1:6" x14ac:dyDescent="0.2">
      <c r="A611" s="275"/>
      <c r="B611" s="78"/>
      <c r="C611" s="189"/>
      <c r="D611" s="185"/>
      <c r="E611" s="186"/>
      <c r="F611" s="187"/>
    </row>
    <row r="612" spans="1:6" x14ac:dyDescent="0.2">
      <c r="A612" s="275"/>
      <c r="B612" s="78"/>
      <c r="C612" s="189"/>
      <c r="D612" s="185"/>
      <c r="E612" s="186"/>
      <c r="F612" s="187"/>
    </row>
    <row r="613" spans="1:6" x14ac:dyDescent="0.2">
      <c r="A613" s="275"/>
      <c r="B613" s="78"/>
      <c r="C613" s="189"/>
      <c r="D613" s="185"/>
      <c r="E613" s="186"/>
      <c r="F613" s="187"/>
    </row>
    <row r="614" spans="1:6" x14ac:dyDescent="0.2">
      <c r="A614" s="275"/>
      <c r="B614" s="78"/>
      <c r="C614" s="189"/>
      <c r="D614" s="185"/>
      <c r="E614" s="186"/>
      <c r="F614" s="187"/>
    </row>
    <row r="615" spans="1:6" x14ac:dyDescent="0.2">
      <c r="A615" s="275"/>
      <c r="B615" s="78"/>
      <c r="C615" s="189"/>
      <c r="D615" s="185"/>
      <c r="E615" s="186"/>
      <c r="F615" s="187"/>
    </row>
    <row r="616" spans="1:6" x14ac:dyDescent="0.2">
      <c r="A616" s="275"/>
      <c r="B616" s="78"/>
      <c r="C616" s="189"/>
      <c r="D616" s="185"/>
      <c r="E616" s="186"/>
      <c r="F616" s="187"/>
    </row>
    <row r="617" spans="1:6" x14ac:dyDescent="0.2">
      <c r="A617" s="275"/>
      <c r="B617" s="78"/>
      <c r="C617" s="189"/>
      <c r="D617" s="185"/>
      <c r="E617" s="186"/>
      <c r="F617" s="187"/>
    </row>
    <row r="618" spans="1:6" x14ac:dyDescent="0.2">
      <c r="A618" s="275"/>
      <c r="B618" s="78"/>
      <c r="C618" s="189"/>
      <c r="D618" s="185"/>
      <c r="E618" s="186"/>
      <c r="F618" s="187"/>
    </row>
    <row r="619" spans="1:6" x14ac:dyDescent="0.2">
      <c r="A619" s="275"/>
      <c r="B619" s="78"/>
      <c r="C619" s="189"/>
      <c r="D619" s="185"/>
      <c r="E619" s="186"/>
      <c r="F619" s="187"/>
    </row>
    <row r="620" spans="1:6" x14ac:dyDescent="0.2">
      <c r="A620" s="275"/>
      <c r="B620" s="78"/>
      <c r="C620" s="189"/>
      <c r="D620" s="185"/>
      <c r="E620" s="186"/>
      <c r="F620" s="187"/>
    </row>
    <row r="621" spans="1:6" x14ac:dyDescent="0.2">
      <c r="A621" s="275"/>
      <c r="B621" s="78"/>
      <c r="C621" s="189"/>
      <c r="D621" s="185"/>
      <c r="E621" s="186"/>
      <c r="F621" s="187"/>
    </row>
    <row r="622" spans="1:6" x14ac:dyDescent="0.2">
      <c r="A622" s="275"/>
      <c r="B622" s="78"/>
      <c r="C622" s="189"/>
      <c r="D622" s="185"/>
      <c r="E622" s="186"/>
      <c r="F622" s="187"/>
    </row>
    <row r="623" spans="1:6" x14ac:dyDescent="0.2">
      <c r="A623" s="275"/>
      <c r="B623" s="78"/>
      <c r="C623" s="189"/>
      <c r="D623" s="185"/>
      <c r="E623" s="186"/>
      <c r="F623" s="187"/>
    </row>
    <row r="624" spans="1:6" x14ac:dyDescent="0.2">
      <c r="A624" s="275"/>
      <c r="B624" s="78"/>
      <c r="C624" s="189"/>
      <c r="D624" s="185"/>
      <c r="E624" s="186"/>
      <c r="F624" s="187"/>
    </row>
    <row r="625" spans="1:6" x14ac:dyDescent="0.2">
      <c r="A625" s="275"/>
      <c r="B625" s="78"/>
      <c r="C625" s="189"/>
      <c r="D625" s="185"/>
      <c r="E625" s="186"/>
      <c r="F625" s="187"/>
    </row>
    <row r="626" spans="1:6" x14ac:dyDescent="0.2">
      <c r="A626" s="275"/>
      <c r="B626" s="78"/>
      <c r="C626" s="189"/>
      <c r="D626" s="185"/>
      <c r="E626" s="186"/>
      <c r="F626" s="187"/>
    </row>
    <row r="627" spans="1:6" x14ac:dyDescent="0.2">
      <c r="A627" s="275"/>
      <c r="B627" s="78"/>
      <c r="C627" s="189"/>
      <c r="D627" s="185"/>
      <c r="E627" s="186"/>
      <c r="F627" s="187"/>
    </row>
    <row r="628" spans="1:6" x14ac:dyDescent="0.2">
      <c r="A628" s="275"/>
      <c r="B628" s="78"/>
      <c r="C628" s="189"/>
      <c r="D628" s="185"/>
      <c r="E628" s="186"/>
      <c r="F628" s="187"/>
    </row>
    <row r="629" spans="1:6" x14ac:dyDescent="0.2">
      <c r="A629" s="275"/>
      <c r="B629" s="78"/>
      <c r="C629" s="189"/>
      <c r="D629" s="185"/>
      <c r="E629" s="186"/>
      <c r="F629" s="187"/>
    </row>
    <row r="630" spans="1:6" x14ac:dyDescent="0.2">
      <c r="A630" s="275"/>
      <c r="B630" s="78"/>
      <c r="C630" s="189"/>
      <c r="D630" s="185"/>
      <c r="E630" s="186"/>
      <c r="F630" s="187"/>
    </row>
    <row r="631" spans="1:6" x14ac:dyDescent="0.2">
      <c r="A631" s="275"/>
      <c r="B631" s="78"/>
      <c r="C631" s="189"/>
      <c r="D631" s="185"/>
      <c r="E631" s="186"/>
      <c r="F631" s="187"/>
    </row>
    <row r="632" spans="1:6" x14ac:dyDescent="0.2">
      <c r="A632" s="275"/>
      <c r="B632" s="78"/>
      <c r="C632" s="189"/>
      <c r="D632" s="185"/>
      <c r="E632" s="186"/>
      <c r="F632" s="187"/>
    </row>
    <row r="633" spans="1:6" x14ac:dyDescent="0.2">
      <c r="A633" s="275"/>
      <c r="B633" s="78"/>
      <c r="C633" s="189"/>
      <c r="D633" s="185"/>
      <c r="E633" s="186"/>
      <c r="F633" s="187"/>
    </row>
    <row r="634" spans="1:6" x14ac:dyDescent="0.2">
      <c r="A634" s="275"/>
      <c r="B634" s="78"/>
      <c r="C634" s="189"/>
      <c r="D634" s="185"/>
      <c r="E634" s="186"/>
      <c r="F634" s="187"/>
    </row>
    <row r="635" spans="1:6" x14ac:dyDescent="0.2">
      <c r="A635" s="275"/>
      <c r="B635" s="78"/>
      <c r="C635" s="189"/>
      <c r="D635" s="185"/>
      <c r="E635" s="186"/>
      <c r="F635" s="187"/>
    </row>
    <row r="636" spans="1:6" x14ac:dyDescent="0.2">
      <c r="A636" s="275"/>
      <c r="B636" s="78"/>
      <c r="C636" s="189"/>
      <c r="D636" s="185"/>
      <c r="E636" s="186"/>
      <c r="F636" s="187"/>
    </row>
    <row r="637" spans="1:6" x14ac:dyDescent="0.2">
      <c r="A637" s="275"/>
      <c r="B637" s="78"/>
      <c r="C637" s="189"/>
      <c r="D637" s="185"/>
      <c r="E637" s="186"/>
      <c r="F637" s="187"/>
    </row>
    <row r="638" spans="1:6" x14ac:dyDescent="0.2">
      <c r="A638" s="275"/>
      <c r="B638" s="78"/>
      <c r="C638" s="189"/>
      <c r="D638" s="185"/>
      <c r="E638" s="186"/>
      <c r="F638" s="187"/>
    </row>
    <row r="639" spans="1:6" x14ac:dyDescent="0.2">
      <c r="A639" s="275"/>
      <c r="B639" s="78"/>
      <c r="C639" s="189"/>
      <c r="D639" s="185"/>
      <c r="E639" s="186"/>
      <c r="F639" s="187"/>
    </row>
    <row r="640" spans="1:6" x14ac:dyDescent="0.2">
      <c r="A640" s="275"/>
      <c r="B640" s="78"/>
      <c r="C640" s="189"/>
      <c r="D640" s="185"/>
      <c r="E640" s="186"/>
      <c r="F640" s="187"/>
    </row>
    <row r="641" spans="1:6" x14ac:dyDescent="0.2">
      <c r="A641" s="275"/>
      <c r="B641" s="78"/>
      <c r="C641" s="189"/>
      <c r="D641" s="185"/>
      <c r="E641" s="186"/>
      <c r="F641" s="187"/>
    </row>
    <row r="642" spans="1:6" x14ac:dyDescent="0.2">
      <c r="A642" s="275"/>
      <c r="B642" s="78"/>
      <c r="C642" s="189"/>
      <c r="D642" s="185"/>
      <c r="E642" s="186"/>
      <c r="F642" s="187"/>
    </row>
    <row r="643" spans="1:6" x14ac:dyDescent="0.2">
      <c r="A643" s="275"/>
      <c r="B643" s="78"/>
      <c r="C643" s="189"/>
      <c r="D643" s="185"/>
      <c r="E643" s="186"/>
      <c r="F643" s="187"/>
    </row>
    <row r="644" spans="1:6" x14ac:dyDescent="0.2">
      <c r="A644" s="275"/>
      <c r="B644" s="78"/>
      <c r="C644" s="189"/>
      <c r="D644" s="185"/>
      <c r="E644" s="186"/>
      <c r="F644" s="187"/>
    </row>
    <row r="645" spans="1:6" x14ac:dyDescent="0.2">
      <c r="A645" s="275"/>
      <c r="B645" s="78"/>
      <c r="C645" s="189"/>
      <c r="D645" s="185"/>
      <c r="E645" s="186"/>
      <c r="F645" s="187"/>
    </row>
    <row r="646" spans="1:6" x14ac:dyDescent="0.2">
      <c r="A646" s="275"/>
      <c r="B646" s="78"/>
      <c r="C646" s="189"/>
      <c r="D646" s="185"/>
      <c r="E646" s="186"/>
      <c r="F646" s="187"/>
    </row>
    <row r="647" spans="1:6" x14ac:dyDescent="0.2">
      <c r="A647" s="275"/>
      <c r="B647" s="78"/>
      <c r="C647" s="189"/>
      <c r="D647" s="185"/>
      <c r="E647" s="186"/>
      <c r="F647" s="187"/>
    </row>
    <row r="648" spans="1:6" x14ac:dyDescent="0.2">
      <c r="A648" s="275"/>
      <c r="B648" s="78"/>
      <c r="C648" s="189"/>
      <c r="D648" s="185"/>
      <c r="E648" s="186"/>
      <c r="F648" s="187"/>
    </row>
    <row r="649" spans="1:6" x14ac:dyDescent="0.2">
      <c r="A649" s="275"/>
      <c r="B649" s="78"/>
      <c r="C649" s="189"/>
      <c r="D649" s="185"/>
      <c r="E649" s="186"/>
      <c r="F649" s="187"/>
    </row>
    <row r="650" spans="1:6" x14ac:dyDescent="0.2">
      <c r="A650" s="275"/>
      <c r="B650" s="78"/>
      <c r="C650" s="189"/>
      <c r="D650" s="185"/>
      <c r="E650" s="186"/>
      <c r="F650" s="187"/>
    </row>
    <row r="651" spans="1:6" x14ac:dyDescent="0.2">
      <c r="A651" s="275"/>
      <c r="B651" s="78"/>
      <c r="C651" s="189"/>
      <c r="D651" s="185"/>
      <c r="E651" s="186"/>
      <c r="F651" s="187"/>
    </row>
    <row r="652" spans="1:6" x14ac:dyDescent="0.2">
      <c r="A652" s="275"/>
      <c r="B652" s="78"/>
      <c r="C652" s="189"/>
      <c r="D652" s="185"/>
      <c r="E652" s="186"/>
      <c r="F652" s="187"/>
    </row>
    <row r="653" spans="1:6" x14ac:dyDescent="0.2">
      <c r="A653" s="275"/>
      <c r="B653" s="78"/>
      <c r="C653" s="189"/>
      <c r="D653" s="185"/>
      <c r="E653" s="186"/>
      <c r="F653" s="187"/>
    </row>
    <row r="654" spans="1:6" x14ac:dyDescent="0.2">
      <c r="A654" s="275"/>
      <c r="B654" s="78"/>
      <c r="C654" s="189"/>
      <c r="D654" s="185"/>
      <c r="E654" s="186"/>
      <c r="F654" s="187"/>
    </row>
    <row r="655" spans="1:6" x14ac:dyDescent="0.2">
      <c r="A655" s="275"/>
      <c r="B655" s="78"/>
      <c r="C655" s="189"/>
      <c r="D655" s="185"/>
      <c r="E655" s="186"/>
      <c r="F655" s="187"/>
    </row>
    <row r="656" spans="1:6" x14ac:dyDescent="0.2">
      <c r="A656" s="275"/>
      <c r="B656" s="78"/>
      <c r="C656" s="189"/>
      <c r="D656" s="185"/>
      <c r="E656" s="186"/>
      <c r="F656" s="187"/>
    </row>
    <row r="657" spans="1:6" x14ac:dyDescent="0.2">
      <c r="A657" s="275"/>
      <c r="B657" s="78"/>
      <c r="C657" s="189"/>
      <c r="D657" s="185"/>
      <c r="E657" s="186"/>
      <c r="F657" s="187"/>
    </row>
    <row r="658" spans="1:6" x14ac:dyDescent="0.2">
      <c r="A658" s="275"/>
      <c r="B658" s="78"/>
      <c r="C658" s="189"/>
      <c r="D658" s="185"/>
      <c r="E658" s="186"/>
      <c r="F658" s="187"/>
    </row>
    <row r="659" spans="1:6" x14ac:dyDescent="0.2">
      <c r="A659" s="275"/>
      <c r="B659" s="78"/>
      <c r="C659" s="189"/>
      <c r="D659" s="185"/>
      <c r="E659" s="186"/>
      <c r="F659" s="187"/>
    </row>
    <row r="660" spans="1:6" x14ac:dyDescent="0.2">
      <c r="A660" s="275"/>
      <c r="B660" s="78"/>
      <c r="C660" s="189"/>
      <c r="D660" s="185"/>
      <c r="E660" s="186"/>
      <c r="F660" s="187"/>
    </row>
    <row r="661" spans="1:6" x14ac:dyDescent="0.2">
      <c r="A661" s="275"/>
      <c r="B661" s="78"/>
      <c r="C661" s="189"/>
      <c r="D661" s="185"/>
      <c r="E661" s="186"/>
      <c r="F661" s="187"/>
    </row>
    <row r="662" spans="1:6" x14ac:dyDescent="0.2">
      <c r="A662" s="275"/>
      <c r="B662" s="78"/>
      <c r="C662" s="189"/>
      <c r="D662" s="185"/>
      <c r="E662" s="186"/>
      <c r="F662" s="187"/>
    </row>
    <row r="663" spans="1:6" x14ac:dyDescent="0.2">
      <c r="A663" s="275"/>
      <c r="B663" s="78"/>
      <c r="C663" s="189"/>
      <c r="D663" s="185"/>
      <c r="E663" s="186"/>
      <c r="F663" s="187"/>
    </row>
    <row r="664" spans="1:6" x14ac:dyDescent="0.2">
      <c r="A664" s="275"/>
      <c r="B664" s="78"/>
      <c r="C664" s="189"/>
      <c r="D664" s="185"/>
      <c r="E664" s="186"/>
      <c r="F664" s="187"/>
    </row>
    <row r="665" spans="1:6" x14ac:dyDescent="0.2">
      <c r="A665" s="275"/>
      <c r="B665" s="78"/>
      <c r="C665" s="189"/>
      <c r="D665" s="185"/>
      <c r="E665" s="186"/>
      <c r="F665" s="187"/>
    </row>
    <row r="666" spans="1:6" x14ac:dyDescent="0.2">
      <c r="A666" s="275"/>
      <c r="B666" s="78"/>
      <c r="C666" s="189"/>
      <c r="D666" s="185"/>
      <c r="E666" s="186"/>
      <c r="F666" s="187"/>
    </row>
    <row r="667" spans="1:6" x14ac:dyDescent="0.2">
      <c r="A667" s="275"/>
      <c r="B667" s="78"/>
      <c r="C667" s="189"/>
      <c r="D667" s="185"/>
      <c r="E667" s="186"/>
      <c r="F667" s="187"/>
    </row>
    <row r="668" spans="1:6" x14ac:dyDescent="0.2">
      <c r="A668" s="275"/>
      <c r="B668" s="78"/>
      <c r="C668" s="189"/>
      <c r="D668" s="185"/>
      <c r="E668" s="186"/>
      <c r="F668" s="187"/>
    </row>
    <row r="669" spans="1:6" x14ac:dyDescent="0.2">
      <c r="A669" s="275"/>
      <c r="B669" s="78"/>
      <c r="C669" s="189"/>
      <c r="D669" s="185"/>
      <c r="E669" s="186"/>
      <c r="F669" s="187"/>
    </row>
    <row r="670" spans="1:6" x14ac:dyDescent="0.2">
      <c r="A670" s="275"/>
      <c r="B670" s="78"/>
      <c r="C670" s="189"/>
      <c r="D670" s="185"/>
      <c r="E670" s="186"/>
      <c r="F670" s="187"/>
    </row>
    <row r="671" spans="1:6" x14ac:dyDescent="0.2">
      <c r="A671" s="275"/>
      <c r="B671" s="78"/>
      <c r="C671" s="189"/>
      <c r="D671" s="185"/>
      <c r="E671" s="186"/>
      <c r="F671" s="187"/>
    </row>
    <row r="672" spans="1:6" x14ac:dyDescent="0.2">
      <c r="A672" s="275"/>
      <c r="B672" s="78"/>
      <c r="C672" s="189"/>
      <c r="D672" s="185"/>
      <c r="E672" s="186"/>
      <c r="F672" s="187"/>
    </row>
    <row r="673" spans="1:6" x14ac:dyDescent="0.2">
      <c r="A673" s="275"/>
      <c r="B673" s="78"/>
      <c r="C673" s="189"/>
      <c r="D673" s="185"/>
      <c r="E673" s="186"/>
      <c r="F673" s="187"/>
    </row>
    <row r="674" spans="1:6" x14ac:dyDescent="0.2">
      <c r="A674" s="275"/>
      <c r="B674" s="78"/>
      <c r="C674" s="189"/>
      <c r="D674" s="185"/>
      <c r="E674" s="186"/>
      <c r="F674" s="187"/>
    </row>
    <row r="675" spans="1:6" x14ac:dyDescent="0.2">
      <c r="A675" s="275"/>
      <c r="B675" s="78"/>
      <c r="C675" s="189"/>
      <c r="D675" s="185"/>
      <c r="E675" s="186"/>
      <c r="F675" s="187"/>
    </row>
    <row r="676" spans="1:6" x14ac:dyDescent="0.2">
      <c r="A676" s="275"/>
      <c r="B676" s="78"/>
      <c r="C676" s="189"/>
      <c r="D676" s="185"/>
      <c r="E676" s="186"/>
      <c r="F676" s="187"/>
    </row>
    <row r="677" spans="1:6" x14ac:dyDescent="0.2">
      <c r="A677" s="275"/>
      <c r="B677" s="78"/>
      <c r="C677" s="189"/>
      <c r="D677" s="185"/>
      <c r="E677" s="186"/>
      <c r="F677" s="187"/>
    </row>
    <row r="678" spans="1:6" x14ac:dyDescent="0.2">
      <c r="A678" s="275"/>
      <c r="B678" s="78"/>
      <c r="C678" s="189"/>
      <c r="D678" s="185"/>
      <c r="E678" s="186"/>
      <c r="F678" s="187"/>
    </row>
    <row r="679" spans="1:6" x14ac:dyDescent="0.2">
      <c r="A679" s="275"/>
      <c r="B679" s="78"/>
      <c r="C679" s="189"/>
      <c r="D679" s="185"/>
      <c r="E679" s="186"/>
      <c r="F679" s="187"/>
    </row>
    <row r="680" spans="1:6" x14ac:dyDescent="0.2">
      <c r="A680" s="275"/>
      <c r="B680" s="78"/>
      <c r="C680" s="189"/>
      <c r="D680" s="185"/>
      <c r="E680" s="186"/>
      <c r="F680" s="187"/>
    </row>
    <row r="681" spans="1:6" x14ac:dyDescent="0.2">
      <c r="A681" s="275"/>
      <c r="B681" s="78"/>
      <c r="C681" s="189"/>
      <c r="D681" s="185"/>
      <c r="E681" s="186"/>
      <c r="F681" s="187"/>
    </row>
    <row r="682" spans="1:6" x14ac:dyDescent="0.2">
      <c r="A682" s="275"/>
      <c r="B682" s="78"/>
      <c r="C682" s="189"/>
      <c r="D682" s="185"/>
      <c r="E682" s="186"/>
      <c r="F682" s="187"/>
    </row>
    <row r="683" spans="1:6" x14ac:dyDescent="0.2">
      <c r="A683" s="275"/>
      <c r="B683" s="78"/>
      <c r="C683" s="189"/>
      <c r="D683" s="185"/>
      <c r="E683" s="186"/>
      <c r="F683" s="187"/>
    </row>
    <row r="684" spans="1:6" x14ac:dyDescent="0.2">
      <c r="A684" s="275"/>
      <c r="B684" s="78"/>
      <c r="C684" s="189"/>
      <c r="D684" s="185"/>
      <c r="E684" s="186"/>
      <c r="F684" s="187"/>
    </row>
    <row r="685" spans="1:6" x14ac:dyDescent="0.2">
      <c r="A685" s="275"/>
      <c r="B685" s="78"/>
      <c r="C685" s="189"/>
      <c r="D685" s="185"/>
      <c r="E685" s="186"/>
      <c r="F685" s="187"/>
    </row>
    <row r="686" spans="1:6" x14ac:dyDescent="0.2">
      <c r="A686" s="275"/>
      <c r="B686" s="78"/>
      <c r="C686" s="189"/>
      <c r="D686" s="185"/>
      <c r="E686" s="186"/>
      <c r="F686" s="187"/>
    </row>
    <row r="687" spans="1:6" x14ac:dyDescent="0.2">
      <c r="A687" s="275"/>
      <c r="B687" s="78"/>
      <c r="C687" s="189"/>
      <c r="D687" s="185"/>
      <c r="E687" s="186"/>
      <c r="F687" s="187"/>
    </row>
    <row r="688" spans="1:6" x14ac:dyDescent="0.2">
      <c r="A688" s="275"/>
      <c r="B688" s="78"/>
      <c r="C688" s="189"/>
      <c r="D688" s="185"/>
      <c r="E688" s="186"/>
      <c r="F688" s="187"/>
    </row>
    <row r="689" spans="1:6" x14ac:dyDescent="0.2">
      <c r="A689" s="275"/>
      <c r="B689" s="78"/>
      <c r="C689" s="189"/>
      <c r="D689" s="185"/>
      <c r="E689" s="186"/>
      <c r="F689" s="187"/>
    </row>
    <row r="690" spans="1:6" x14ac:dyDescent="0.2">
      <c r="A690" s="275"/>
      <c r="B690" s="78"/>
      <c r="C690" s="189"/>
      <c r="D690" s="185"/>
      <c r="E690" s="186"/>
      <c r="F690" s="187"/>
    </row>
    <row r="691" spans="1:6" x14ac:dyDescent="0.2">
      <c r="A691" s="275"/>
      <c r="B691" s="78"/>
      <c r="C691" s="189"/>
      <c r="D691" s="185"/>
      <c r="E691" s="186"/>
      <c r="F691" s="187"/>
    </row>
    <row r="692" spans="1:6" x14ac:dyDescent="0.2">
      <c r="A692" s="275"/>
      <c r="B692" s="78"/>
      <c r="C692" s="189"/>
      <c r="D692" s="185"/>
      <c r="E692" s="186"/>
      <c r="F692" s="187"/>
    </row>
    <row r="693" spans="1:6" x14ac:dyDescent="0.2">
      <c r="A693" s="275"/>
      <c r="B693" s="78"/>
      <c r="C693" s="189"/>
      <c r="D693" s="185"/>
      <c r="E693" s="186"/>
      <c r="F693" s="187"/>
    </row>
    <row r="694" spans="1:6" x14ac:dyDescent="0.2">
      <c r="A694" s="275"/>
      <c r="B694" s="78"/>
      <c r="C694" s="189"/>
      <c r="D694" s="185"/>
      <c r="E694" s="186"/>
      <c r="F694" s="187"/>
    </row>
    <row r="695" spans="1:6" x14ac:dyDescent="0.2">
      <c r="A695" s="275"/>
      <c r="B695" s="78"/>
      <c r="C695" s="189"/>
      <c r="D695" s="185"/>
      <c r="E695" s="186"/>
      <c r="F695" s="187"/>
    </row>
    <row r="696" spans="1:6" x14ac:dyDescent="0.2">
      <c r="A696" s="275"/>
      <c r="B696" s="78"/>
      <c r="C696" s="189"/>
      <c r="D696" s="185"/>
      <c r="E696" s="186"/>
      <c r="F696" s="187"/>
    </row>
    <row r="697" spans="1:6" x14ac:dyDescent="0.2">
      <c r="A697" s="275"/>
      <c r="B697" s="78"/>
      <c r="C697" s="189"/>
      <c r="D697" s="185"/>
      <c r="E697" s="186"/>
      <c r="F697" s="187"/>
    </row>
    <row r="698" spans="1:6" x14ac:dyDescent="0.2">
      <c r="A698" s="275"/>
      <c r="B698" s="78"/>
      <c r="C698" s="189"/>
      <c r="D698" s="185"/>
      <c r="E698" s="186"/>
      <c r="F698" s="187"/>
    </row>
    <row r="699" spans="1:6" x14ac:dyDescent="0.2">
      <c r="A699" s="275"/>
      <c r="B699" s="78"/>
      <c r="C699" s="189"/>
      <c r="D699" s="185"/>
      <c r="E699" s="186"/>
      <c r="F699" s="187"/>
    </row>
    <row r="700" spans="1:6" x14ac:dyDescent="0.2">
      <c r="A700" s="275"/>
      <c r="B700" s="78"/>
      <c r="C700" s="189"/>
      <c r="D700" s="185"/>
      <c r="E700" s="186"/>
      <c r="F700" s="187"/>
    </row>
    <row r="701" spans="1:6" x14ac:dyDescent="0.2">
      <c r="A701" s="275"/>
      <c r="B701" s="78"/>
      <c r="C701" s="189"/>
      <c r="D701" s="185"/>
      <c r="E701" s="186"/>
      <c r="F701" s="187"/>
    </row>
    <row r="702" spans="1:6" x14ac:dyDescent="0.2">
      <c r="A702" s="275"/>
      <c r="B702" s="78"/>
      <c r="C702" s="189"/>
      <c r="D702" s="185"/>
      <c r="E702" s="186"/>
      <c r="F702" s="187"/>
    </row>
    <row r="703" spans="1:6" x14ac:dyDescent="0.2">
      <c r="A703" s="275"/>
      <c r="B703" s="78"/>
      <c r="C703" s="189"/>
      <c r="D703" s="185"/>
      <c r="E703" s="186"/>
      <c r="F703" s="187"/>
    </row>
    <row r="704" spans="1:6" x14ac:dyDescent="0.2">
      <c r="A704" s="275"/>
      <c r="B704" s="78"/>
      <c r="C704" s="189"/>
      <c r="D704" s="185"/>
      <c r="E704" s="186"/>
      <c r="F704" s="187"/>
    </row>
    <row r="705" spans="1:6" x14ac:dyDescent="0.2">
      <c r="A705" s="275"/>
      <c r="B705" s="78"/>
      <c r="C705" s="189"/>
      <c r="D705" s="185"/>
      <c r="E705" s="186"/>
      <c r="F705" s="187"/>
    </row>
    <row r="706" spans="1:6" x14ac:dyDescent="0.2">
      <c r="A706" s="275"/>
      <c r="B706" s="78"/>
      <c r="C706" s="189"/>
      <c r="D706" s="185"/>
      <c r="E706" s="186"/>
      <c r="F706" s="187"/>
    </row>
    <row r="707" spans="1:6" x14ac:dyDescent="0.2">
      <c r="A707" s="275"/>
      <c r="B707" s="78"/>
      <c r="C707" s="189"/>
      <c r="D707" s="185"/>
      <c r="E707" s="186"/>
      <c r="F707" s="187"/>
    </row>
    <row r="708" spans="1:6" x14ac:dyDescent="0.2">
      <c r="A708" s="275"/>
      <c r="B708" s="78"/>
      <c r="C708" s="189"/>
      <c r="D708" s="185"/>
      <c r="E708" s="186"/>
      <c r="F708" s="187"/>
    </row>
    <row r="709" spans="1:6" x14ac:dyDescent="0.2">
      <c r="A709" s="275"/>
      <c r="B709" s="78"/>
      <c r="C709" s="189"/>
      <c r="D709" s="185"/>
      <c r="E709" s="186"/>
      <c r="F709" s="187"/>
    </row>
    <row r="710" spans="1:6" x14ac:dyDescent="0.2">
      <c r="A710" s="275"/>
      <c r="B710" s="78"/>
      <c r="C710" s="189"/>
      <c r="D710" s="185"/>
      <c r="E710" s="186"/>
      <c r="F710" s="187"/>
    </row>
    <row r="711" spans="1:6" x14ac:dyDescent="0.2">
      <c r="A711" s="275"/>
      <c r="B711" s="78"/>
      <c r="C711" s="189"/>
      <c r="D711" s="185"/>
      <c r="E711" s="186"/>
      <c r="F711" s="187"/>
    </row>
    <row r="712" spans="1:6" x14ac:dyDescent="0.2">
      <c r="A712" s="275"/>
      <c r="B712" s="78"/>
      <c r="C712" s="189"/>
      <c r="D712" s="185"/>
      <c r="E712" s="186"/>
      <c r="F712" s="187"/>
    </row>
    <row r="713" spans="1:6" x14ac:dyDescent="0.2">
      <c r="A713" s="275"/>
      <c r="B713" s="78"/>
      <c r="C713" s="189"/>
      <c r="D713" s="185"/>
      <c r="E713" s="186"/>
      <c r="F713" s="187"/>
    </row>
    <row r="714" spans="1:6" x14ac:dyDescent="0.2">
      <c r="A714" s="275"/>
      <c r="B714" s="78"/>
      <c r="C714" s="189"/>
      <c r="D714" s="185"/>
      <c r="E714" s="186"/>
      <c r="F714" s="187"/>
    </row>
    <row r="715" spans="1:6" x14ac:dyDescent="0.2">
      <c r="A715" s="275"/>
      <c r="B715" s="78"/>
      <c r="C715" s="189"/>
      <c r="D715" s="185"/>
      <c r="E715" s="186"/>
      <c r="F715" s="187"/>
    </row>
    <row r="716" spans="1:6" x14ac:dyDescent="0.2">
      <c r="A716" s="275"/>
      <c r="B716" s="78"/>
      <c r="C716" s="189"/>
      <c r="D716" s="185"/>
      <c r="E716" s="186"/>
      <c r="F716" s="187"/>
    </row>
    <row r="717" spans="1:6" x14ac:dyDescent="0.2">
      <c r="A717" s="275"/>
      <c r="B717" s="78"/>
      <c r="C717" s="189"/>
      <c r="D717" s="185"/>
      <c r="E717" s="186"/>
      <c r="F717" s="187"/>
    </row>
    <row r="718" spans="1:6" x14ac:dyDescent="0.2">
      <c r="A718" s="275"/>
      <c r="B718" s="78"/>
      <c r="C718" s="189"/>
      <c r="D718" s="185"/>
      <c r="E718" s="186"/>
      <c r="F718" s="187"/>
    </row>
    <row r="719" spans="1:6" x14ac:dyDescent="0.2">
      <c r="A719" s="275"/>
      <c r="B719" s="78"/>
      <c r="C719" s="189"/>
      <c r="D719" s="185"/>
      <c r="E719" s="186"/>
      <c r="F719" s="187"/>
    </row>
    <row r="720" spans="1:6" x14ac:dyDescent="0.2">
      <c r="A720" s="275"/>
      <c r="B720" s="78"/>
      <c r="C720" s="189"/>
      <c r="D720" s="185"/>
      <c r="E720" s="186"/>
      <c r="F720" s="187"/>
    </row>
    <row r="721" spans="1:6" x14ac:dyDescent="0.2">
      <c r="A721" s="275"/>
      <c r="B721" s="78"/>
      <c r="C721" s="189"/>
      <c r="D721" s="185"/>
      <c r="E721" s="186"/>
      <c r="F721" s="187"/>
    </row>
    <row r="722" spans="1:6" x14ac:dyDescent="0.2">
      <c r="A722" s="275"/>
      <c r="B722" s="78"/>
      <c r="C722" s="189"/>
      <c r="D722" s="185"/>
      <c r="E722" s="186"/>
      <c r="F722" s="187"/>
    </row>
    <row r="723" spans="1:6" x14ac:dyDescent="0.2">
      <c r="A723" s="275"/>
      <c r="B723" s="78"/>
      <c r="C723" s="189"/>
      <c r="D723" s="185"/>
      <c r="E723" s="186"/>
      <c r="F723" s="187"/>
    </row>
    <row r="724" spans="1:6" x14ac:dyDescent="0.2">
      <c r="A724" s="275"/>
      <c r="B724" s="78"/>
      <c r="C724" s="189"/>
      <c r="D724" s="185"/>
      <c r="E724" s="186"/>
      <c r="F724" s="187"/>
    </row>
    <row r="725" spans="1:6" x14ac:dyDescent="0.2">
      <c r="A725" s="275"/>
      <c r="B725" s="78"/>
      <c r="C725" s="189"/>
      <c r="D725" s="185"/>
      <c r="E725" s="186"/>
      <c r="F725" s="187"/>
    </row>
    <row r="726" spans="1:6" x14ac:dyDescent="0.2">
      <c r="A726" s="275"/>
      <c r="B726" s="78"/>
      <c r="C726" s="189"/>
      <c r="D726" s="185"/>
      <c r="E726" s="186"/>
      <c r="F726" s="187"/>
    </row>
    <row r="727" spans="1:6" x14ac:dyDescent="0.2">
      <c r="A727" s="275"/>
      <c r="B727" s="78"/>
      <c r="C727" s="189"/>
      <c r="D727" s="185"/>
      <c r="E727" s="186"/>
      <c r="F727" s="187"/>
    </row>
    <row r="728" spans="1:6" x14ac:dyDescent="0.2">
      <c r="A728" s="275"/>
      <c r="B728" s="78"/>
      <c r="C728" s="189"/>
      <c r="D728" s="185"/>
      <c r="E728" s="186"/>
      <c r="F728" s="187"/>
    </row>
    <row r="729" spans="1:6" x14ac:dyDescent="0.2">
      <c r="A729" s="275"/>
      <c r="B729" s="78"/>
      <c r="C729" s="189"/>
      <c r="D729" s="185"/>
      <c r="E729" s="186"/>
      <c r="F729" s="187"/>
    </row>
    <row r="730" spans="1:6" x14ac:dyDescent="0.2">
      <c r="A730" s="275"/>
      <c r="B730" s="78"/>
      <c r="C730" s="189"/>
      <c r="D730" s="185"/>
      <c r="E730" s="186"/>
      <c r="F730" s="187"/>
    </row>
    <row r="731" spans="1:6" x14ac:dyDescent="0.2">
      <c r="A731" s="275"/>
      <c r="B731" s="78"/>
      <c r="C731" s="189"/>
      <c r="D731" s="185"/>
      <c r="E731" s="186"/>
      <c r="F731" s="187"/>
    </row>
    <row r="732" spans="1:6" x14ac:dyDescent="0.2">
      <c r="A732" s="275"/>
      <c r="B732" s="78"/>
      <c r="C732" s="189"/>
      <c r="D732" s="185"/>
      <c r="E732" s="186"/>
      <c r="F732" s="187"/>
    </row>
    <row r="733" spans="1:6" x14ac:dyDescent="0.2">
      <c r="A733" s="275"/>
      <c r="B733" s="78"/>
      <c r="C733" s="189"/>
      <c r="D733" s="185"/>
      <c r="E733" s="186"/>
      <c r="F733" s="187"/>
    </row>
    <row r="734" spans="1:6" x14ac:dyDescent="0.2">
      <c r="A734" s="275"/>
      <c r="B734" s="78"/>
      <c r="C734" s="189"/>
      <c r="D734" s="185"/>
      <c r="E734" s="186"/>
      <c r="F734" s="187"/>
    </row>
    <row r="735" spans="1:6" x14ac:dyDescent="0.2">
      <c r="A735" s="275"/>
      <c r="B735" s="78"/>
      <c r="C735" s="189"/>
      <c r="D735" s="185"/>
      <c r="E735" s="186"/>
      <c r="F735" s="187"/>
    </row>
    <row r="736" spans="1:6" x14ac:dyDescent="0.2">
      <c r="A736" s="275"/>
      <c r="B736" s="78"/>
      <c r="C736" s="189"/>
      <c r="D736" s="185"/>
      <c r="E736" s="186"/>
      <c r="F736" s="187"/>
    </row>
    <row r="737" spans="1:6" x14ac:dyDescent="0.2">
      <c r="A737" s="275"/>
      <c r="B737" s="78"/>
      <c r="C737" s="189"/>
      <c r="D737" s="185"/>
      <c r="E737" s="186"/>
      <c r="F737" s="187"/>
    </row>
    <row r="738" spans="1:6" x14ac:dyDescent="0.2">
      <c r="A738" s="275"/>
      <c r="B738" s="78"/>
      <c r="C738" s="189"/>
      <c r="D738" s="185"/>
      <c r="E738" s="186"/>
      <c r="F738" s="187"/>
    </row>
    <row r="739" spans="1:6" x14ac:dyDescent="0.2">
      <c r="A739" s="275"/>
      <c r="B739" s="78"/>
      <c r="C739" s="189"/>
      <c r="D739" s="185"/>
      <c r="E739" s="186"/>
      <c r="F739" s="187"/>
    </row>
    <row r="740" spans="1:6" x14ac:dyDescent="0.2">
      <c r="A740" s="275"/>
      <c r="B740" s="78"/>
      <c r="C740" s="189"/>
      <c r="D740" s="185"/>
      <c r="E740" s="186"/>
      <c r="F740" s="187"/>
    </row>
    <row r="741" spans="1:6" x14ac:dyDescent="0.2">
      <c r="A741" s="275"/>
      <c r="B741" s="78"/>
      <c r="C741" s="189"/>
      <c r="D741" s="185"/>
      <c r="E741" s="186"/>
      <c r="F741" s="187"/>
    </row>
    <row r="742" spans="1:6" x14ac:dyDescent="0.2">
      <c r="A742" s="275"/>
      <c r="B742" s="78"/>
      <c r="C742" s="189"/>
      <c r="D742" s="185"/>
      <c r="E742" s="186"/>
      <c r="F742" s="187"/>
    </row>
    <row r="743" spans="1:6" x14ac:dyDescent="0.2">
      <c r="A743" s="275"/>
      <c r="B743" s="78"/>
      <c r="C743" s="189"/>
      <c r="D743" s="185"/>
      <c r="E743" s="186"/>
      <c r="F743" s="187"/>
    </row>
    <row r="744" spans="1:6" x14ac:dyDescent="0.2">
      <c r="A744" s="275"/>
      <c r="B744" s="78"/>
      <c r="C744" s="189"/>
      <c r="D744" s="185"/>
      <c r="E744" s="186"/>
      <c r="F744" s="187"/>
    </row>
    <row r="745" spans="1:6" x14ac:dyDescent="0.2">
      <c r="A745" s="275"/>
      <c r="B745" s="78"/>
      <c r="C745" s="189"/>
      <c r="D745" s="185"/>
      <c r="E745" s="186"/>
      <c r="F745" s="187"/>
    </row>
    <row r="746" spans="1:6" x14ac:dyDescent="0.2">
      <c r="A746" s="275"/>
      <c r="B746" s="78"/>
      <c r="C746" s="189"/>
      <c r="D746" s="185"/>
      <c r="E746" s="186"/>
      <c r="F746" s="187"/>
    </row>
    <row r="747" spans="1:6" x14ac:dyDescent="0.2">
      <c r="A747" s="275"/>
      <c r="B747" s="78"/>
      <c r="C747" s="189"/>
      <c r="D747" s="185"/>
      <c r="E747" s="186"/>
      <c r="F747" s="187"/>
    </row>
    <row r="748" spans="1:6" x14ac:dyDescent="0.2">
      <c r="A748" s="275"/>
      <c r="B748" s="78"/>
      <c r="C748" s="189"/>
      <c r="D748" s="185"/>
      <c r="E748" s="186"/>
      <c r="F748" s="187"/>
    </row>
    <row r="749" spans="1:6" x14ac:dyDescent="0.2">
      <c r="A749" s="275"/>
      <c r="B749" s="78"/>
      <c r="C749" s="189"/>
      <c r="D749" s="185"/>
      <c r="E749" s="186"/>
      <c r="F749" s="187"/>
    </row>
    <row r="750" spans="1:6" x14ac:dyDescent="0.2">
      <c r="A750" s="275"/>
      <c r="B750" s="78"/>
      <c r="C750" s="189"/>
      <c r="D750" s="185"/>
      <c r="E750" s="186"/>
      <c r="F750" s="187"/>
    </row>
    <row r="751" spans="1:6" x14ac:dyDescent="0.2">
      <c r="A751" s="275"/>
      <c r="B751" s="78"/>
      <c r="C751" s="189"/>
      <c r="D751" s="185"/>
      <c r="E751" s="186"/>
      <c r="F751" s="187"/>
    </row>
    <row r="752" spans="1:6" x14ac:dyDescent="0.2">
      <c r="A752" s="275"/>
      <c r="B752" s="78"/>
      <c r="C752" s="189"/>
      <c r="D752" s="185"/>
      <c r="E752" s="186"/>
      <c r="F752" s="187"/>
    </row>
    <row r="753" spans="1:6" x14ac:dyDescent="0.2">
      <c r="A753" s="275"/>
      <c r="B753" s="78"/>
      <c r="C753" s="189"/>
      <c r="D753" s="185"/>
      <c r="E753" s="186"/>
      <c r="F753" s="187"/>
    </row>
    <row r="754" spans="1:6" x14ac:dyDescent="0.2">
      <c r="A754" s="275"/>
      <c r="B754" s="78"/>
      <c r="C754" s="189"/>
      <c r="D754" s="185"/>
      <c r="E754" s="186"/>
      <c r="F754" s="187"/>
    </row>
    <row r="755" spans="1:6" x14ac:dyDescent="0.2">
      <c r="A755" s="275"/>
      <c r="B755" s="78"/>
      <c r="C755" s="189"/>
      <c r="D755" s="185"/>
      <c r="E755" s="186"/>
      <c r="F755" s="187"/>
    </row>
    <row r="756" spans="1:6" x14ac:dyDescent="0.2">
      <c r="A756" s="275"/>
      <c r="B756" s="78"/>
      <c r="C756" s="189"/>
      <c r="D756" s="185"/>
      <c r="E756" s="186"/>
      <c r="F756" s="187"/>
    </row>
    <row r="757" spans="1:6" x14ac:dyDescent="0.2">
      <c r="A757" s="275"/>
      <c r="B757" s="78"/>
      <c r="C757" s="189"/>
      <c r="D757" s="185"/>
      <c r="E757" s="186"/>
      <c r="F757" s="187"/>
    </row>
    <row r="758" spans="1:6" x14ac:dyDescent="0.2">
      <c r="A758" s="275"/>
      <c r="B758" s="78"/>
      <c r="C758" s="189"/>
      <c r="D758" s="185"/>
      <c r="E758" s="186"/>
      <c r="F758" s="187"/>
    </row>
    <row r="759" spans="1:6" x14ac:dyDescent="0.2">
      <c r="A759" s="275"/>
      <c r="B759" s="78"/>
      <c r="C759" s="189"/>
      <c r="D759" s="185"/>
      <c r="E759" s="186"/>
      <c r="F759" s="187"/>
    </row>
    <row r="760" spans="1:6" x14ac:dyDescent="0.2">
      <c r="A760" s="275"/>
      <c r="B760" s="78"/>
      <c r="C760" s="189"/>
      <c r="D760" s="185"/>
      <c r="E760" s="186"/>
      <c r="F760" s="187"/>
    </row>
    <row r="761" spans="1:6" x14ac:dyDescent="0.2">
      <c r="A761" s="275"/>
      <c r="B761" s="78"/>
      <c r="C761" s="189"/>
      <c r="D761" s="185"/>
      <c r="E761" s="186"/>
      <c r="F761" s="187"/>
    </row>
    <row r="762" spans="1:6" x14ac:dyDescent="0.2">
      <c r="A762" s="275"/>
      <c r="B762" s="78"/>
      <c r="C762" s="189"/>
      <c r="D762" s="185"/>
      <c r="E762" s="186"/>
      <c r="F762" s="187"/>
    </row>
    <row r="763" spans="1:6" x14ac:dyDescent="0.2">
      <c r="A763" s="275"/>
      <c r="B763" s="78"/>
      <c r="C763" s="189"/>
      <c r="D763" s="185"/>
      <c r="E763" s="186"/>
      <c r="F763" s="187"/>
    </row>
    <row r="764" spans="1:6" x14ac:dyDescent="0.2">
      <c r="A764" s="275"/>
      <c r="B764" s="78"/>
      <c r="C764" s="189"/>
      <c r="D764" s="185"/>
      <c r="E764" s="186"/>
      <c r="F764" s="187"/>
    </row>
    <row r="765" spans="1:6" x14ac:dyDescent="0.2">
      <c r="A765" s="275"/>
      <c r="B765" s="78"/>
      <c r="C765" s="189"/>
      <c r="D765" s="185"/>
      <c r="E765" s="186"/>
      <c r="F765" s="187"/>
    </row>
    <row r="766" spans="1:6" x14ac:dyDescent="0.2">
      <c r="A766" s="275"/>
      <c r="B766" s="78"/>
      <c r="C766" s="189"/>
      <c r="D766" s="185"/>
      <c r="E766" s="186"/>
      <c r="F766" s="187"/>
    </row>
    <row r="767" spans="1:6" x14ac:dyDescent="0.2">
      <c r="A767" s="275"/>
      <c r="B767" s="78"/>
      <c r="C767" s="189"/>
      <c r="D767" s="185"/>
      <c r="E767" s="186"/>
      <c r="F767" s="187"/>
    </row>
    <row r="768" spans="1:6" x14ac:dyDescent="0.2">
      <c r="A768" s="275"/>
      <c r="B768" s="78"/>
      <c r="C768" s="189"/>
      <c r="D768" s="185"/>
      <c r="E768" s="186"/>
      <c r="F768" s="187"/>
    </row>
    <row r="769" spans="1:6" x14ac:dyDescent="0.2">
      <c r="A769" s="275"/>
      <c r="B769" s="78"/>
      <c r="C769" s="189"/>
      <c r="D769" s="185"/>
      <c r="E769" s="186"/>
      <c r="F769" s="187"/>
    </row>
    <row r="770" spans="1:6" x14ac:dyDescent="0.2">
      <c r="A770" s="275"/>
      <c r="B770" s="78"/>
      <c r="C770" s="189"/>
      <c r="D770" s="185"/>
      <c r="E770" s="186"/>
      <c r="F770" s="187"/>
    </row>
    <row r="771" spans="1:6" x14ac:dyDescent="0.2">
      <c r="A771" s="275"/>
      <c r="B771" s="78"/>
      <c r="C771" s="189"/>
      <c r="D771" s="185"/>
      <c r="E771" s="186"/>
      <c r="F771" s="187"/>
    </row>
    <row r="772" spans="1:6" x14ac:dyDescent="0.2">
      <c r="A772" s="275"/>
      <c r="B772" s="78"/>
      <c r="C772" s="189"/>
      <c r="D772" s="185"/>
      <c r="E772" s="186"/>
      <c r="F772" s="187"/>
    </row>
    <row r="773" spans="1:6" x14ac:dyDescent="0.2">
      <c r="A773" s="275"/>
      <c r="B773" s="78"/>
      <c r="C773" s="189"/>
      <c r="D773" s="185"/>
      <c r="E773" s="186"/>
      <c r="F773" s="187"/>
    </row>
    <row r="774" spans="1:6" x14ac:dyDescent="0.2">
      <c r="A774" s="275"/>
      <c r="B774" s="78"/>
      <c r="C774" s="189"/>
      <c r="D774" s="185"/>
      <c r="E774" s="186"/>
      <c r="F774" s="187"/>
    </row>
    <row r="775" spans="1:6" x14ac:dyDescent="0.2">
      <c r="A775" s="275"/>
      <c r="B775" s="78"/>
      <c r="C775" s="189"/>
      <c r="D775" s="185"/>
      <c r="E775" s="186"/>
      <c r="F775" s="187"/>
    </row>
    <row r="776" spans="1:6" x14ac:dyDescent="0.2">
      <c r="A776" s="275"/>
      <c r="B776" s="78"/>
      <c r="C776" s="189"/>
      <c r="D776" s="185"/>
      <c r="E776" s="186"/>
      <c r="F776" s="187"/>
    </row>
    <row r="777" spans="1:6" x14ac:dyDescent="0.2">
      <c r="A777" s="275"/>
      <c r="B777" s="78"/>
      <c r="C777" s="189"/>
      <c r="D777" s="185"/>
      <c r="E777" s="186"/>
      <c r="F777" s="187"/>
    </row>
    <row r="778" spans="1:6" x14ac:dyDescent="0.2">
      <c r="A778" s="275"/>
      <c r="B778" s="78"/>
      <c r="C778" s="189"/>
      <c r="D778" s="185"/>
      <c r="E778" s="186"/>
      <c r="F778" s="187"/>
    </row>
    <row r="779" spans="1:6" x14ac:dyDescent="0.2">
      <c r="A779" s="275"/>
      <c r="B779" s="78"/>
      <c r="C779" s="189"/>
      <c r="D779" s="185"/>
      <c r="E779" s="186"/>
      <c r="F779" s="187"/>
    </row>
    <row r="780" spans="1:6" x14ac:dyDescent="0.2">
      <c r="A780" s="275"/>
      <c r="B780" s="78"/>
      <c r="C780" s="189"/>
      <c r="D780" s="185"/>
      <c r="E780" s="186"/>
      <c r="F780" s="187"/>
    </row>
    <row r="781" spans="1:6" x14ac:dyDescent="0.2">
      <c r="A781" s="275"/>
      <c r="B781" s="78"/>
      <c r="C781" s="189"/>
      <c r="D781" s="185"/>
      <c r="E781" s="186"/>
      <c r="F781" s="187"/>
    </row>
    <row r="782" spans="1:6" x14ac:dyDescent="0.2">
      <c r="A782" s="275"/>
      <c r="B782" s="78"/>
      <c r="C782" s="189"/>
      <c r="D782" s="185"/>
      <c r="E782" s="186"/>
      <c r="F782" s="187"/>
    </row>
    <row r="783" spans="1:6" x14ac:dyDescent="0.2">
      <c r="A783" s="275"/>
      <c r="B783" s="78"/>
      <c r="C783" s="189"/>
      <c r="D783" s="185"/>
      <c r="E783" s="186"/>
      <c r="F783" s="187"/>
    </row>
    <row r="784" spans="1:6" x14ac:dyDescent="0.2">
      <c r="A784" s="275"/>
      <c r="B784" s="78"/>
      <c r="C784" s="189"/>
      <c r="D784" s="185"/>
      <c r="E784" s="186"/>
      <c r="F784" s="187"/>
    </row>
    <row r="785" spans="1:6" x14ac:dyDescent="0.2">
      <c r="A785" s="275"/>
      <c r="B785" s="78"/>
      <c r="C785" s="189"/>
      <c r="D785" s="185"/>
      <c r="E785" s="186"/>
      <c r="F785" s="187"/>
    </row>
    <row r="786" spans="1:6" x14ac:dyDescent="0.2">
      <c r="A786" s="275"/>
      <c r="B786" s="78"/>
      <c r="C786" s="189"/>
      <c r="D786" s="185"/>
      <c r="E786" s="186"/>
      <c r="F786" s="187"/>
    </row>
    <row r="787" spans="1:6" x14ac:dyDescent="0.2">
      <c r="A787" s="275"/>
      <c r="B787" s="78"/>
      <c r="C787" s="189"/>
      <c r="D787" s="185"/>
      <c r="E787" s="186"/>
      <c r="F787" s="187"/>
    </row>
    <row r="788" spans="1:6" x14ac:dyDescent="0.2">
      <c r="A788" s="275"/>
      <c r="B788" s="78"/>
      <c r="C788" s="189"/>
      <c r="D788" s="185"/>
      <c r="E788" s="186"/>
      <c r="F788" s="187"/>
    </row>
    <row r="789" spans="1:6" x14ac:dyDescent="0.2">
      <c r="A789" s="275"/>
      <c r="B789" s="78"/>
      <c r="C789" s="189"/>
      <c r="D789" s="185"/>
      <c r="E789" s="186"/>
      <c r="F789" s="187"/>
    </row>
    <row r="790" spans="1:6" x14ac:dyDescent="0.2">
      <c r="A790" s="275"/>
      <c r="B790" s="78"/>
      <c r="C790" s="189"/>
      <c r="D790" s="185"/>
      <c r="E790" s="186"/>
      <c r="F790" s="187"/>
    </row>
    <row r="791" spans="1:6" x14ac:dyDescent="0.2">
      <c r="A791" s="275"/>
      <c r="B791" s="78"/>
      <c r="C791" s="189"/>
      <c r="D791" s="185"/>
      <c r="E791" s="186"/>
      <c r="F791" s="187"/>
    </row>
    <row r="792" spans="1:6" x14ac:dyDescent="0.2">
      <c r="A792" s="275"/>
      <c r="B792" s="78"/>
      <c r="C792" s="189"/>
      <c r="D792" s="185"/>
      <c r="E792" s="186"/>
      <c r="F792" s="187"/>
    </row>
    <row r="793" spans="1:6" x14ac:dyDescent="0.2">
      <c r="A793" s="275"/>
      <c r="B793" s="78"/>
      <c r="C793" s="189"/>
      <c r="D793" s="185"/>
      <c r="E793" s="186"/>
      <c r="F793" s="187"/>
    </row>
    <row r="794" spans="1:6" x14ac:dyDescent="0.2">
      <c r="A794" s="275"/>
      <c r="B794" s="78"/>
      <c r="C794" s="189"/>
      <c r="D794" s="185"/>
      <c r="E794" s="186"/>
      <c r="F794" s="187"/>
    </row>
    <row r="795" spans="1:6" x14ac:dyDescent="0.2">
      <c r="A795" s="275"/>
      <c r="B795" s="78"/>
      <c r="C795" s="189"/>
      <c r="D795" s="185"/>
      <c r="E795" s="186"/>
      <c r="F795" s="187"/>
    </row>
    <row r="796" spans="1:6" x14ac:dyDescent="0.2">
      <c r="A796" s="275"/>
      <c r="B796" s="78"/>
      <c r="C796" s="189"/>
      <c r="D796" s="185"/>
      <c r="E796" s="186"/>
      <c r="F796" s="187"/>
    </row>
    <row r="797" spans="1:6" x14ac:dyDescent="0.2">
      <c r="A797" s="275"/>
      <c r="B797" s="78"/>
      <c r="C797" s="189"/>
      <c r="D797" s="185"/>
      <c r="E797" s="186"/>
      <c r="F797" s="187"/>
    </row>
    <row r="798" spans="1:6" x14ac:dyDescent="0.2">
      <c r="A798" s="275"/>
      <c r="B798" s="78"/>
      <c r="C798" s="189"/>
      <c r="D798" s="185"/>
      <c r="E798" s="186"/>
      <c r="F798" s="187"/>
    </row>
    <row r="799" spans="1:6" x14ac:dyDescent="0.2">
      <c r="A799" s="275"/>
      <c r="B799" s="78"/>
      <c r="C799" s="189"/>
      <c r="D799" s="185"/>
      <c r="E799" s="186"/>
      <c r="F799" s="187"/>
    </row>
    <row r="800" spans="1:6" x14ac:dyDescent="0.2">
      <c r="A800" s="275"/>
      <c r="B800" s="78"/>
      <c r="C800" s="189"/>
      <c r="D800" s="185"/>
      <c r="E800" s="186"/>
      <c r="F800" s="187"/>
    </row>
    <row r="801" spans="1:6" x14ac:dyDescent="0.2">
      <c r="A801" s="275"/>
      <c r="B801" s="78"/>
      <c r="C801" s="189"/>
      <c r="D801" s="185"/>
      <c r="E801" s="186"/>
      <c r="F801" s="187"/>
    </row>
    <row r="802" spans="1:6" x14ac:dyDescent="0.2">
      <c r="A802" s="275"/>
      <c r="B802" s="78"/>
      <c r="C802" s="189"/>
      <c r="D802" s="185"/>
      <c r="E802" s="186"/>
      <c r="F802" s="187"/>
    </row>
    <row r="803" spans="1:6" x14ac:dyDescent="0.2">
      <c r="A803" s="275"/>
      <c r="B803" s="78"/>
      <c r="C803" s="189"/>
      <c r="D803" s="185"/>
      <c r="E803" s="186"/>
      <c r="F803" s="187"/>
    </row>
    <row r="804" spans="1:6" x14ac:dyDescent="0.2">
      <c r="A804" s="275"/>
      <c r="B804" s="78"/>
      <c r="C804" s="189"/>
      <c r="D804" s="185"/>
      <c r="E804" s="186"/>
      <c r="F804" s="187"/>
    </row>
    <row r="805" spans="1:6" x14ac:dyDescent="0.2">
      <c r="A805" s="275"/>
      <c r="B805" s="78"/>
      <c r="C805" s="189"/>
      <c r="D805" s="185"/>
      <c r="E805" s="186"/>
      <c r="F805" s="187"/>
    </row>
    <row r="806" spans="1:6" x14ac:dyDescent="0.2">
      <c r="A806" s="275"/>
      <c r="B806" s="78"/>
      <c r="C806" s="189"/>
      <c r="D806" s="185"/>
      <c r="E806" s="186"/>
      <c r="F806" s="187"/>
    </row>
    <row r="807" spans="1:6" x14ac:dyDescent="0.2">
      <c r="A807" s="275"/>
      <c r="B807" s="78"/>
      <c r="C807" s="189"/>
      <c r="D807" s="185"/>
      <c r="E807" s="186"/>
      <c r="F807" s="187"/>
    </row>
    <row r="808" spans="1:6" x14ac:dyDescent="0.2">
      <c r="A808" s="275"/>
      <c r="B808" s="78"/>
      <c r="C808" s="189"/>
      <c r="D808" s="185"/>
      <c r="E808" s="186"/>
      <c r="F808" s="187"/>
    </row>
    <row r="809" spans="1:6" x14ac:dyDescent="0.2">
      <c r="A809" s="275"/>
      <c r="B809" s="78"/>
      <c r="C809" s="189"/>
      <c r="D809" s="185"/>
      <c r="E809" s="186"/>
      <c r="F809" s="187"/>
    </row>
    <row r="810" spans="1:6" x14ac:dyDescent="0.2">
      <c r="A810" s="275"/>
      <c r="B810" s="78"/>
      <c r="C810" s="189"/>
      <c r="D810" s="185"/>
      <c r="E810" s="186"/>
      <c r="F810" s="187"/>
    </row>
    <row r="811" spans="1:6" x14ac:dyDescent="0.2">
      <c r="A811" s="275"/>
      <c r="B811" s="78"/>
      <c r="C811" s="189"/>
      <c r="D811" s="185"/>
      <c r="E811" s="186"/>
      <c r="F811" s="187"/>
    </row>
    <row r="812" spans="1:6" x14ac:dyDescent="0.2">
      <c r="A812" s="275"/>
      <c r="B812" s="78"/>
      <c r="C812" s="189"/>
      <c r="D812" s="185"/>
      <c r="E812" s="186"/>
      <c r="F812" s="187"/>
    </row>
    <row r="813" spans="1:6" x14ac:dyDescent="0.2">
      <c r="A813" s="275"/>
      <c r="B813" s="78"/>
      <c r="C813" s="189"/>
      <c r="D813" s="185"/>
      <c r="E813" s="186"/>
      <c r="F813" s="187"/>
    </row>
    <row r="814" spans="1:6" x14ac:dyDescent="0.2">
      <c r="A814" s="275"/>
      <c r="B814" s="78"/>
      <c r="C814" s="189"/>
      <c r="D814" s="185"/>
      <c r="E814" s="186"/>
      <c r="F814" s="187"/>
    </row>
    <row r="815" spans="1:6" x14ac:dyDescent="0.2">
      <c r="A815" s="275"/>
      <c r="B815" s="78"/>
      <c r="C815" s="189"/>
      <c r="D815" s="185"/>
      <c r="E815" s="186"/>
      <c r="F815" s="187"/>
    </row>
    <row r="816" spans="1:6" x14ac:dyDescent="0.2">
      <c r="A816" s="275"/>
      <c r="B816" s="78"/>
      <c r="C816" s="189"/>
      <c r="D816" s="185"/>
      <c r="E816" s="186"/>
      <c r="F816" s="187"/>
    </row>
    <row r="817" spans="1:6" x14ac:dyDescent="0.2">
      <c r="A817" s="275"/>
      <c r="B817" s="78"/>
      <c r="C817" s="189"/>
      <c r="D817" s="185"/>
      <c r="E817" s="186"/>
      <c r="F817" s="187"/>
    </row>
    <row r="818" spans="1:6" x14ac:dyDescent="0.2">
      <c r="A818" s="275"/>
      <c r="B818" s="78"/>
      <c r="C818" s="189"/>
      <c r="D818" s="185"/>
      <c r="E818" s="186"/>
      <c r="F818" s="187"/>
    </row>
    <row r="819" spans="1:6" x14ac:dyDescent="0.2">
      <c r="A819" s="275"/>
      <c r="B819" s="78"/>
      <c r="C819" s="189"/>
      <c r="D819" s="185"/>
      <c r="E819" s="186"/>
      <c r="F819" s="187"/>
    </row>
    <row r="820" spans="1:6" x14ac:dyDescent="0.2">
      <c r="A820" s="275"/>
      <c r="B820" s="78"/>
      <c r="C820" s="189"/>
      <c r="D820" s="185"/>
      <c r="E820" s="186"/>
      <c r="F820" s="187"/>
    </row>
    <row r="821" spans="1:6" x14ac:dyDescent="0.2">
      <c r="A821" s="275"/>
      <c r="B821" s="78"/>
      <c r="C821" s="189"/>
      <c r="D821" s="185"/>
      <c r="E821" s="186"/>
      <c r="F821" s="187"/>
    </row>
    <row r="822" spans="1:6" x14ac:dyDescent="0.2">
      <c r="A822" s="275"/>
      <c r="B822" s="78"/>
      <c r="C822" s="189"/>
      <c r="D822" s="185"/>
      <c r="E822" s="186"/>
      <c r="F822" s="187"/>
    </row>
    <row r="823" spans="1:6" x14ac:dyDescent="0.2">
      <c r="A823" s="275"/>
      <c r="B823" s="78"/>
      <c r="C823" s="189"/>
      <c r="D823" s="185"/>
      <c r="E823" s="186"/>
      <c r="F823" s="187"/>
    </row>
    <row r="824" spans="1:6" x14ac:dyDescent="0.2">
      <c r="A824" s="275"/>
      <c r="B824" s="78"/>
      <c r="C824" s="189"/>
      <c r="D824" s="185"/>
      <c r="E824" s="186"/>
      <c r="F824" s="187"/>
    </row>
    <row r="825" spans="1:6" x14ac:dyDescent="0.2">
      <c r="A825" s="275"/>
      <c r="B825" s="78"/>
      <c r="C825" s="189"/>
      <c r="D825" s="185"/>
      <c r="E825" s="186"/>
      <c r="F825" s="187"/>
    </row>
    <row r="826" spans="1:6" x14ac:dyDescent="0.2">
      <c r="A826" s="275"/>
      <c r="B826" s="78"/>
      <c r="C826" s="189"/>
      <c r="D826" s="185"/>
      <c r="E826" s="186"/>
      <c r="F826" s="187"/>
    </row>
    <row r="827" spans="1:6" x14ac:dyDescent="0.2">
      <c r="A827" s="275"/>
      <c r="B827" s="78"/>
      <c r="C827" s="189"/>
      <c r="D827" s="185"/>
      <c r="E827" s="186"/>
      <c r="F827" s="187"/>
    </row>
    <row r="828" spans="1:6" x14ac:dyDescent="0.2">
      <c r="A828" s="275"/>
      <c r="B828" s="78"/>
      <c r="C828" s="189"/>
      <c r="D828" s="185"/>
      <c r="E828" s="186"/>
      <c r="F828" s="187"/>
    </row>
    <row r="829" spans="1:6" x14ac:dyDescent="0.2">
      <c r="A829" s="275"/>
      <c r="B829" s="78"/>
      <c r="C829" s="189"/>
      <c r="D829" s="185"/>
      <c r="E829" s="186"/>
      <c r="F829" s="187"/>
    </row>
    <row r="830" spans="1:6" x14ac:dyDescent="0.2">
      <c r="A830" s="275"/>
      <c r="B830" s="78"/>
      <c r="C830" s="189"/>
      <c r="D830" s="185"/>
      <c r="E830" s="186"/>
      <c r="F830" s="187"/>
    </row>
    <row r="831" spans="1:6" x14ac:dyDescent="0.2">
      <c r="A831" s="275"/>
      <c r="B831" s="78"/>
      <c r="C831" s="189"/>
      <c r="D831" s="185"/>
      <c r="E831" s="186"/>
      <c r="F831" s="187"/>
    </row>
    <row r="832" spans="1:6" x14ac:dyDescent="0.2">
      <c r="A832" s="275"/>
      <c r="B832" s="78"/>
      <c r="C832" s="189"/>
      <c r="D832" s="185"/>
      <c r="E832" s="186"/>
      <c r="F832" s="187"/>
    </row>
    <row r="833" spans="1:6" x14ac:dyDescent="0.2">
      <c r="A833" s="275"/>
      <c r="B833" s="78"/>
      <c r="C833" s="189"/>
      <c r="D833" s="185"/>
      <c r="E833" s="186"/>
      <c r="F833" s="187"/>
    </row>
    <row r="834" spans="1:6" x14ac:dyDescent="0.2">
      <c r="A834" s="275"/>
      <c r="B834" s="78"/>
      <c r="C834" s="189"/>
      <c r="D834" s="185"/>
      <c r="E834" s="186"/>
      <c r="F834" s="187"/>
    </row>
    <row r="835" spans="1:6" x14ac:dyDescent="0.2">
      <c r="A835" s="275"/>
      <c r="B835" s="78"/>
      <c r="C835" s="189"/>
      <c r="D835" s="185"/>
      <c r="E835" s="186"/>
      <c r="F835" s="187"/>
    </row>
    <row r="836" spans="1:6" x14ac:dyDescent="0.2">
      <c r="A836" s="275"/>
      <c r="B836" s="78"/>
      <c r="C836" s="189"/>
      <c r="D836" s="185"/>
      <c r="E836" s="186"/>
      <c r="F836" s="187"/>
    </row>
    <row r="837" spans="1:6" x14ac:dyDescent="0.2">
      <c r="A837" s="275"/>
      <c r="B837" s="78"/>
      <c r="C837" s="189"/>
      <c r="D837" s="185"/>
      <c r="E837" s="186"/>
      <c r="F837" s="187"/>
    </row>
    <row r="838" spans="1:6" x14ac:dyDescent="0.2">
      <c r="A838" s="275"/>
      <c r="B838" s="78"/>
      <c r="C838" s="189"/>
      <c r="D838" s="185"/>
      <c r="E838" s="186"/>
      <c r="F838" s="187"/>
    </row>
    <row r="839" spans="1:6" x14ac:dyDescent="0.2">
      <c r="A839" s="275"/>
      <c r="B839" s="78"/>
      <c r="C839" s="189"/>
      <c r="D839" s="185"/>
      <c r="E839" s="186"/>
      <c r="F839" s="187"/>
    </row>
    <row r="840" spans="1:6" x14ac:dyDescent="0.2">
      <c r="A840" s="275"/>
      <c r="B840" s="78"/>
      <c r="C840" s="189"/>
      <c r="D840" s="185"/>
      <c r="E840" s="186"/>
      <c r="F840" s="187"/>
    </row>
    <row r="841" spans="1:6" x14ac:dyDescent="0.2">
      <c r="A841" s="275"/>
      <c r="B841" s="78"/>
      <c r="C841" s="189"/>
      <c r="D841" s="185"/>
      <c r="E841" s="186"/>
      <c r="F841" s="187"/>
    </row>
    <row r="842" spans="1:6" x14ac:dyDescent="0.2">
      <c r="A842" s="275"/>
      <c r="B842" s="78"/>
      <c r="C842" s="189"/>
      <c r="D842" s="185"/>
      <c r="E842" s="186"/>
      <c r="F842" s="187"/>
    </row>
    <row r="843" spans="1:6" x14ac:dyDescent="0.2">
      <c r="A843" s="275"/>
      <c r="B843" s="78"/>
      <c r="C843" s="189"/>
      <c r="D843" s="185"/>
      <c r="E843" s="186"/>
      <c r="F843" s="187"/>
    </row>
    <row r="844" spans="1:6" x14ac:dyDescent="0.2">
      <c r="A844" s="275"/>
      <c r="B844" s="78"/>
      <c r="C844" s="189"/>
      <c r="D844" s="185"/>
      <c r="E844" s="186"/>
      <c r="F844" s="187"/>
    </row>
    <row r="845" spans="1:6" x14ac:dyDescent="0.2">
      <c r="A845" s="275"/>
      <c r="B845" s="78"/>
      <c r="C845" s="189"/>
      <c r="D845" s="185"/>
      <c r="E845" s="186"/>
      <c r="F845" s="187"/>
    </row>
    <row r="846" spans="1:6" x14ac:dyDescent="0.2">
      <c r="A846" s="275"/>
      <c r="B846" s="78"/>
      <c r="C846" s="189"/>
      <c r="D846" s="185"/>
      <c r="E846" s="186"/>
      <c r="F846" s="187"/>
    </row>
    <row r="847" spans="1:6" x14ac:dyDescent="0.2">
      <c r="A847" s="275"/>
      <c r="B847" s="78"/>
      <c r="C847" s="189"/>
      <c r="D847" s="185"/>
      <c r="E847" s="186"/>
      <c r="F847" s="187"/>
    </row>
    <row r="848" spans="1:6" x14ac:dyDescent="0.2">
      <c r="A848" s="275"/>
      <c r="B848" s="78"/>
      <c r="C848" s="189"/>
      <c r="D848" s="185"/>
      <c r="E848" s="186"/>
      <c r="F848" s="187"/>
    </row>
    <row r="849" spans="1:6" x14ac:dyDescent="0.2">
      <c r="A849" s="275"/>
      <c r="B849" s="78"/>
      <c r="C849" s="189"/>
      <c r="D849" s="185"/>
      <c r="E849" s="186"/>
      <c r="F849" s="187"/>
    </row>
    <row r="850" spans="1:6" x14ac:dyDescent="0.2">
      <c r="A850" s="275"/>
      <c r="B850" s="78"/>
      <c r="C850" s="189"/>
      <c r="D850" s="185"/>
      <c r="E850" s="186"/>
      <c r="F850" s="187"/>
    </row>
    <row r="851" spans="1:6" x14ac:dyDescent="0.2">
      <c r="A851" s="275"/>
      <c r="B851" s="78"/>
      <c r="C851" s="189"/>
      <c r="D851" s="185"/>
      <c r="E851" s="186"/>
      <c r="F851" s="187"/>
    </row>
    <row r="852" spans="1:6" x14ac:dyDescent="0.2">
      <c r="A852" s="275"/>
      <c r="B852" s="78"/>
      <c r="C852" s="189"/>
      <c r="D852" s="185"/>
      <c r="E852" s="186"/>
      <c r="F852" s="187"/>
    </row>
    <row r="853" spans="1:6" x14ac:dyDescent="0.2">
      <c r="A853" s="275"/>
      <c r="B853" s="78"/>
      <c r="C853" s="189"/>
      <c r="D853" s="185"/>
      <c r="E853" s="186"/>
      <c r="F853" s="187"/>
    </row>
    <row r="854" spans="1:6" x14ac:dyDescent="0.2">
      <c r="A854" s="275"/>
      <c r="B854" s="78"/>
      <c r="C854" s="189"/>
      <c r="D854" s="185"/>
      <c r="E854" s="186"/>
      <c r="F854" s="187"/>
    </row>
    <row r="855" spans="1:6" x14ac:dyDescent="0.2">
      <c r="A855" s="275"/>
      <c r="B855" s="78"/>
      <c r="C855" s="189"/>
      <c r="D855" s="185"/>
      <c r="E855" s="186"/>
      <c r="F855" s="187"/>
    </row>
    <row r="856" spans="1:6" x14ac:dyDescent="0.2">
      <c r="A856" s="275"/>
      <c r="B856" s="78"/>
      <c r="C856" s="189"/>
      <c r="D856" s="185"/>
      <c r="E856" s="186"/>
      <c r="F856" s="187"/>
    </row>
    <row r="857" spans="1:6" x14ac:dyDescent="0.2">
      <c r="A857" s="275"/>
      <c r="B857" s="78"/>
      <c r="C857" s="189"/>
      <c r="D857" s="185"/>
      <c r="E857" s="186"/>
      <c r="F857" s="187"/>
    </row>
    <row r="858" spans="1:6" x14ac:dyDescent="0.2">
      <c r="A858" s="275"/>
      <c r="B858" s="78"/>
      <c r="C858" s="189"/>
      <c r="D858" s="185"/>
      <c r="E858" s="186"/>
      <c r="F858" s="187"/>
    </row>
    <row r="859" spans="1:6" x14ac:dyDescent="0.2">
      <c r="A859" s="275"/>
      <c r="B859" s="78"/>
      <c r="C859" s="189"/>
      <c r="D859" s="185"/>
      <c r="E859" s="186"/>
      <c r="F859" s="187"/>
    </row>
    <row r="860" spans="1:6" x14ac:dyDescent="0.2">
      <c r="A860" s="275"/>
      <c r="B860" s="78"/>
      <c r="C860" s="189"/>
      <c r="D860" s="185"/>
      <c r="E860" s="186"/>
      <c r="F860" s="187"/>
    </row>
    <row r="861" spans="1:6" x14ac:dyDescent="0.2">
      <c r="A861" s="275"/>
      <c r="B861" s="78"/>
      <c r="C861" s="189"/>
      <c r="D861" s="185"/>
      <c r="E861" s="186"/>
      <c r="F861" s="187"/>
    </row>
    <row r="862" spans="1:6" x14ac:dyDescent="0.2">
      <c r="A862" s="275"/>
      <c r="B862" s="78"/>
      <c r="C862" s="189"/>
      <c r="D862" s="185"/>
      <c r="E862" s="186"/>
      <c r="F862" s="187"/>
    </row>
    <row r="863" spans="1:6" x14ac:dyDescent="0.2">
      <c r="A863" s="275"/>
      <c r="B863" s="78"/>
      <c r="C863" s="189"/>
      <c r="D863" s="185"/>
      <c r="E863" s="186"/>
      <c r="F863" s="187"/>
    </row>
    <row r="864" spans="1:6" x14ac:dyDescent="0.2">
      <c r="A864" s="275"/>
      <c r="B864" s="78"/>
      <c r="C864" s="189"/>
      <c r="D864" s="185"/>
      <c r="E864" s="186"/>
      <c r="F864" s="187"/>
    </row>
    <row r="865" spans="1:6" x14ac:dyDescent="0.2">
      <c r="A865" s="275"/>
      <c r="B865" s="78"/>
      <c r="C865" s="189"/>
      <c r="D865" s="185"/>
      <c r="E865" s="186"/>
      <c r="F865" s="187"/>
    </row>
    <row r="866" spans="1:6" x14ac:dyDescent="0.2">
      <c r="A866" s="275"/>
      <c r="B866" s="78"/>
      <c r="C866" s="189"/>
      <c r="D866" s="185"/>
      <c r="E866" s="186"/>
      <c r="F866" s="187"/>
    </row>
    <row r="867" spans="1:6" x14ac:dyDescent="0.2">
      <c r="A867" s="275"/>
      <c r="B867" s="78"/>
      <c r="C867" s="189"/>
      <c r="D867" s="185"/>
      <c r="E867" s="186"/>
      <c r="F867" s="187"/>
    </row>
    <row r="868" spans="1:6" x14ac:dyDescent="0.2">
      <c r="A868" s="275"/>
      <c r="B868" s="78"/>
      <c r="C868" s="189"/>
      <c r="D868" s="185"/>
      <c r="E868" s="186"/>
      <c r="F868" s="187"/>
    </row>
    <row r="869" spans="1:6" x14ac:dyDescent="0.2">
      <c r="A869" s="275"/>
      <c r="B869" s="78"/>
      <c r="C869" s="189"/>
      <c r="D869" s="185"/>
      <c r="E869" s="186"/>
      <c r="F869" s="187"/>
    </row>
    <row r="870" spans="1:6" x14ac:dyDescent="0.2">
      <c r="A870" s="275"/>
      <c r="B870" s="78"/>
      <c r="C870" s="189"/>
      <c r="D870" s="185"/>
      <c r="E870" s="186"/>
      <c r="F870" s="187"/>
    </row>
    <row r="871" spans="1:6" x14ac:dyDescent="0.2">
      <c r="A871" s="275"/>
      <c r="B871" s="78"/>
      <c r="C871" s="189"/>
      <c r="D871" s="185"/>
      <c r="E871" s="186"/>
      <c r="F871" s="187"/>
    </row>
    <row r="872" spans="1:6" x14ac:dyDescent="0.2">
      <c r="A872" s="275"/>
      <c r="B872" s="78"/>
      <c r="C872" s="189"/>
      <c r="D872" s="185"/>
      <c r="E872" s="186"/>
      <c r="F872" s="187"/>
    </row>
    <row r="873" spans="1:6" x14ac:dyDescent="0.2">
      <c r="A873" s="275"/>
      <c r="B873" s="78"/>
      <c r="C873" s="189"/>
      <c r="D873" s="185"/>
      <c r="E873" s="186"/>
      <c r="F873" s="187"/>
    </row>
    <row r="874" spans="1:6" x14ac:dyDescent="0.2">
      <c r="A874" s="275"/>
      <c r="B874" s="78"/>
      <c r="C874" s="189"/>
      <c r="D874" s="185"/>
      <c r="E874" s="186"/>
      <c r="F874" s="187"/>
    </row>
    <row r="875" spans="1:6" x14ac:dyDescent="0.2">
      <c r="A875" s="275"/>
      <c r="B875" s="78"/>
      <c r="C875" s="189"/>
      <c r="D875" s="185"/>
      <c r="E875" s="186"/>
      <c r="F875" s="187"/>
    </row>
    <row r="876" spans="1:6" x14ac:dyDescent="0.2">
      <c r="A876" s="275"/>
      <c r="B876" s="78"/>
      <c r="C876" s="189"/>
      <c r="D876" s="185"/>
      <c r="E876" s="186"/>
      <c r="F876" s="187"/>
    </row>
    <row r="877" spans="1:6" x14ac:dyDescent="0.2">
      <c r="A877" s="275"/>
      <c r="B877" s="78"/>
      <c r="C877" s="189"/>
      <c r="D877" s="185"/>
      <c r="E877" s="186"/>
      <c r="F877" s="187"/>
    </row>
    <row r="878" spans="1:6" x14ac:dyDescent="0.2">
      <c r="A878" s="275"/>
      <c r="B878" s="78"/>
      <c r="C878" s="189"/>
      <c r="D878" s="185"/>
      <c r="E878" s="186"/>
      <c r="F878" s="187"/>
    </row>
    <row r="879" spans="1:6" x14ac:dyDescent="0.2">
      <c r="A879" s="275"/>
      <c r="B879" s="78"/>
      <c r="C879" s="189"/>
      <c r="D879" s="185"/>
      <c r="E879" s="186"/>
      <c r="F879" s="187"/>
    </row>
    <row r="880" spans="1:6" x14ac:dyDescent="0.2">
      <c r="A880" s="275"/>
      <c r="B880" s="78"/>
      <c r="C880" s="189"/>
      <c r="D880" s="185"/>
      <c r="E880" s="186"/>
      <c r="F880" s="187"/>
    </row>
    <row r="881" spans="1:6" x14ac:dyDescent="0.2">
      <c r="A881" s="275"/>
      <c r="B881" s="78"/>
      <c r="C881" s="189"/>
      <c r="D881" s="185"/>
      <c r="E881" s="186"/>
      <c r="F881" s="187"/>
    </row>
    <row r="882" spans="1:6" x14ac:dyDescent="0.2">
      <c r="A882" s="275"/>
      <c r="B882" s="78"/>
      <c r="C882" s="189"/>
      <c r="D882" s="185"/>
      <c r="E882" s="186"/>
      <c r="F882" s="187"/>
    </row>
    <row r="883" spans="1:6" x14ac:dyDescent="0.2">
      <c r="A883" s="275"/>
      <c r="B883" s="78"/>
      <c r="C883" s="189"/>
      <c r="D883" s="185"/>
      <c r="E883" s="186"/>
      <c r="F883" s="187"/>
    </row>
    <row r="884" spans="1:6" x14ac:dyDescent="0.2">
      <c r="A884" s="275"/>
      <c r="B884" s="78"/>
      <c r="C884" s="189"/>
      <c r="D884" s="185"/>
      <c r="E884" s="186"/>
      <c r="F884" s="187"/>
    </row>
    <row r="885" spans="1:6" x14ac:dyDescent="0.2">
      <c r="A885" s="275"/>
      <c r="B885" s="78"/>
      <c r="C885" s="189"/>
      <c r="D885" s="185"/>
      <c r="E885" s="186"/>
      <c r="F885" s="187"/>
    </row>
    <row r="886" spans="1:6" x14ac:dyDescent="0.2">
      <c r="A886" s="275"/>
      <c r="B886" s="78"/>
      <c r="C886" s="189"/>
      <c r="D886" s="185"/>
      <c r="E886" s="186"/>
      <c r="F886" s="187"/>
    </row>
    <row r="887" spans="1:6" x14ac:dyDescent="0.2">
      <c r="A887" s="275"/>
      <c r="B887" s="78"/>
      <c r="C887" s="189"/>
      <c r="D887" s="185"/>
      <c r="E887" s="186"/>
      <c r="F887" s="187"/>
    </row>
    <row r="888" spans="1:6" x14ac:dyDescent="0.2">
      <c r="A888" s="275"/>
      <c r="B888" s="78"/>
      <c r="C888" s="189"/>
      <c r="D888" s="185"/>
      <c r="E888" s="186"/>
      <c r="F888" s="187"/>
    </row>
    <row r="889" spans="1:6" x14ac:dyDescent="0.2">
      <c r="A889" s="275"/>
      <c r="B889" s="78"/>
      <c r="C889" s="189"/>
      <c r="D889" s="185"/>
      <c r="E889" s="186"/>
      <c r="F889" s="187"/>
    </row>
    <row r="890" spans="1:6" x14ac:dyDescent="0.2">
      <c r="A890" s="275"/>
      <c r="B890" s="78"/>
      <c r="C890" s="189"/>
      <c r="D890" s="185"/>
      <c r="E890" s="186"/>
      <c r="F890" s="187"/>
    </row>
    <row r="891" spans="1:6" x14ac:dyDescent="0.2">
      <c r="A891" s="275"/>
      <c r="B891" s="78"/>
      <c r="C891" s="189"/>
      <c r="D891" s="185"/>
      <c r="E891" s="186"/>
      <c r="F891" s="187"/>
    </row>
    <row r="892" spans="1:6" x14ac:dyDescent="0.2">
      <c r="A892" s="275"/>
      <c r="B892" s="78"/>
      <c r="C892" s="189"/>
      <c r="D892" s="185"/>
      <c r="E892" s="186"/>
      <c r="F892" s="187"/>
    </row>
    <row r="893" spans="1:6" x14ac:dyDescent="0.2">
      <c r="A893" s="275"/>
      <c r="B893" s="78"/>
      <c r="C893" s="189"/>
      <c r="D893" s="185"/>
      <c r="E893" s="186"/>
      <c r="F893" s="187"/>
    </row>
    <row r="894" spans="1:6" x14ac:dyDescent="0.2">
      <c r="A894" s="275"/>
      <c r="B894" s="78"/>
      <c r="C894" s="189"/>
      <c r="D894" s="185"/>
      <c r="E894" s="186"/>
      <c r="F894" s="187"/>
    </row>
    <row r="895" spans="1:6" x14ac:dyDescent="0.2">
      <c r="A895" s="275"/>
      <c r="B895" s="78"/>
      <c r="C895" s="189"/>
      <c r="D895" s="185"/>
      <c r="E895" s="186"/>
      <c r="F895" s="187"/>
    </row>
    <row r="896" spans="1:6" x14ac:dyDescent="0.2">
      <c r="A896" s="275"/>
      <c r="B896" s="78"/>
      <c r="C896" s="189"/>
      <c r="D896" s="185"/>
      <c r="E896" s="186"/>
      <c r="F896" s="187"/>
    </row>
    <row r="897" spans="1:6" x14ac:dyDescent="0.2">
      <c r="A897" s="275"/>
      <c r="B897" s="78"/>
      <c r="C897" s="189"/>
      <c r="D897" s="185"/>
      <c r="E897" s="186"/>
      <c r="F897" s="187"/>
    </row>
    <row r="898" spans="1:6" x14ac:dyDescent="0.2">
      <c r="A898" s="275"/>
      <c r="B898" s="78"/>
      <c r="C898" s="189"/>
      <c r="D898" s="185"/>
      <c r="E898" s="186"/>
      <c r="F898" s="187"/>
    </row>
    <row r="899" spans="1:6" x14ac:dyDescent="0.2">
      <c r="A899" s="275"/>
      <c r="B899" s="78"/>
      <c r="C899" s="189"/>
      <c r="D899" s="185"/>
      <c r="E899" s="186"/>
      <c r="F899" s="187"/>
    </row>
    <row r="900" spans="1:6" x14ac:dyDescent="0.2">
      <c r="A900" s="275"/>
      <c r="B900" s="78"/>
      <c r="C900" s="189"/>
      <c r="D900" s="185"/>
      <c r="E900" s="186"/>
      <c r="F900" s="187"/>
    </row>
    <row r="901" spans="1:6" x14ac:dyDescent="0.2">
      <c r="A901" s="275"/>
      <c r="B901" s="78"/>
      <c r="C901" s="189"/>
      <c r="D901" s="185"/>
      <c r="E901" s="186"/>
      <c r="F901" s="187"/>
    </row>
    <row r="902" spans="1:6" x14ac:dyDescent="0.2">
      <c r="A902" s="275"/>
      <c r="B902" s="78"/>
      <c r="C902" s="189"/>
      <c r="D902" s="185"/>
      <c r="E902" s="186"/>
      <c r="F902" s="187"/>
    </row>
    <row r="903" spans="1:6" x14ac:dyDescent="0.2">
      <c r="A903" s="275"/>
      <c r="B903" s="78"/>
      <c r="C903" s="189"/>
      <c r="D903" s="185"/>
      <c r="E903" s="186"/>
      <c r="F903" s="187"/>
    </row>
    <row r="904" spans="1:6" x14ac:dyDescent="0.2">
      <c r="A904" s="275"/>
      <c r="B904" s="78"/>
      <c r="C904" s="189"/>
      <c r="D904" s="185"/>
      <c r="E904" s="186"/>
      <c r="F904" s="187"/>
    </row>
    <row r="905" spans="1:6" x14ac:dyDescent="0.2">
      <c r="A905" s="275"/>
      <c r="B905" s="78"/>
      <c r="C905" s="189"/>
      <c r="D905" s="185"/>
      <c r="E905" s="186"/>
      <c r="F905" s="187"/>
    </row>
    <row r="906" spans="1:6" x14ac:dyDescent="0.2">
      <c r="A906" s="275"/>
      <c r="B906" s="78"/>
      <c r="C906" s="189"/>
      <c r="D906" s="185"/>
      <c r="E906" s="186"/>
      <c r="F906" s="187"/>
    </row>
    <row r="907" spans="1:6" x14ac:dyDescent="0.2">
      <c r="A907" s="275"/>
      <c r="B907" s="78"/>
      <c r="C907" s="189"/>
      <c r="D907" s="185"/>
      <c r="E907" s="186"/>
      <c r="F907" s="187"/>
    </row>
    <row r="908" spans="1:6" x14ac:dyDescent="0.2">
      <c r="A908" s="275"/>
      <c r="B908" s="78"/>
      <c r="C908" s="189"/>
      <c r="D908" s="185"/>
      <c r="E908" s="186"/>
      <c r="F908" s="187"/>
    </row>
    <row r="909" spans="1:6" x14ac:dyDescent="0.2">
      <c r="A909" s="275"/>
      <c r="B909" s="78"/>
      <c r="C909" s="189"/>
      <c r="D909" s="185"/>
      <c r="E909" s="186"/>
      <c r="F909" s="187"/>
    </row>
    <row r="910" spans="1:6" x14ac:dyDescent="0.2">
      <c r="A910" s="275"/>
      <c r="B910" s="78"/>
      <c r="C910" s="189"/>
      <c r="D910" s="185"/>
      <c r="E910" s="186"/>
      <c r="F910" s="187"/>
    </row>
    <row r="911" spans="1:6" x14ac:dyDescent="0.2">
      <c r="A911" s="275"/>
      <c r="B911" s="78"/>
      <c r="C911" s="189"/>
      <c r="D911" s="185"/>
      <c r="E911" s="186"/>
      <c r="F911" s="187"/>
    </row>
    <row r="912" spans="1:6" x14ac:dyDescent="0.2">
      <c r="A912" s="275"/>
      <c r="B912" s="78"/>
      <c r="C912" s="189"/>
      <c r="D912" s="185"/>
      <c r="E912" s="186"/>
      <c r="F912" s="187"/>
    </row>
    <row r="913" spans="1:6" x14ac:dyDescent="0.2">
      <c r="A913" s="275"/>
      <c r="B913" s="78"/>
      <c r="C913" s="189"/>
      <c r="D913" s="185"/>
      <c r="E913" s="186"/>
      <c r="F913" s="187"/>
    </row>
    <row r="914" spans="1:6" x14ac:dyDescent="0.2">
      <c r="A914" s="275"/>
      <c r="B914" s="78"/>
      <c r="C914" s="189"/>
      <c r="D914" s="185"/>
      <c r="E914" s="186"/>
      <c r="F914" s="187"/>
    </row>
    <row r="915" spans="1:6" x14ac:dyDescent="0.2">
      <c r="A915" s="275"/>
      <c r="B915" s="78"/>
      <c r="C915" s="189"/>
      <c r="D915" s="185"/>
      <c r="E915" s="186"/>
      <c r="F915" s="187"/>
    </row>
    <row r="916" spans="1:6" x14ac:dyDescent="0.2">
      <c r="A916" s="275"/>
      <c r="B916" s="78"/>
      <c r="C916" s="189"/>
      <c r="D916" s="185"/>
      <c r="E916" s="186"/>
      <c r="F916" s="187"/>
    </row>
    <row r="917" spans="1:6" x14ac:dyDescent="0.2">
      <c r="A917" s="275"/>
      <c r="B917" s="78"/>
      <c r="C917" s="189"/>
      <c r="D917" s="185"/>
      <c r="E917" s="186"/>
      <c r="F917" s="187"/>
    </row>
    <row r="918" spans="1:6" x14ac:dyDescent="0.2">
      <c r="A918" s="275"/>
      <c r="B918" s="78"/>
      <c r="C918" s="189"/>
      <c r="D918" s="185"/>
      <c r="E918" s="186"/>
      <c r="F918" s="187"/>
    </row>
    <row r="919" spans="1:6" x14ac:dyDescent="0.2">
      <c r="A919" s="275"/>
      <c r="B919" s="78"/>
      <c r="C919" s="189"/>
      <c r="D919" s="185"/>
      <c r="E919" s="186"/>
      <c r="F919" s="187"/>
    </row>
    <row r="920" spans="1:6" x14ac:dyDescent="0.2">
      <c r="A920" s="275"/>
      <c r="B920" s="78"/>
      <c r="C920" s="189"/>
      <c r="D920" s="185"/>
      <c r="E920" s="186"/>
      <c r="F920" s="187"/>
    </row>
    <row r="921" spans="1:6" x14ac:dyDescent="0.2">
      <c r="A921" s="275"/>
      <c r="B921" s="78"/>
      <c r="C921" s="189"/>
      <c r="D921" s="185"/>
      <c r="E921" s="186"/>
      <c r="F921" s="187"/>
    </row>
    <row r="922" spans="1:6" x14ac:dyDescent="0.2">
      <c r="A922" s="275"/>
      <c r="B922" s="78"/>
      <c r="C922" s="189"/>
      <c r="D922" s="185"/>
      <c r="E922" s="186"/>
      <c r="F922" s="187"/>
    </row>
    <row r="923" spans="1:6" x14ac:dyDescent="0.2">
      <c r="A923" s="275"/>
      <c r="B923" s="78"/>
      <c r="C923" s="189"/>
      <c r="D923" s="185"/>
      <c r="E923" s="186"/>
      <c r="F923" s="187"/>
    </row>
    <row r="924" spans="1:6" x14ac:dyDescent="0.2">
      <c r="A924" s="275"/>
      <c r="B924" s="78"/>
      <c r="C924" s="189"/>
      <c r="D924" s="185"/>
      <c r="E924" s="186"/>
      <c r="F924" s="187"/>
    </row>
    <row r="925" spans="1:6" x14ac:dyDescent="0.2">
      <c r="A925" s="275"/>
      <c r="B925" s="78"/>
      <c r="C925" s="189"/>
      <c r="D925" s="185"/>
      <c r="E925" s="186"/>
      <c r="F925" s="187"/>
    </row>
    <row r="926" spans="1:6" x14ac:dyDescent="0.2">
      <c r="A926" s="275"/>
      <c r="B926" s="78"/>
      <c r="C926" s="189"/>
      <c r="D926" s="185"/>
      <c r="E926" s="186"/>
      <c r="F926" s="187"/>
    </row>
    <row r="927" spans="1:6" x14ac:dyDescent="0.2">
      <c r="A927" s="275"/>
      <c r="B927" s="78"/>
      <c r="C927" s="189"/>
      <c r="D927" s="185"/>
      <c r="E927" s="186"/>
      <c r="F927" s="187"/>
    </row>
    <row r="928" spans="1:6" x14ac:dyDescent="0.2">
      <c r="A928" s="275"/>
      <c r="B928" s="78"/>
      <c r="C928" s="189"/>
      <c r="D928" s="185"/>
      <c r="E928" s="186"/>
      <c r="F928" s="187"/>
    </row>
    <row r="929" spans="1:6" x14ac:dyDescent="0.2">
      <c r="A929" s="275"/>
      <c r="B929" s="78"/>
      <c r="C929" s="189"/>
      <c r="D929" s="185"/>
      <c r="E929" s="186"/>
      <c r="F929" s="187"/>
    </row>
    <row r="930" spans="1:6" x14ac:dyDescent="0.2">
      <c r="A930" s="275"/>
      <c r="B930" s="78"/>
      <c r="C930" s="189"/>
      <c r="D930" s="185"/>
      <c r="E930" s="186"/>
      <c r="F930" s="187"/>
    </row>
    <row r="931" spans="1:6" x14ac:dyDescent="0.2">
      <c r="A931" s="275"/>
      <c r="B931" s="78"/>
      <c r="C931" s="189"/>
      <c r="D931" s="185"/>
      <c r="E931" s="186"/>
      <c r="F931" s="187"/>
    </row>
    <row r="932" spans="1:6" x14ac:dyDescent="0.2">
      <c r="A932" s="275"/>
      <c r="B932" s="78"/>
      <c r="C932" s="189"/>
      <c r="D932" s="185"/>
      <c r="E932" s="186"/>
      <c r="F932" s="187"/>
    </row>
    <row r="933" spans="1:6" x14ac:dyDescent="0.2">
      <c r="A933" s="275"/>
      <c r="B933" s="78"/>
      <c r="C933" s="189"/>
      <c r="D933" s="185"/>
      <c r="E933" s="186"/>
      <c r="F933" s="187"/>
    </row>
    <row r="934" spans="1:6" x14ac:dyDescent="0.2">
      <c r="A934" s="275"/>
      <c r="B934" s="78"/>
      <c r="C934" s="189"/>
      <c r="D934" s="185"/>
      <c r="E934" s="186"/>
      <c r="F934" s="187"/>
    </row>
    <row r="935" spans="1:6" x14ac:dyDescent="0.2">
      <c r="A935" s="275"/>
      <c r="B935" s="78"/>
      <c r="C935" s="189"/>
      <c r="D935" s="185"/>
      <c r="E935" s="186"/>
      <c r="F935" s="187"/>
    </row>
    <row r="936" spans="1:6" x14ac:dyDescent="0.2">
      <c r="A936" s="275"/>
      <c r="B936" s="78"/>
      <c r="C936" s="189"/>
      <c r="D936" s="185"/>
      <c r="E936" s="186"/>
      <c r="F936" s="187"/>
    </row>
    <row r="937" spans="1:6" x14ac:dyDescent="0.2">
      <c r="A937" s="275"/>
      <c r="B937" s="78"/>
      <c r="C937" s="189"/>
      <c r="D937" s="185"/>
      <c r="E937" s="186"/>
      <c r="F937" s="187"/>
    </row>
    <row r="938" spans="1:6" x14ac:dyDescent="0.2">
      <c r="A938" s="275"/>
      <c r="B938" s="78"/>
      <c r="C938" s="189"/>
      <c r="D938" s="185"/>
      <c r="E938" s="186"/>
      <c r="F938" s="187"/>
    </row>
    <row r="939" spans="1:6" x14ac:dyDescent="0.2">
      <c r="A939" s="275"/>
      <c r="B939" s="78"/>
      <c r="C939" s="189"/>
      <c r="D939" s="185"/>
      <c r="E939" s="186"/>
      <c r="F939" s="187"/>
    </row>
    <row r="940" spans="1:6" x14ac:dyDescent="0.2">
      <c r="A940" s="275"/>
      <c r="B940" s="78"/>
      <c r="C940" s="189"/>
      <c r="D940" s="185"/>
      <c r="E940" s="186"/>
      <c r="F940" s="187"/>
    </row>
    <row r="941" spans="1:6" x14ac:dyDescent="0.2">
      <c r="A941" s="275"/>
      <c r="B941" s="78"/>
      <c r="C941" s="189"/>
      <c r="D941" s="185"/>
      <c r="E941" s="186"/>
      <c r="F941" s="187"/>
    </row>
    <row r="942" spans="1:6" x14ac:dyDescent="0.2">
      <c r="A942" s="275"/>
      <c r="B942" s="78"/>
      <c r="C942" s="189"/>
      <c r="D942" s="185"/>
      <c r="E942" s="186"/>
      <c r="F942" s="187"/>
    </row>
    <row r="943" spans="1:6" x14ac:dyDescent="0.2">
      <c r="A943" s="275"/>
      <c r="B943" s="78"/>
      <c r="C943" s="189"/>
      <c r="D943" s="185"/>
      <c r="E943" s="186"/>
      <c r="F943" s="187"/>
    </row>
    <row r="944" spans="1:6" x14ac:dyDescent="0.2">
      <c r="A944" s="275"/>
      <c r="B944" s="78"/>
      <c r="C944" s="189"/>
      <c r="D944" s="185"/>
      <c r="E944" s="186"/>
      <c r="F944" s="187"/>
    </row>
    <row r="945" spans="1:6" x14ac:dyDescent="0.2">
      <c r="A945" s="275"/>
      <c r="B945" s="78"/>
      <c r="C945" s="189"/>
      <c r="D945" s="185"/>
      <c r="E945" s="186"/>
      <c r="F945" s="187"/>
    </row>
    <row r="946" spans="1:6" x14ac:dyDescent="0.2">
      <c r="A946" s="275"/>
      <c r="B946" s="78"/>
      <c r="C946" s="189"/>
      <c r="D946" s="185"/>
      <c r="E946" s="186"/>
      <c r="F946" s="187"/>
    </row>
    <row r="947" spans="1:6" x14ac:dyDescent="0.2">
      <c r="A947" s="275"/>
      <c r="B947" s="78"/>
      <c r="C947" s="189"/>
      <c r="D947" s="185"/>
      <c r="E947" s="186"/>
      <c r="F947" s="187"/>
    </row>
    <row r="948" spans="1:6" x14ac:dyDescent="0.2">
      <c r="A948" s="275"/>
      <c r="B948" s="78"/>
      <c r="C948" s="189"/>
      <c r="D948" s="185"/>
      <c r="E948" s="186"/>
      <c r="F948" s="187"/>
    </row>
    <row r="949" spans="1:6" x14ac:dyDescent="0.2">
      <c r="A949" s="275"/>
      <c r="B949" s="78"/>
      <c r="C949" s="189"/>
      <c r="D949" s="185"/>
      <c r="E949" s="186"/>
      <c r="F949" s="187"/>
    </row>
    <row r="950" spans="1:6" x14ac:dyDescent="0.2">
      <c r="A950" s="275"/>
      <c r="B950" s="78"/>
      <c r="C950" s="189"/>
      <c r="D950" s="185"/>
      <c r="E950" s="186"/>
      <c r="F950" s="187"/>
    </row>
    <row r="951" spans="1:6" x14ac:dyDescent="0.2">
      <c r="A951" s="275"/>
      <c r="B951" s="78"/>
      <c r="C951" s="189"/>
      <c r="D951" s="185"/>
      <c r="E951" s="186"/>
      <c r="F951" s="187"/>
    </row>
    <row r="952" spans="1:6" x14ac:dyDescent="0.2">
      <c r="A952" s="275"/>
      <c r="B952" s="78"/>
      <c r="C952" s="189"/>
      <c r="D952" s="185"/>
      <c r="E952" s="186"/>
      <c r="F952" s="187"/>
    </row>
    <row r="953" spans="1:6" x14ac:dyDescent="0.2">
      <c r="A953" s="275"/>
      <c r="B953" s="78"/>
      <c r="C953" s="189"/>
      <c r="D953" s="185"/>
      <c r="E953" s="186"/>
      <c r="F953" s="187"/>
    </row>
    <row r="954" spans="1:6" x14ac:dyDescent="0.2">
      <c r="A954" s="275"/>
      <c r="B954" s="78"/>
      <c r="C954" s="189"/>
      <c r="D954" s="185"/>
      <c r="E954" s="186"/>
      <c r="F954" s="187"/>
    </row>
    <row r="955" spans="1:6" x14ac:dyDescent="0.2">
      <c r="A955" s="275"/>
      <c r="B955" s="78"/>
      <c r="C955" s="189"/>
      <c r="D955" s="185"/>
      <c r="E955" s="186"/>
      <c r="F955" s="187"/>
    </row>
    <row r="956" spans="1:6" x14ac:dyDescent="0.2">
      <c r="A956" s="275"/>
      <c r="B956" s="78"/>
      <c r="C956" s="189"/>
      <c r="D956" s="185"/>
      <c r="E956" s="186"/>
      <c r="F956" s="187"/>
    </row>
    <row r="957" spans="1:6" x14ac:dyDescent="0.2">
      <c r="A957" s="275"/>
      <c r="B957" s="78"/>
      <c r="C957" s="189"/>
      <c r="D957" s="185"/>
      <c r="E957" s="186"/>
      <c r="F957" s="187"/>
    </row>
    <row r="958" spans="1:6" x14ac:dyDescent="0.2">
      <c r="A958" s="275"/>
      <c r="B958" s="78"/>
      <c r="C958" s="189"/>
      <c r="D958" s="185"/>
      <c r="E958" s="186"/>
      <c r="F958" s="187"/>
    </row>
    <row r="959" spans="1:6" x14ac:dyDescent="0.2">
      <c r="A959" s="275"/>
      <c r="B959" s="78"/>
      <c r="C959" s="189"/>
      <c r="D959" s="185"/>
      <c r="E959" s="186"/>
      <c r="F959" s="187"/>
    </row>
    <row r="960" spans="1:6" x14ac:dyDescent="0.2">
      <c r="A960" s="275"/>
      <c r="B960" s="78"/>
      <c r="C960" s="189"/>
      <c r="D960" s="185"/>
      <c r="E960" s="186"/>
      <c r="F960" s="187"/>
    </row>
    <row r="961" spans="1:6" x14ac:dyDescent="0.2">
      <c r="A961" s="275"/>
      <c r="B961" s="78"/>
      <c r="C961" s="189"/>
      <c r="D961" s="185"/>
      <c r="E961" s="186"/>
      <c r="F961" s="187"/>
    </row>
    <row r="962" spans="1:6" x14ac:dyDescent="0.2">
      <c r="A962" s="275"/>
      <c r="B962" s="78"/>
      <c r="C962" s="189"/>
      <c r="D962" s="185"/>
      <c r="E962" s="186"/>
      <c r="F962" s="187"/>
    </row>
    <row r="963" spans="1:6" x14ac:dyDescent="0.2">
      <c r="A963" s="275"/>
      <c r="B963" s="78"/>
      <c r="C963" s="189"/>
      <c r="D963" s="185"/>
      <c r="E963" s="186"/>
      <c r="F963" s="187"/>
    </row>
    <row r="964" spans="1:6" x14ac:dyDescent="0.2">
      <c r="A964" s="275"/>
      <c r="B964" s="78"/>
      <c r="C964" s="189"/>
      <c r="D964" s="185"/>
      <c r="E964" s="186"/>
      <c r="F964" s="187"/>
    </row>
    <row r="965" spans="1:6" x14ac:dyDescent="0.2">
      <c r="A965" s="275"/>
      <c r="B965" s="78"/>
      <c r="C965" s="189"/>
      <c r="D965" s="185"/>
      <c r="E965" s="186"/>
      <c r="F965" s="187"/>
    </row>
    <row r="966" spans="1:6" x14ac:dyDescent="0.2">
      <c r="A966" s="275"/>
      <c r="B966" s="78"/>
      <c r="C966" s="189"/>
      <c r="D966" s="185"/>
      <c r="E966" s="186"/>
      <c r="F966" s="187"/>
    </row>
    <row r="967" spans="1:6" x14ac:dyDescent="0.2">
      <c r="A967" s="275"/>
      <c r="B967" s="78"/>
      <c r="C967" s="189"/>
      <c r="D967" s="185"/>
      <c r="E967" s="186"/>
      <c r="F967" s="187"/>
    </row>
    <row r="968" spans="1:6" x14ac:dyDescent="0.2">
      <c r="A968" s="275"/>
      <c r="B968" s="78"/>
      <c r="C968" s="189"/>
      <c r="D968" s="185"/>
      <c r="E968" s="186"/>
      <c r="F968" s="187"/>
    </row>
    <row r="969" spans="1:6" x14ac:dyDescent="0.2">
      <c r="A969" s="275"/>
      <c r="B969" s="78"/>
      <c r="C969" s="189"/>
      <c r="D969" s="185"/>
      <c r="E969" s="186"/>
      <c r="F969" s="187"/>
    </row>
    <row r="970" spans="1:6" x14ac:dyDescent="0.2">
      <c r="A970" s="275"/>
      <c r="B970" s="78"/>
      <c r="C970" s="189"/>
      <c r="D970" s="185"/>
      <c r="E970" s="186"/>
      <c r="F970" s="187"/>
    </row>
    <row r="971" spans="1:6" x14ac:dyDescent="0.2">
      <c r="A971" s="275"/>
      <c r="B971" s="78"/>
      <c r="C971" s="189"/>
      <c r="D971" s="185"/>
      <c r="E971" s="186"/>
      <c r="F971" s="187"/>
    </row>
    <row r="972" spans="1:6" x14ac:dyDescent="0.2">
      <c r="A972" s="275"/>
      <c r="B972" s="78"/>
      <c r="C972" s="189"/>
      <c r="D972" s="185"/>
      <c r="E972" s="186"/>
      <c r="F972" s="187"/>
    </row>
    <row r="973" spans="1:6" x14ac:dyDescent="0.2">
      <c r="A973" s="275"/>
      <c r="B973" s="78"/>
      <c r="C973" s="189"/>
      <c r="D973" s="185"/>
      <c r="E973" s="186"/>
      <c r="F973" s="187"/>
    </row>
    <row r="974" spans="1:6" x14ac:dyDescent="0.2">
      <c r="A974" s="275"/>
      <c r="B974" s="78"/>
      <c r="C974" s="189"/>
      <c r="D974" s="185"/>
      <c r="E974" s="186"/>
      <c r="F974" s="187"/>
    </row>
    <row r="975" spans="1:6" x14ac:dyDescent="0.2">
      <c r="A975" s="275"/>
      <c r="B975" s="78"/>
      <c r="C975" s="189"/>
      <c r="D975" s="185"/>
      <c r="E975" s="186"/>
      <c r="F975" s="187"/>
    </row>
    <row r="976" spans="1:6" x14ac:dyDescent="0.2">
      <c r="A976" s="275"/>
      <c r="B976" s="78"/>
      <c r="C976" s="189"/>
      <c r="D976" s="185"/>
      <c r="E976" s="186"/>
      <c r="F976" s="187"/>
    </row>
    <row r="977" spans="1:6" x14ac:dyDescent="0.2">
      <c r="A977" s="275"/>
      <c r="B977" s="78"/>
      <c r="C977" s="189"/>
      <c r="D977" s="185"/>
      <c r="E977" s="186"/>
      <c r="F977" s="187"/>
    </row>
    <row r="978" spans="1:6" x14ac:dyDescent="0.2">
      <c r="A978" s="275"/>
      <c r="B978" s="78"/>
      <c r="C978" s="189"/>
      <c r="D978" s="185"/>
      <c r="E978" s="186"/>
      <c r="F978" s="187"/>
    </row>
    <row r="979" spans="1:6" x14ac:dyDescent="0.2">
      <c r="A979" s="275"/>
      <c r="B979" s="78"/>
      <c r="C979" s="189"/>
      <c r="D979" s="185"/>
      <c r="E979" s="186"/>
      <c r="F979" s="187"/>
    </row>
    <row r="980" spans="1:6" x14ac:dyDescent="0.2">
      <c r="A980" s="275"/>
      <c r="B980" s="78"/>
      <c r="C980" s="189"/>
      <c r="D980" s="185"/>
      <c r="E980" s="186"/>
      <c r="F980" s="187"/>
    </row>
    <row r="981" spans="1:6" x14ac:dyDescent="0.2">
      <c r="A981" s="275"/>
      <c r="B981" s="78"/>
      <c r="C981" s="189"/>
      <c r="D981" s="185"/>
      <c r="E981" s="186"/>
      <c r="F981" s="187"/>
    </row>
    <row r="982" spans="1:6" x14ac:dyDescent="0.2">
      <c r="A982" s="275"/>
      <c r="B982" s="78"/>
      <c r="C982" s="189"/>
      <c r="D982" s="185"/>
      <c r="E982" s="186"/>
      <c r="F982" s="187"/>
    </row>
    <row r="983" spans="1:6" x14ac:dyDescent="0.2">
      <c r="A983" s="275"/>
      <c r="B983" s="78"/>
      <c r="C983" s="189"/>
      <c r="D983" s="185"/>
      <c r="E983" s="186"/>
      <c r="F983" s="187"/>
    </row>
    <row r="984" spans="1:6" x14ac:dyDescent="0.2">
      <c r="A984" s="275"/>
      <c r="B984" s="78"/>
      <c r="C984" s="189"/>
      <c r="D984" s="185"/>
      <c r="E984" s="186"/>
      <c r="F984" s="187"/>
    </row>
    <row r="985" spans="1:6" x14ac:dyDescent="0.2">
      <c r="A985" s="275"/>
      <c r="B985" s="78"/>
      <c r="C985" s="189"/>
      <c r="D985" s="185"/>
      <c r="E985" s="186"/>
      <c r="F985" s="187"/>
    </row>
    <row r="986" spans="1:6" x14ac:dyDescent="0.2">
      <c r="A986" s="275"/>
      <c r="B986" s="78"/>
      <c r="C986" s="189"/>
      <c r="D986" s="185"/>
      <c r="E986" s="186"/>
      <c r="F986" s="187"/>
    </row>
    <row r="987" spans="1:6" x14ac:dyDescent="0.2">
      <c r="A987" s="275"/>
      <c r="B987" s="78"/>
      <c r="C987" s="189"/>
      <c r="D987" s="185"/>
      <c r="E987" s="186"/>
      <c r="F987" s="187"/>
    </row>
    <row r="988" spans="1:6" x14ac:dyDescent="0.2">
      <c r="A988" s="275"/>
      <c r="B988" s="78"/>
      <c r="C988" s="189"/>
      <c r="D988" s="185"/>
      <c r="E988" s="186"/>
      <c r="F988" s="187"/>
    </row>
    <row r="989" spans="1:6" x14ac:dyDescent="0.2">
      <c r="A989" s="275"/>
      <c r="B989" s="78"/>
      <c r="C989" s="189"/>
      <c r="D989" s="185"/>
      <c r="E989" s="186"/>
      <c r="F989" s="187"/>
    </row>
    <row r="990" spans="1:6" x14ac:dyDescent="0.2">
      <c r="A990" s="275"/>
      <c r="B990" s="78"/>
      <c r="C990" s="189"/>
      <c r="D990" s="185"/>
      <c r="E990" s="186"/>
      <c r="F990" s="187"/>
    </row>
    <row r="991" spans="1:6" x14ac:dyDescent="0.2">
      <c r="A991" s="275"/>
      <c r="B991" s="78"/>
      <c r="C991" s="189"/>
      <c r="D991" s="185"/>
      <c r="E991" s="186"/>
      <c r="F991" s="187"/>
    </row>
    <row r="992" spans="1:6" x14ac:dyDescent="0.2">
      <c r="A992" s="275"/>
      <c r="B992" s="78"/>
      <c r="C992" s="189"/>
      <c r="D992" s="185"/>
      <c r="E992" s="186"/>
      <c r="F992" s="187"/>
    </row>
    <row r="993" spans="1:6" x14ac:dyDescent="0.2">
      <c r="A993" s="275"/>
      <c r="B993" s="78"/>
      <c r="C993" s="189"/>
      <c r="D993" s="185"/>
      <c r="E993" s="186"/>
      <c r="F993" s="187"/>
    </row>
    <row r="994" spans="1:6" x14ac:dyDescent="0.2">
      <c r="A994" s="275"/>
      <c r="B994" s="78"/>
      <c r="C994" s="189"/>
      <c r="D994" s="185"/>
      <c r="E994" s="186"/>
      <c r="F994" s="187"/>
    </row>
    <row r="995" spans="1:6" x14ac:dyDescent="0.2">
      <c r="A995" s="275"/>
      <c r="B995" s="78"/>
      <c r="C995" s="189"/>
      <c r="D995" s="185"/>
      <c r="E995" s="186"/>
      <c r="F995" s="187"/>
    </row>
    <row r="996" spans="1:6" x14ac:dyDescent="0.2">
      <c r="A996" s="275"/>
      <c r="B996" s="78"/>
      <c r="C996" s="189"/>
      <c r="D996" s="185"/>
      <c r="E996" s="186"/>
      <c r="F996" s="187"/>
    </row>
    <row r="997" spans="1:6" x14ac:dyDescent="0.2">
      <c r="A997" s="275"/>
      <c r="B997" s="78"/>
      <c r="C997" s="189"/>
      <c r="D997" s="185"/>
      <c r="E997" s="186"/>
      <c r="F997" s="187"/>
    </row>
    <row r="998" spans="1:6" x14ac:dyDescent="0.2">
      <c r="A998" s="275"/>
      <c r="B998" s="78"/>
      <c r="C998" s="189"/>
      <c r="D998" s="185"/>
      <c r="E998" s="186"/>
      <c r="F998" s="187"/>
    </row>
    <row r="999" spans="1:6" x14ac:dyDescent="0.2">
      <c r="A999" s="275"/>
      <c r="B999" s="78"/>
      <c r="C999" s="189"/>
      <c r="D999" s="185"/>
      <c r="E999" s="186"/>
      <c r="F999" s="187"/>
    </row>
    <row r="1000" spans="1:6" x14ac:dyDescent="0.2">
      <c r="A1000" s="275"/>
      <c r="B1000" s="78"/>
      <c r="C1000" s="189"/>
      <c r="D1000" s="185"/>
      <c r="E1000" s="186"/>
      <c r="F1000" s="187"/>
    </row>
    <row r="1001" spans="1:6" x14ac:dyDescent="0.2">
      <c r="A1001" s="275"/>
      <c r="B1001" s="78"/>
      <c r="C1001" s="189"/>
      <c r="D1001" s="185"/>
      <c r="E1001" s="186"/>
      <c r="F1001" s="187"/>
    </row>
    <row r="1002" spans="1:6" x14ac:dyDescent="0.2">
      <c r="A1002" s="275"/>
      <c r="B1002" s="78"/>
      <c r="C1002" s="189"/>
      <c r="D1002" s="185"/>
      <c r="E1002" s="186"/>
      <c r="F1002" s="187"/>
    </row>
    <row r="1003" spans="1:6" x14ac:dyDescent="0.2">
      <c r="A1003" s="275"/>
      <c r="B1003" s="78"/>
      <c r="C1003" s="189"/>
      <c r="D1003" s="185"/>
      <c r="E1003" s="186"/>
      <c r="F1003" s="187"/>
    </row>
    <row r="1004" spans="1:6" x14ac:dyDescent="0.2">
      <c r="A1004" s="275"/>
      <c r="B1004" s="78"/>
      <c r="C1004" s="189"/>
      <c r="D1004" s="185"/>
      <c r="E1004" s="186"/>
      <c r="F1004" s="187"/>
    </row>
    <row r="1005" spans="1:6" x14ac:dyDescent="0.2">
      <c r="A1005" s="275"/>
      <c r="B1005" s="78"/>
      <c r="C1005" s="189"/>
      <c r="D1005" s="185"/>
      <c r="E1005" s="186"/>
      <c r="F1005" s="187"/>
    </row>
    <row r="1006" spans="1:6" x14ac:dyDescent="0.2">
      <c r="A1006" s="275"/>
      <c r="B1006" s="78"/>
      <c r="C1006" s="189"/>
      <c r="D1006" s="185"/>
      <c r="E1006" s="186"/>
      <c r="F1006" s="187"/>
    </row>
    <row r="1007" spans="1:6" x14ac:dyDescent="0.2">
      <c r="A1007" s="275"/>
      <c r="B1007" s="78"/>
      <c r="C1007" s="189"/>
      <c r="D1007" s="185"/>
      <c r="E1007" s="186"/>
      <c r="F1007" s="187"/>
    </row>
    <row r="1008" spans="1:6" x14ac:dyDescent="0.2">
      <c r="A1008" s="275"/>
      <c r="B1008" s="78"/>
      <c r="C1008" s="189"/>
      <c r="D1008" s="185"/>
      <c r="E1008" s="186"/>
      <c r="F1008" s="187"/>
    </row>
    <row r="1009" spans="1:6" x14ac:dyDescent="0.2">
      <c r="A1009" s="275"/>
      <c r="B1009" s="78"/>
      <c r="C1009" s="189"/>
      <c r="D1009" s="185"/>
      <c r="E1009" s="186"/>
      <c r="F1009" s="187"/>
    </row>
    <row r="1010" spans="1:6" x14ac:dyDescent="0.2">
      <c r="A1010" s="275"/>
      <c r="B1010" s="78"/>
      <c r="C1010" s="189"/>
      <c r="D1010" s="185"/>
      <c r="E1010" s="186"/>
      <c r="F1010" s="187"/>
    </row>
    <row r="1011" spans="1:6" x14ac:dyDescent="0.2">
      <c r="A1011" s="275"/>
      <c r="B1011" s="78"/>
      <c r="C1011" s="189"/>
      <c r="D1011" s="185"/>
      <c r="E1011" s="186"/>
      <c r="F1011" s="187"/>
    </row>
    <row r="1012" spans="1:6" x14ac:dyDescent="0.2">
      <c r="A1012" s="275"/>
      <c r="B1012" s="78"/>
      <c r="C1012" s="189"/>
      <c r="D1012" s="185"/>
      <c r="E1012" s="186"/>
      <c r="F1012" s="187"/>
    </row>
    <row r="1013" spans="1:6" x14ac:dyDescent="0.2">
      <c r="A1013" s="275"/>
      <c r="B1013" s="78"/>
      <c r="C1013" s="189"/>
      <c r="D1013" s="185"/>
      <c r="E1013" s="186"/>
      <c r="F1013" s="187"/>
    </row>
    <row r="1014" spans="1:6" x14ac:dyDescent="0.2">
      <c r="A1014" s="275"/>
      <c r="B1014" s="78"/>
      <c r="C1014" s="189"/>
      <c r="D1014" s="185"/>
      <c r="E1014" s="186"/>
      <c r="F1014" s="187"/>
    </row>
    <row r="1015" spans="1:6" x14ac:dyDescent="0.2">
      <c r="A1015" s="275"/>
      <c r="B1015" s="78"/>
      <c r="C1015" s="189"/>
      <c r="D1015" s="185"/>
      <c r="E1015" s="186"/>
      <c r="F1015" s="187"/>
    </row>
    <row r="1016" spans="1:6" x14ac:dyDescent="0.2">
      <c r="A1016" s="275"/>
      <c r="B1016" s="78"/>
      <c r="C1016" s="189"/>
      <c r="D1016" s="185"/>
      <c r="E1016" s="186"/>
      <c r="F1016" s="187"/>
    </row>
    <row r="1017" spans="1:6" x14ac:dyDescent="0.2">
      <c r="A1017" s="275"/>
      <c r="B1017" s="78"/>
      <c r="C1017" s="189"/>
      <c r="D1017" s="185"/>
      <c r="E1017" s="186"/>
      <c r="F1017" s="187"/>
    </row>
    <row r="1018" spans="1:6" x14ac:dyDescent="0.2">
      <c r="A1018" s="275"/>
      <c r="B1018" s="78"/>
      <c r="C1018" s="189"/>
      <c r="D1018" s="185"/>
      <c r="E1018" s="186"/>
      <c r="F1018" s="187"/>
    </row>
    <row r="1019" spans="1:6" x14ac:dyDescent="0.2">
      <c r="A1019" s="275"/>
      <c r="B1019" s="78"/>
      <c r="C1019" s="189"/>
      <c r="D1019" s="185"/>
      <c r="E1019" s="186"/>
      <c r="F1019" s="187"/>
    </row>
    <row r="1020" spans="1:6" x14ac:dyDescent="0.2">
      <c r="A1020" s="275"/>
      <c r="B1020" s="78"/>
      <c r="C1020" s="189"/>
      <c r="D1020" s="185"/>
      <c r="E1020" s="186"/>
      <c r="F1020" s="187"/>
    </row>
    <row r="1021" spans="1:6" x14ac:dyDescent="0.2">
      <c r="A1021" s="275"/>
      <c r="B1021" s="78"/>
      <c r="C1021" s="189"/>
      <c r="D1021" s="185"/>
      <c r="E1021" s="186"/>
      <c r="F1021" s="187"/>
    </row>
    <row r="1022" spans="1:6" x14ac:dyDescent="0.2">
      <c r="A1022" s="275"/>
      <c r="B1022" s="78"/>
      <c r="C1022" s="189"/>
      <c r="D1022" s="185"/>
      <c r="E1022" s="186"/>
      <c r="F1022" s="187"/>
    </row>
    <row r="1023" spans="1:6" x14ac:dyDescent="0.2">
      <c r="A1023" s="275"/>
      <c r="B1023" s="78"/>
      <c r="C1023" s="189"/>
      <c r="D1023" s="185"/>
      <c r="E1023" s="186"/>
      <c r="F1023" s="187"/>
    </row>
    <row r="1024" spans="1:6" x14ac:dyDescent="0.2">
      <c r="A1024" s="275"/>
      <c r="B1024" s="78"/>
      <c r="C1024" s="189"/>
      <c r="D1024" s="185"/>
      <c r="E1024" s="186"/>
      <c r="F1024" s="187"/>
    </row>
    <row r="1025" spans="1:6" x14ac:dyDescent="0.2">
      <c r="A1025" s="275"/>
      <c r="B1025" s="78"/>
      <c r="C1025" s="189"/>
      <c r="D1025" s="185"/>
      <c r="E1025" s="186"/>
      <c r="F1025" s="187"/>
    </row>
    <row r="1026" spans="1:6" x14ac:dyDescent="0.2">
      <c r="A1026" s="275"/>
      <c r="B1026" s="78"/>
      <c r="C1026" s="189"/>
      <c r="D1026" s="185"/>
      <c r="E1026" s="186"/>
      <c r="F1026" s="187"/>
    </row>
    <row r="1027" spans="1:6" x14ac:dyDescent="0.2">
      <c r="A1027" s="275"/>
      <c r="B1027" s="78"/>
      <c r="C1027" s="189"/>
      <c r="D1027" s="185"/>
      <c r="E1027" s="186"/>
      <c r="F1027" s="187"/>
    </row>
    <row r="1028" spans="1:6" x14ac:dyDescent="0.2">
      <c r="A1028" s="275"/>
      <c r="B1028" s="78"/>
      <c r="C1028" s="189"/>
      <c r="D1028" s="185"/>
      <c r="E1028" s="186"/>
      <c r="F1028" s="187"/>
    </row>
    <row r="1029" spans="1:6" x14ac:dyDescent="0.2">
      <c r="A1029" s="275"/>
      <c r="B1029" s="78"/>
      <c r="C1029" s="189"/>
      <c r="D1029" s="185"/>
      <c r="E1029" s="186"/>
      <c r="F1029" s="187"/>
    </row>
    <row r="1030" spans="1:6" x14ac:dyDescent="0.2">
      <c r="A1030" s="275"/>
      <c r="B1030" s="78"/>
      <c r="C1030" s="189"/>
      <c r="D1030" s="185"/>
      <c r="E1030" s="186"/>
      <c r="F1030" s="187"/>
    </row>
    <row r="1031" spans="1:6" x14ac:dyDescent="0.2">
      <c r="A1031" s="275"/>
      <c r="B1031" s="78"/>
      <c r="C1031" s="189"/>
      <c r="D1031" s="185"/>
      <c r="E1031" s="186"/>
      <c r="F1031" s="187"/>
    </row>
    <row r="1032" spans="1:6" x14ac:dyDescent="0.2">
      <c r="A1032" s="275"/>
      <c r="B1032" s="78"/>
      <c r="C1032" s="189"/>
      <c r="D1032" s="185"/>
      <c r="E1032" s="186"/>
      <c r="F1032" s="187"/>
    </row>
    <row r="1033" spans="1:6" x14ac:dyDescent="0.2">
      <c r="A1033" s="275"/>
      <c r="B1033" s="78"/>
      <c r="C1033" s="189"/>
      <c r="D1033" s="185"/>
      <c r="E1033" s="186"/>
      <c r="F1033" s="187"/>
    </row>
    <row r="1034" spans="1:6" x14ac:dyDescent="0.2">
      <c r="A1034" s="275"/>
      <c r="B1034" s="78"/>
      <c r="C1034" s="189"/>
      <c r="D1034" s="185"/>
      <c r="E1034" s="186"/>
      <c r="F1034" s="187"/>
    </row>
    <row r="1035" spans="1:6" x14ac:dyDescent="0.2">
      <c r="A1035" s="275"/>
      <c r="B1035" s="78"/>
      <c r="C1035" s="189"/>
      <c r="D1035" s="185"/>
      <c r="E1035" s="186"/>
      <c r="F1035" s="187"/>
    </row>
    <row r="1036" spans="1:6" x14ac:dyDescent="0.2">
      <c r="A1036" s="275"/>
      <c r="B1036" s="78"/>
      <c r="C1036" s="189"/>
      <c r="D1036" s="185"/>
      <c r="E1036" s="186"/>
      <c r="F1036" s="187"/>
    </row>
    <row r="1037" spans="1:6" x14ac:dyDescent="0.2">
      <c r="A1037" s="275"/>
      <c r="B1037" s="78"/>
      <c r="C1037" s="189"/>
      <c r="D1037" s="185"/>
      <c r="E1037" s="186"/>
      <c r="F1037" s="187"/>
    </row>
    <row r="1038" spans="1:6" x14ac:dyDescent="0.2">
      <c r="A1038" s="275"/>
      <c r="B1038" s="78"/>
      <c r="C1038" s="189"/>
      <c r="D1038" s="185"/>
      <c r="E1038" s="186"/>
      <c r="F1038" s="187"/>
    </row>
    <row r="1039" spans="1:6" x14ac:dyDescent="0.2">
      <c r="A1039" s="275"/>
      <c r="B1039" s="78"/>
      <c r="C1039" s="189"/>
      <c r="D1039" s="185"/>
      <c r="E1039" s="186"/>
      <c r="F1039" s="187"/>
    </row>
    <row r="1040" spans="1:6" x14ac:dyDescent="0.2">
      <c r="A1040" s="275"/>
      <c r="B1040" s="78"/>
      <c r="C1040" s="189"/>
      <c r="D1040" s="185"/>
      <c r="E1040" s="186"/>
      <c r="F1040" s="187"/>
    </row>
    <row r="1041" spans="1:6" x14ac:dyDescent="0.2">
      <c r="A1041" s="275"/>
      <c r="B1041" s="78"/>
      <c r="C1041" s="189"/>
      <c r="D1041" s="185"/>
      <c r="E1041" s="186"/>
      <c r="F1041" s="187"/>
    </row>
    <row r="1042" spans="1:6" x14ac:dyDescent="0.2">
      <c r="A1042" s="275"/>
      <c r="B1042" s="78"/>
      <c r="C1042" s="189"/>
      <c r="D1042" s="185"/>
      <c r="E1042" s="186"/>
      <c r="F1042" s="187"/>
    </row>
    <row r="1043" spans="1:6" x14ac:dyDescent="0.2">
      <c r="A1043" s="275"/>
      <c r="B1043" s="78"/>
      <c r="C1043" s="189"/>
      <c r="D1043" s="185"/>
      <c r="E1043" s="186"/>
      <c r="F1043" s="187"/>
    </row>
    <row r="1044" spans="1:6" x14ac:dyDescent="0.2">
      <c r="A1044" s="275"/>
      <c r="B1044" s="78"/>
      <c r="C1044" s="189"/>
      <c r="D1044" s="185"/>
      <c r="E1044" s="186"/>
      <c r="F1044" s="187"/>
    </row>
    <row r="1045" spans="1:6" x14ac:dyDescent="0.2">
      <c r="A1045" s="275"/>
      <c r="B1045" s="78"/>
      <c r="C1045" s="189"/>
      <c r="D1045" s="185"/>
      <c r="E1045" s="186"/>
      <c r="F1045" s="187"/>
    </row>
    <row r="1046" spans="1:6" x14ac:dyDescent="0.2">
      <c r="A1046" s="275"/>
      <c r="B1046" s="78"/>
      <c r="C1046" s="189"/>
      <c r="D1046" s="185"/>
      <c r="E1046" s="186"/>
      <c r="F1046" s="187"/>
    </row>
    <row r="1047" spans="1:6" x14ac:dyDescent="0.2">
      <c r="A1047" s="275"/>
      <c r="B1047" s="78"/>
      <c r="C1047" s="189"/>
      <c r="D1047" s="185"/>
      <c r="E1047" s="186"/>
      <c r="F1047" s="187"/>
    </row>
    <row r="1048" spans="1:6" x14ac:dyDescent="0.2">
      <c r="A1048" s="275"/>
      <c r="B1048" s="78"/>
      <c r="C1048" s="189"/>
      <c r="D1048" s="185"/>
      <c r="E1048" s="186"/>
      <c r="F1048" s="187"/>
    </row>
    <row r="1049" spans="1:6" x14ac:dyDescent="0.2">
      <c r="A1049" s="275"/>
      <c r="B1049" s="78"/>
      <c r="C1049" s="189"/>
      <c r="D1049" s="185"/>
      <c r="E1049" s="186"/>
      <c r="F1049" s="187"/>
    </row>
    <row r="1050" spans="1:6" x14ac:dyDescent="0.2">
      <c r="A1050" s="275"/>
      <c r="B1050" s="78"/>
      <c r="C1050" s="189"/>
      <c r="D1050" s="185"/>
      <c r="E1050" s="186"/>
      <c r="F1050" s="187"/>
    </row>
    <row r="1051" spans="1:6" x14ac:dyDescent="0.2">
      <c r="A1051" s="275"/>
      <c r="B1051" s="78"/>
      <c r="C1051" s="189"/>
      <c r="D1051" s="185"/>
      <c r="E1051" s="186"/>
      <c r="F1051" s="187"/>
    </row>
    <row r="1052" spans="1:6" x14ac:dyDescent="0.2">
      <c r="A1052" s="275"/>
      <c r="B1052" s="78"/>
      <c r="C1052" s="189"/>
      <c r="D1052" s="185"/>
      <c r="E1052" s="186"/>
      <c r="F1052" s="187"/>
    </row>
    <row r="1053" spans="1:6" x14ac:dyDescent="0.2">
      <c r="A1053" s="275"/>
      <c r="B1053" s="78"/>
      <c r="C1053" s="189"/>
      <c r="D1053" s="185"/>
      <c r="E1053" s="186"/>
      <c r="F1053" s="187"/>
    </row>
    <row r="1054" spans="1:6" x14ac:dyDescent="0.2">
      <c r="A1054" s="275"/>
      <c r="B1054" s="78"/>
      <c r="C1054" s="189"/>
      <c r="D1054" s="185"/>
      <c r="E1054" s="186"/>
      <c r="F1054" s="187"/>
    </row>
    <row r="1055" spans="1:6" x14ac:dyDescent="0.2">
      <c r="A1055" s="275"/>
      <c r="B1055" s="78"/>
      <c r="C1055" s="189"/>
      <c r="D1055" s="185"/>
      <c r="E1055" s="186"/>
      <c r="F1055" s="187"/>
    </row>
    <row r="1056" spans="1:6" x14ac:dyDescent="0.2">
      <c r="A1056" s="275"/>
      <c r="B1056" s="78"/>
      <c r="C1056" s="189"/>
      <c r="D1056" s="185"/>
      <c r="E1056" s="186"/>
      <c r="F1056" s="187"/>
    </row>
    <row r="1057" spans="1:6" x14ac:dyDescent="0.2">
      <c r="A1057" s="275"/>
      <c r="B1057" s="78"/>
      <c r="C1057" s="189"/>
      <c r="D1057" s="185"/>
      <c r="E1057" s="186"/>
      <c r="F1057" s="187"/>
    </row>
    <row r="1058" spans="1:6" x14ac:dyDescent="0.2">
      <c r="A1058" s="275"/>
      <c r="B1058" s="78"/>
      <c r="C1058" s="189"/>
      <c r="D1058" s="185"/>
      <c r="E1058" s="186"/>
      <c r="F1058" s="187"/>
    </row>
    <row r="1059" spans="1:6" x14ac:dyDescent="0.2">
      <c r="A1059" s="275"/>
      <c r="B1059" s="78"/>
      <c r="C1059" s="189"/>
      <c r="D1059" s="185"/>
      <c r="E1059" s="186"/>
      <c r="F1059" s="187"/>
    </row>
    <row r="1060" spans="1:6" x14ac:dyDescent="0.2">
      <c r="A1060" s="275"/>
      <c r="B1060" s="78"/>
      <c r="C1060" s="189"/>
      <c r="D1060" s="185"/>
      <c r="E1060" s="186"/>
      <c r="F1060" s="187"/>
    </row>
    <row r="1061" spans="1:6" x14ac:dyDescent="0.2">
      <c r="A1061" s="275"/>
      <c r="B1061" s="78"/>
      <c r="C1061" s="189"/>
      <c r="D1061" s="185"/>
      <c r="E1061" s="186"/>
      <c r="F1061" s="187"/>
    </row>
    <row r="1062" spans="1:6" x14ac:dyDescent="0.2">
      <c r="A1062" s="275"/>
      <c r="B1062" s="78"/>
      <c r="C1062" s="189"/>
      <c r="D1062" s="185"/>
      <c r="E1062" s="186"/>
      <c r="F1062" s="187"/>
    </row>
    <row r="1063" spans="1:6" x14ac:dyDescent="0.2">
      <c r="A1063" s="275"/>
      <c r="B1063" s="78"/>
      <c r="C1063" s="189"/>
      <c r="D1063" s="185"/>
      <c r="E1063" s="186"/>
      <c r="F1063" s="187"/>
    </row>
    <row r="1064" spans="1:6" x14ac:dyDescent="0.2">
      <c r="A1064" s="275"/>
      <c r="B1064" s="78"/>
      <c r="C1064" s="189"/>
      <c r="D1064" s="185"/>
      <c r="E1064" s="186"/>
      <c r="F1064" s="187"/>
    </row>
    <row r="1065" spans="1:6" x14ac:dyDescent="0.2">
      <c r="A1065" s="275"/>
      <c r="B1065" s="78"/>
      <c r="C1065" s="189"/>
      <c r="D1065" s="185"/>
      <c r="E1065" s="186"/>
      <c r="F1065" s="187"/>
    </row>
    <row r="1066" spans="1:6" x14ac:dyDescent="0.2">
      <c r="A1066" s="275"/>
      <c r="B1066" s="78"/>
      <c r="C1066" s="189"/>
      <c r="D1066" s="185"/>
      <c r="E1066" s="186"/>
      <c r="F1066" s="187"/>
    </row>
    <row r="1067" spans="1:6" x14ac:dyDescent="0.2">
      <c r="A1067" s="275"/>
      <c r="B1067" s="78"/>
      <c r="C1067" s="189"/>
      <c r="D1067" s="185"/>
      <c r="E1067" s="186"/>
      <c r="F1067" s="187"/>
    </row>
    <row r="1068" spans="1:6" x14ac:dyDescent="0.2">
      <c r="A1068" s="275"/>
      <c r="B1068" s="78"/>
      <c r="C1068" s="189"/>
      <c r="D1068" s="185"/>
      <c r="E1068" s="186"/>
      <c r="F1068" s="187"/>
    </row>
    <row r="1069" spans="1:6" x14ac:dyDescent="0.2">
      <c r="A1069" s="275"/>
      <c r="B1069" s="78"/>
      <c r="C1069" s="189"/>
      <c r="D1069" s="185"/>
      <c r="E1069" s="186"/>
      <c r="F1069" s="187"/>
    </row>
    <row r="1070" spans="1:6" x14ac:dyDescent="0.2">
      <c r="A1070" s="275"/>
      <c r="B1070" s="78"/>
      <c r="C1070" s="189"/>
      <c r="D1070" s="185"/>
      <c r="E1070" s="186"/>
      <c r="F1070" s="187"/>
    </row>
    <row r="1071" spans="1:6" x14ac:dyDescent="0.2">
      <c r="A1071" s="275"/>
      <c r="B1071" s="78"/>
      <c r="C1071" s="189"/>
      <c r="D1071" s="185"/>
      <c r="E1071" s="186"/>
      <c r="F1071" s="187"/>
    </row>
    <row r="1072" spans="1:6" x14ac:dyDescent="0.2">
      <c r="A1072" s="275"/>
      <c r="B1072" s="78"/>
      <c r="C1072" s="189"/>
      <c r="D1072" s="185"/>
      <c r="E1072" s="186"/>
      <c r="F1072" s="187"/>
    </row>
    <row r="1073" spans="1:6" x14ac:dyDescent="0.2">
      <c r="A1073" s="275"/>
      <c r="B1073" s="78"/>
      <c r="C1073" s="189"/>
      <c r="D1073" s="185"/>
      <c r="E1073" s="186"/>
      <c r="F1073" s="187"/>
    </row>
    <row r="1074" spans="1:6" x14ac:dyDescent="0.2">
      <c r="A1074" s="275"/>
      <c r="B1074" s="78"/>
      <c r="C1074" s="189"/>
      <c r="D1074" s="185"/>
      <c r="E1074" s="186"/>
      <c r="F1074" s="187"/>
    </row>
    <row r="1075" spans="1:6" x14ac:dyDescent="0.2">
      <c r="A1075" s="275"/>
      <c r="B1075" s="78"/>
      <c r="C1075" s="189"/>
      <c r="D1075" s="185"/>
      <c r="E1075" s="186"/>
      <c r="F1075" s="187"/>
    </row>
    <row r="1076" spans="1:6" x14ac:dyDescent="0.2">
      <c r="A1076" s="275"/>
      <c r="B1076" s="78"/>
      <c r="C1076" s="189"/>
      <c r="D1076" s="185"/>
      <c r="E1076" s="186"/>
      <c r="F1076" s="187"/>
    </row>
    <row r="1077" spans="1:6" x14ac:dyDescent="0.2">
      <c r="A1077" s="275"/>
      <c r="B1077" s="78"/>
      <c r="C1077" s="189"/>
      <c r="D1077" s="185"/>
      <c r="E1077" s="186"/>
      <c r="F1077" s="187"/>
    </row>
    <row r="1078" spans="1:6" x14ac:dyDescent="0.2">
      <c r="A1078" s="275"/>
      <c r="B1078" s="78"/>
      <c r="C1078" s="189"/>
      <c r="D1078" s="185"/>
      <c r="E1078" s="186"/>
      <c r="F1078" s="187"/>
    </row>
    <row r="1079" spans="1:6" x14ac:dyDescent="0.2">
      <c r="A1079" s="275"/>
      <c r="B1079" s="78"/>
      <c r="C1079" s="189"/>
      <c r="D1079" s="185"/>
      <c r="E1079" s="186"/>
      <c r="F1079" s="187"/>
    </row>
    <row r="1080" spans="1:6" x14ac:dyDescent="0.2">
      <c r="A1080" s="275"/>
      <c r="B1080" s="78"/>
      <c r="C1080" s="189"/>
      <c r="D1080" s="185"/>
      <c r="E1080" s="186"/>
      <c r="F1080" s="187"/>
    </row>
    <row r="1081" spans="1:6" x14ac:dyDescent="0.2">
      <c r="A1081" s="275"/>
      <c r="B1081" s="78"/>
      <c r="C1081" s="189"/>
      <c r="D1081" s="185"/>
      <c r="E1081" s="186"/>
      <c r="F1081" s="187"/>
    </row>
    <row r="1082" spans="1:6" x14ac:dyDescent="0.2">
      <c r="A1082" s="275"/>
      <c r="B1082" s="78"/>
      <c r="C1082" s="189"/>
      <c r="D1082" s="185"/>
      <c r="E1082" s="186"/>
      <c r="F1082" s="187"/>
    </row>
    <row r="1083" spans="1:6" x14ac:dyDescent="0.2">
      <c r="A1083" s="275"/>
      <c r="B1083" s="78"/>
      <c r="C1083" s="189"/>
      <c r="D1083" s="185"/>
      <c r="E1083" s="186"/>
      <c r="F1083" s="187"/>
    </row>
    <row r="1084" spans="1:6" x14ac:dyDescent="0.2">
      <c r="A1084" s="275"/>
      <c r="B1084" s="78"/>
      <c r="C1084" s="189"/>
      <c r="D1084" s="185"/>
      <c r="E1084" s="186"/>
      <c r="F1084" s="187"/>
    </row>
    <row r="1085" spans="1:6" x14ac:dyDescent="0.2">
      <c r="A1085" s="275"/>
      <c r="B1085" s="78"/>
      <c r="C1085" s="189"/>
      <c r="D1085" s="185"/>
      <c r="E1085" s="186"/>
      <c r="F1085" s="187"/>
    </row>
    <row r="1086" spans="1:6" x14ac:dyDescent="0.2">
      <c r="A1086" s="275"/>
      <c r="B1086" s="78"/>
      <c r="C1086" s="189"/>
      <c r="D1086" s="185"/>
      <c r="E1086" s="186"/>
      <c r="F1086" s="187"/>
    </row>
    <row r="1087" spans="1:6" x14ac:dyDescent="0.2">
      <c r="A1087" s="275"/>
      <c r="B1087" s="78"/>
      <c r="C1087" s="189"/>
      <c r="D1087" s="185"/>
      <c r="E1087" s="186"/>
      <c r="F1087" s="187"/>
    </row>
    <row r="1088" spans="1:6" x14ac:dyDescent="0.2">
      <c r="A1088" s="275"/>
      <c r="B1088" s="78"/>
      <c r="C1088" s="189"/>
      <c r="D1088" s="185"/>
      <c r="E1088" s="186"/>
      <c r="F1088" s="187"/>
    </row>
    <row r="1089" spans="1:6" x14ac:dyDescent="0.2">
      <c r="A1089" s="275"/>
      <c r="B1089" s="78"/>
      <c r="C1089" s="189"/>
      <c r="D1089" s="185"/>
      <c r="E1089" s="186"/>
      <c r="F1089" s="187"/>
    </row>
    <row r="1090" spans="1:6" x14ac:dyDescent="0.2">
      <c r="A1090" s="275"/>
      <c r="B1090" s="78"/>
      <c r="C1090" s="189"/>
      <c r="D1090" s="185"/>
      <c r="E1090" s="186"/>
      <c r="F1090" s="187"/>
    </row>
    <row r="1091" spans="1:6" x14ac:dyDescent="0.2">
      <c r="A1091" s="275"/>
      <c r="B1091" s="78"/>
      <c r="C1091" s="189"/>
      <c r="D1091" s="185"/>
      <c r="E1091" s="186"/>
      <c r="F1091" s="187"/>
    </row>
    <row r="1092" spans="1:6" x14ac:dyDescent="0.2">
      <c r="A1092" s="275"/>
      <c r="B1092" s="78"/>
      <c r="C1092" s="189"/>
      <c r="D1092" s="185"/>
      <c r="E1092" s="186"/>
      <c r="F1092" s="187"/>
    </row>
    <row r="1093" spans="1:6" x14ac:dyDescent="0.2">
      <c r="A1093" s="275"/>
      <c r="B1093" s="78"/>
      <c r="C1093" s="189"/>
      <c r="D1093" s="185"/>
      <c r="E1093" s="186"/>
      <c r="F1093" s="187"/>
    </row>
    <row r="1094" spans="1:6" x14ac:dyDescent="0.2">
      <c r="A1094" s="275"/>
      <c r="B1094" s="78"/>
      <c r="C1094" s="189"/>
      <c r="D1094" s="185"/>
      <c r="E1094" s="186"/>
      <c r="F1094" s="187"/>
    </row>
    <row r="1095" spans="1:6" x14ac:dyDescent="0.2">
      <c r="A1095" s="275"/>
      <c r="B1095" s="78"/>
      <c r="C1095" s="189"/>
      <c r="D1095" s="185"/>
      <c r="E1095" s="186"/>
      <c r="F1095" s="187"/>
    </row>
    <row r="1096" spans="1:6" x14ac:dyDescent="0.2">
      <c r="A1096" s="275"/>
      <c r="B1096" s="78"/>
      <c r="C1096" s="189"/>
      <c r="D1096" s="185"/>
      <c r="E1096" s="186"/>
      <c r="F1096" s="187"/>
    </row>
    <row r="1097" spans="1:6" x14ac:dyDescent="0.2">
      <c r="A1097" s="275"/>
      <c r="B1097" s="78"/>
      <c r="C1097" s="189"/>
      <c r="D1097" s="185"/>
      <c r="E1097" s="186"/>
      <c r="F1097" s="187"/>
    </row>
    <row r="1098" spans="1:6" x14ac:dyDescent="0.2">
      <c r="A1098" s="275"/>
      <c r="B1098" s="78"/>
      <c r="C1098" s="189"/>
      <c r="D1098" s="185"/>
      <c r="E1098" s="186"/>
      <c r="F1098" s="187"/>
    </row>
    <row r="1099" spans="1:6" x14ac:dyDescent="0.2">
      <c r="A1099" s="275"/>
      <c r="B1099" s="78"/>
      <c r="C1099" s="189"/>
      <c r="D1099" s="185"/>
      <c r="E1099" s="186"/>
      <c r="F1099" s="187"/>
    </row>
    <row r="1100" spans="1:6" x14ac:dyDescent="0.2">
      <c r="A1100" s="275"/>
      <c r="B1100" s="78"/>
      <c r="C1100" s="189"/>
      <c r="D1100" s="185"/>
      <c r="E1100" s="186"/>
      <c r="F1100" s="187"/>
    </row>
    <row r="1101" spans="1:6" x14ac:dyDescent="0.2">
      <c r="A1101" s="275"/>
      <c r="B1101" s="78"/>
      <c r="C1101" s="189"/>
      <c r="D1101" s="185"/>
      <c r="E1101" s="186"/>
      <c r="F1101" s="187"/>
    </row>
    <row r="1102" spans="1:6" x14ac:dyDescent="0.2">
      <c r="A1102" s="275"/>
      <c r="B1102" s="78"/>
      <c r="C1102" s="189"/>
      <c r="D1102" s="185"/>
      <c r="E1102" s="186"/>
      <c r="F1102" s="187"/>
    </row>
    <row r="1103" spans="1:6" x14ac:dyDescent="0.2">
      <c r="A1103" s="275"/>
      <c r="B1103" s="78"/>
      <c r="C1103" s="189"/>
      <c r="D1103" s="185"/>
      <c r="E1103" s="186"/>
      <c r="F1103" s="187"/>
    </row>
    <row r="1104" spans="1:6" x14ac:dyDescent="0.2">
      <c r="A1104" s="275"/>
      <c r="B1104" s="78"/>
      <c r="C1104" s="189"/>
      <c r="D1104" s="185"/>
      <c r="E1104" s="186"/>
      <c r="F1104" s="187"/>
    </row>
    <row r="1105" spans="1:6" x14ac:dyDescent="0.2">
      <c r="A1105" s="275"/>
      <c r="B1105" s="78"/>
      <c r="C1105" s="189"/>
      <c r="D1105" s="185"/>
      <c r="E1105" s="186"/>
      <c r="F1105" s="187"/>
    </row>
    <row r="1106" spans="1:6" x14ac:dyDescent="0.2">
      <c r="A1106" s="275"/>
      <c r="B1106" s="78"/>
      <c r="C1106" s="189"/>
      <c r="D1106" s="185"/>
      <c r="E1106" s="186"/>
      <c r="F1106" s="187"/>
    </row>
    <row r="1107" spans="1:6" x14ac:dyDescent="0.2">
      <c r="A1107" s="275"/>
      <c r="B1107" s="78"/>
      <c r="C1107" s="189"/>
      <c r="D1107" s="185"/>
      <c r="E1107" s="186"/>
      <c r="F1107" s="187"/>
    </row>
    <row r="1108" spans="1:6" x14ac:dyDescent="0.2">
      <c r="A1108" s="275"/>
      <c r="B1108" s="78"/>
      <c r="C1108" s="189"/>
      <c r="D1108" s="185"/>
      <c r="E1108" s="186"/>
      <c r="F1108" s="187"/>
    </row>
    <row r="1109" spans="1:6" x14ac:dyDescent="0.2">
      <c r="A1109" s="275"/>
      <c r="B1109" s="78"/>
      <c r="C1109" s="189"/>
      <c r="D1109" s="185"/>
      <c r="E1109" s="186"/>
      <c r="F1109" s="187"/>
    </row>
    <row r="1110" spans="1:6" x14ac:dyDescent="0.2">
      <c r="A1110" s="275"/>
      <c r="B1110" s="78"/>
      <c r="C1110" s="189"/>
      <c r="D1110" s="185"/>
      <c r="E1110" s="186"/>
      <c r="F1110" s="187"/>
    </row>
    <row r="1111" spans="1:6" x14ac:dyDescent="0.2">
      <c r="A1111" s="275"/>
      <c r="B1111" s="78"/>
      <c r="C1111" s="189"/>
      <c r="D1111" s="185"/>
      <c r="E1111" s="186"/>
      <c r="F1111" s="187"/>
    </row>
    <row r="1112" spans="1:6" x14ac:dyDescent="0.2">
      <c r="A1112" s="275"/>
      <c r="B1112" s="78"/>
      <c r="C1112" s="189"/>
      <c r="D1112" s="185"/>
      <c r="E1112" s="186"/>
      <c r="F1112" s="187"/>
    </row>
    <row r="1113" spans="1:6" x14ac:dyDescent="0.2">
      <c r="A1113" s="275"/>
      <c r="B1113" s="78"/>
      <c r="C1113" s="189"/>
      <c r="D1113" s="185"/>
      <c r="E1113" s="186"/>
      <c r="F1113" s="187"/>
    </row>
    <row r="1114" spans="1:6" x14ac:dyDescent="0.2">
      <c r="A1114" s="275"/>
      <c r="B1114" s="78"/>
      <c r="C1114" s="189"/>
      <c r="D1114" s="185"/>
      <c r="E1114" s="186"/>
      <c r="F1114" s="187"/>
    </row>
    <row r="1115" spans="1:6" x14ac:dyDescent="0.2">
      <c r="A1115" s="275"/>
      <c r="B1115" s="78"/>
      <c r="C1115" s="189"/>
      <c r="D1115" s="185"/>
      <c r="E1115" s="186"/>
      <c r="F1115" s="187"/>
    </row>
    <row r="1116" spans="1:6" x14ac:dyDescent="0.2">
      <c r="A1116" s="275"/>
      <c r="B1116" s="78"/>
      <c r="C1116" s="189"/>
      <c r="D1116" s="185"/>
      <c r="E1116" s="186"/>
      <c r="F1116" s="187"/>
    </row>
    <row r="1117" spans="1:6" x14ac:dyDescent="0.2">
      <c r="A1117" s="275"/>
      <c r="B1117" s="78"/>
      <c r="C1117" s="189"/>
      <c r="D1117" s="185"/>
      <c r="E1117" s="186"/>
      <c r="F1117" s="187"/>
    </row>
    <row r="1118" spans="1:6" x14ac:dyDescent="0.2">
      <c r="A1118" s="275"/>
      <c r="B1118" s="78"/>
      <c r="C1118" s="189"/>
      <c r="D1118" s="185"/>
      <c r="E1118" s="186"/>
      <c r="F1118" s="187"/>
    </row>
    <row r="1119" spans="1:6" x14ac:dyDescent="0.2">
      <c r="A1119" s="275"/>
      <c r="B1119" s="78"/>
      <c r="C1119" s="189"/>
      <c r="D1119" s="185"/>
      <c r="E1119" s="186"/>
      <c r="F1119" s="187"/>
    </row>
    <row r="1120" spans="1:6" x14ac:dyDescent="0.2">
      <c r="A1120" s="275"/>
      <c r="B1120" s="78"/>
      <c r="C1120" s="189"/>
      <c r="D1120" s="185"/>
      <c r="E1120" s="186"/>
      <c r="F1120" s="187"/>
    </row>
    <row r="1121" spans="1:6" x14ac:dyDescent="0.2">
      <c r="A1121" s="275"/>
      <c r="B1121" s="78"/>
      <c r="C1121" s="189"/>
      <c r="D1121" s="185"/>
      <c r="E1121" s="186"/>
      <c r="F1121" s="187"/>
    </row>
    <row r="1122" spans="1:6" x14ac:dyDescent="0.2">
      <c r="A1122" s="275"/>
      <c r="B1122" s="78"/>
      <c r="C1122" s="189"/>
      <c r="D1122" s="185"/>
      <c r="E1122" s="186"/>
      <c r="F1122" s="187"/>
    </row>
    <row r="1123" spans="1:6" x14ac:dyDescent="0.2">
      <c r="A1123" s="275"/>
      <c r="B1123" s="78"/>
      <c r="C1123" s="189"/>
      <c r="D1123" s="185"/>
      <c r="E1123" s="186"/>
      <c r="F1123" s="187"/>
    </row>
    <row r="1124" spans="1:6" x14ac:dyDescent="0.2">
      <c r="A1124" s="275"/>
      <c r="B1124" s="78"/>
      <c r="C1124" s="189"/>
      <c r="D1124" s="185"/>
      <c r="E1124" s="186"/>
      <c r="F1124" s="187"/>
    </row>
    <row r="1125" spans="1:6" x14ac:dyDescent="0.2">
      <c r="A1125" s="275"/>
      <c r="B1125" s="78"/>
      <c r="C1125" s="189"/>
      <c r="D1125" s="185"/>
      <c r="E1125" s="186"/>
      <c r="F1125" s="187"/>
    </row>
    <row r="1126" spans="1:6" x14ac:dyDescent="0.2">
      <c r="A1126" s="275"/>
      <c r="B1126" s="78"/>
      <c r="C1126" s="189"/>
      <c r="D1126" s="185"/>
      <c r="E1126" s="186"/>
      <c r="F1126" s="187"/>
    </row>
    <row r="1127" spans="1:6" x14ac:dyDescent="0.2">
      <c r="A1127" s="275"/>
      <c r="B1127" s="78"/>
      <c r="C1127" s="189"/>
      <c r="D1127" s="185"/>
      <c r="E1127" s="186"/>
      <c r="F1127" s="187"/>
    </row>
    <row r="1128" spans="1:6" x14ac:dyDescent="0.2">
      <c r="A1128" s="275"/>
      <c r="B1128" s="78"/>
      <c r="C1128" s="189"/>
      <c r="D1128" s="185"/>
      <c r="E1128" s="186"/>
      <c r="F1128" s="187"/>
    </row>
    <row r="1129" spans="1:6" x14ac:dyDescent="0.2">
      <c r="A1129" s="275"/>
      <c r="B1129" s="78"/>
      <c r="C1129" s="189"/>
      <c r="D1129" s="185"/>
      <c r="E1129" s="186"/>
      <c r="F1129" s="187"/>
    </row>
    <row r="1130" spans="1:6" x14ac:dyDescent="0.2">
      <c r="A1130" s="275"/>
      <c r="B1130" s="78"/>
      <c r="C1130" s="189"/>
      <c r="D1130" s="185"/>
      <c r="E1130" s="186"/>
      <c r="F1130" s="187"/>
    </row>
    <row r="1131" spans="1:6" x14ac:dyDescent="0.2">
      <c r="A1131" s="275"/>
      <c r="B1131" s="78"/>
      <c r="C1131" s="189"/>
      <c r="D1131" s="185"/>
      <c r="E1131" s="186"/>
      <c r="F1131" s="187"/>
    </row>
    <row r="1132" spans="1:6" x14ac:dyDescent="0.2">
      <c r="A1132" s="275"/>
      <c r="B1132" s="78"/>
      <c r="C1132" s="189"/>
      <c r="D1132" s="185"/>
      <c r="E1132" s="186"/>
      <c r="F1132" s="187"/>
    </row>
    <row r="1133" spans="1:6" x14ac:dyDescent="0.2">
      <c r="A1133" s="275"/>
      <c r="B1133" s="78"/>
      <c r="C1133" s="189"/>
      <c r="D1133" s="185"/>
      <c r="E1133" s="186"/>
      <c r="F1133" s="187"/>
    </row>
    <row r="1134" spans="1:6" x14ac:dyDescent="0.2">
      <c r="A1134" s="275"/>
      <c r="B1134" s="78"/>
      <c r="C1134" s="189"/>
      <c r="D1134" s="185"/>
      <c r="E1134" s="186"/>
      <c r="F1134" s="187"/>
    </row>
    <row r="1135" spans="1:6" x14ac:dyDescent="0.2">
      <c r="A1135" s="275"/>
      <c r="B1135" s="78"/>
      <c r="C1135" s="189"/>
      <c r="D1135" s="185"/>
      <c r="E1135" s="186"/>
      <c r="F1135" s="187"/>
    </row>
    <row r="1136" spans="1:6" x14ac:dyDescent="0.2">
      <c r="A1136" s="275"/>
      <c r="B1136" s="78"/>
      <c r="C1136" s="189"/>
      <c r="D1136" s="185"/>
      <c r="E1136" s="186"/>
      <c r="F1136" s="187"/>
    </row>
    <row r="1137" spans="1:6" x14ac:dyDescent="0.2">
      <c r="A1137" s="275"/>
      <c r="B1137" s="78"/>
      <c r="C1137" s="189"/>
      <c r="D1137" s="185"/>
      <c r="E1137" s="186"/>
      <c r="F1137" s="187"/>
    </row>
    <row r="1138" spans="1:6" x14ac:dyDescent="0.2">
      <c r="A1138" s="275"/>
      <c r="B1138" s="78"/>
      <c r="C1138" s="189"/>
      <c r="D1138" s="185"/>
      <c r="E1138" s="186"/>
      <c r="F1138" s="187"/>
    </row>
    <row r="1139" spans="1:6" x14ac:dyDescent="0.2">
      <c r="A1139" s="275"/>
      <c r="B1139" s="78"/>
      <c r="C1139" s="189"/>
      <c r="D1139" s="185"/>
      <c r="E1139" s="186"/>
      <c r="F1139" s="187"/>
    </row>
    <row r="1140" spans="1:6" x14ac:dyDescent="0.2">
      <c r="A1140" s="275"/>
      <c r="B1140" s="78"/>
      <c r="C1140" s="189"/>
      <c r="D1140" s="185"/>
      <c r="E1140" s="186"/>
      <c r="F1140" s="187"/>
    </row>
    <row r="1141" spans="1:6" x14ac:dyDescent="0.2">
      <c r="A1141" s="275"/>
      <c r="B1141" s="78"/>
      <c r="C1141" s="189"/>
      <c r="D1141" s="185"/>
      <c r="E1141" s="186"/>
      <c r="F1141" s="187"/>
    </row>
    <row r="1142" spans="1:6" x14ac:dyDescent="0.2">
      <c r="A1142" s="275"/>
      <c r="B1142" s="78"/>
      <c r="C1142" s="189"/>
      <c r="D1142" s="185"/>
      <c r="E1142" s="186"/>
      <c r="F1142" s="187"/>
    </row>
    <row r="1143" spans="1:6" x14ac:dyDescent="0.2">
      <c r="A1143" s="275"/>
      <c r="B1143" s="78"/>
      <c r="C1143" s="189"/>
      <c r="D1143" s="185"/>
      <c r="E1143" s="186"/>
      <c r="F1143" s="187"/>
    </row>
    <row r="1144" spans="1:6" x14ac:dyDescent="0.2">
      <c r="A1144" s="275"/>
      <c r="B1144" s="78"/>
      <c r="C1144" s="189"/>
      <c r="D1144" s="185"/>
      <c r="E1144" s="186"/>
      <c r="F1144" s="187"/>
    </row>
    <row r="1145" spans="1:6" x14ac:dyDescent="0.2">
      <c r="A1145" s="275"/>
      <c r="B1145" s="78"/>
      <c r="C1145" s="189"/>
      <c r="D1145" s="185"/>
      <c r="E1145" s="186"/>
      <c r="F1145" s="187"/>
    </row>
    <row r="1146" spans="1:6" x14ac:dyDescent="0.2">
      <c r="A1146" s="275"/>
      <c r="B1146" s="78"/>
      <c r="C1146" s="189"/>
      <c r="D1146" s="185"/>
      <c r="E1146" s="186"/>
      <c r="F1146" s="187"/>
    </row>
    <row r="1147" spans="1:6" x14ac:dyDescent="0.2">
      <c r="A1147" s="275"/>
      <c r="B1147" s="78"/>
      <c r="C1147" s="189"/>
      <c r="D1147" s="185"/>
      <c r="E1147" s="186"/>
      <c r="F1147" s="187"/>
    </row>
    <row r="1148" spans="1:6" x14ac:dyDescent="0.2">
      <c r="A1148" s="275"/>
      <c r="B1148" s="78"/>
      <c r="C1148" s="189"/>
      <c r="D1148" s="185"/>
      <c r="E1148" s="186"/>
      <c r="F1148" s="187"/>
    </row>
    <row r="1149" spans="1:6" x14ac:dyDescent="0.2">
      <c r="A1149" s="275"/>
      <c r="B1149" s="78"/>
      <c r="C1149" s="189"/>
      <c r="D1149" s="185"/>
      <c r="E1149" s="186"/>
      <c r="F1149" s="187"/>
    </row>
    <row r="1150" spans="1:6" x14ac:dyDescent="0.2">
      <c r="A1150" s="275"/>
      <c r="B1150" s="78"/>
      <c r="C1150" s="189"/>
      <c r="D1150" s="185"/>
      <c r="E1150" s="186"/>
      <c r="F1150" s="187"/>
    </row>
    <row r="1151" spans="1:6" x14ac:dyDescent="0.2">
      <c r="A1151" s="275"/>
      <c r="B1151" s="78"/>
      <c r="C1151" s="189"/>
      <c r="D1151" s="185"/>
      <c r="E1151" s="186"/>
      <c r="F1151" s="187"/>
    </row>
    <row r="1152" spans="1:6" x14ac:dyDescent="0.2">
      <c r="A1152" s="275"/>
      <c r="B1152" s="78"/>
      <c r="C1152" s="189"/>
      <c r="D1152" s="185"/>
      <c r="E1152" s="186"/>
      <c r="F1152" s="187"/>
    </row>
    <row r="1153" spans="1:6" x14ac:dyDescent="0.2">
      <c r="A1153" s="275"/>
      <c r="B1153" s="78"/>
      <c r="C1153" s="189"/>
      <c r="D1153" s="185"/>
      <c r="E1153" s="186"/>
      <c r="F1153" s="187"/>
    </row>
    <row r="1154" spans="1:6" x14ac:dyDescent="0.2">
      <c r="A1154" s="275"/>
      <c r="B1154" s="78"/>
      <c r="C1154" s="189"/>
      <c r="D1154" s="185"/>
      <c r="E1154" s="186"/>
      <c r="F1154" s="187"/>
    </row>
    <row r="1155" spans="1:6" x14ac:dyDescent="0.2">
      <c r="A1155" s="275"/>
      <c r="B1155" s="78"/>
      <c r="C1155" s="189"/>
      <c r="D1155" s="185"/>
      <c r="E1155" s="186"/>
      <c r="F1155" s="187"/>
    </row>
    <row r="1156" spans="1:6" x14ac:dyDescent="0.2">
      <c r="A1156" s="275"/>
      <c r="B1156" s="78"/>
      <c r="C1156" s="189"/>
      <c r="D1156" s="185"/>
      <c r="E1156" s="186"/>
      <c r="F1156" s="187"/>
    </row>
    <row r="1157" spans="1:6" x14ac:dyDescent="0.2">
      <c r="A1157" s="275"/>
      <c r="B1157" s="78"/>
      <c r="C1157" s="189"/>
      <c r="D1157" s="185"/>
      <c r="E1157" s="186"/>
      <c r="F1157" s="187"/>
    </row>
    <row r="1158" spans="1:6" x14ac:dyDescent="0.2">
      <c r="A1158" s="275"/>
      <c r="B1158" s="78"/>
      <c r="C1158" s="189"/>
      <c r="D1158" s="185"/>
      <c r="E1158" s="186"/>
      <c r="F1158" s="187"/>
    </row>
    <row r="1159" spans="1:6" x14ac:dyDescent="0.2">
      <c r="A1159" s="275"/>
      <c r="B1159" s="78"/>
      <c r="C1159" s="189"/>
      <c r="D1159" s="185"/>
      <c r="E1159" s="186"/>
      <c r="F1159" s="187"/>
    </row>
    <row r="1160" spans="1:6" x14ac:dyDescent="0.2">
      <c r="A1160" s="275"/>
      <c r="B1160" s="78"/>
      <c r="C1160" s="189"/>
      <c r="D1160" s="185"/>
      <c r="E1160" s="186"/>
      <c r="F1160" s="187"/>
    </row>
    <row r="1161" spans="1:6" x14ac:dyDescent="0.2">
      <c r="A1161" s="275"/>
      <c r="B1161" s="78"/>
      <c r="C1161" s="189"/>
      <c r="D1161" s="185"/>
      <c r="E1161" s="186"/>
      <c r="F1161" s="187"/>
    </row>
    <row r="1162" spans="1:6" x14ac:dyDescent="0.2">
      <c r="A1162" s="275"/>
      <c r="B1162" s="78"/>
      <c r="C1162" s="189"/>
      <c r="D1162" s="185"/>
      <c r="E1162" s="186"/>
      <c r="F1162" s="187"/>
    </row>
    <row r="1163" spans="1:6" x14ac:dyDescent="0.2">
      <c r="A1163" s="275"/>
      <c r="B1163" s="78"/>
      <c r="C1163" s="189"/>
      <c r="D1163" s="185"/>
      <c r="E1163" s="186"/>
      <c r="F1163" s="187"/>
    </row>
    <row r="1164" spans="1:6" x14ac:dyDescent="0.2">
      <c r="A1164" s="275"/>
      <c r="B1164" s="78"/>
      <c r="C1164" s="189"/>
      <c r="D1164" s="185"/>
      <c r="E1164" s="186"/>
      <c r="F1164" s="187"/>
    </row>
    <row r="1165" spans="1:6" x14ac:dyDescent="0.2">
      <c r="A1165" s="275"/>
      <c r="B1165" s="78"/>
      <c r="C1165" s="189"/>
      <c r="D1165" s="185"/>
      <c r="E1165" s="186"/>
      <c r="F1165" s="187"/>
    </row>
    <row r="1166" spans="1:6" x14ac:dyDescent="0.2">
      <c r="A1166" s="275"/>
      <c r="B1166" s="78"/>
      <c r="C1166" s="189"/>
      <c r="D1166" s="185"/>
      <c r="E1166" s="186"/>
      <c r="F1166" s="187"/>
    </row>
    <row r="1167" spans="1:6" x14ac:dyDescent="0.2">
      <c r="A1167" s="275"/>
      <c r="B1167" s="78"/>
      <c r="C1167" s="189"/>
      <c r="D1167" s="185"/>
      <c r="E1167" s="186"/>
      <c r="F1167" s="187"/>
    </row>
    <row r="1168" spans="1:6" x14ac:dyDescent="0.2">
      <c r="A1168" s="275"/>
      <c r="B1168" s="78"/>
      <c r="C1168" s="189"/>
      <c r="D1168" s="185"/>
      <c r="E1168" s="186"/>
      <c r="F1168" s="187"/>
    </row>
    <row r="1169" spans="1:6" x14ac:dyDescent="0.2">
      <c r="A1169" s="275"/>
      <c r="B1169" s="78"/>
      <c r="C1169" s="189"/>
      <c r="D1169" s="185"/>
      <c r="E1169" s="186"/>
      <c r="F1169" s="187"/>
    </row>
    <row r="1170" spans="1:6" x14ac:dyDescent="0.2">
      <c r="A1170" s="275"/>
      <c r="B1170" s="78"/>
      <c r="C1170" s="189"/>
      <c r="D1170" s="185"/>
      <c r="E1170" s="186"/>
      <c r="F1170" s="187"/>
    </row>
    <row r="1171" spans="1:6" x14ac:dyDescent="0.2">
      <c r="A1171" s="275"/>
      <c r="B1171" s="78"/>
      <c r="C1171" s="189"/>
      <c r="D1171" s="185"/>
      <c r="E1171" s="186"/>
      <c r="F1171" s="187"/>
    </row>
    <row r="1172" spans="1:6" x14ac:dyDescent="0.2">
      <c r="A1172" s="275"/>
      <c r="B1172" s="78"/>
      <c r="C1172" s="189"/>
      <c r="D1172" s="185"/>
      <c r="E1172" s="186"/>
      <c r="F1172" s="187"/>
    </row>
    <row r="1173" spans="1:6" x14ac:dyDescent="0.2">
      <c r="A1173" s="275"/>
      <c r="B1173" s="78"/>
      <c r="C1173" s="189"/>
      <c r="D1173" s="185"/>
      <c r="E1173" s="186"/>
      <c r="F1173" s="187"/>
    </row>
    <row r="1174" spans="1:6" x14ac:dyDescent="0.2">
      <c r="A1174" s="275"/>
      <c r="B1174" s="78"/>
      <c r="C1174" s="189"/>
      <c r="D1174" s="185"/>
      <c r="E1174" s="186"/>
      <c r="F1174" s="187"/>
    </row>
    <row r="1175" spans="1:6" x14ac:dyDescent="0.2">
      <c r="A1175" s="275"/>
      <c r="B1175" s="78"/>
      <c r="C1175" s="189"/>
      <c r="D1175" s="185"/>
      <c r="E1175" s="186"/>
      <c r="F1175" s="187"/>
    </row>
    <row r="1176" spans="1:6" x14ac:dyDescent="0.2">
      <c r="A1176" s="275"/>
      <c r="B1176" s="78"/>
      <c r="C1176" s="189"/>
      <c r="D1176" s="185"/>
      <c r="E1176" s="186"/>
      <c r="F1176" s="187"/>
    </row>
    <row r="1177" spans="1:6" x14ac:dyDescent="0.2">
      <c r="A1177" s="275"/>
      <c r="B1177" s="78"/>
      <c r="C1177" s="189"/>
      <c r="D1177" s="185"/>
      <c r="E1177" s="186"/>
      <c r="F1177" s="187"/>
    </row>
    <row r="1178" spans="1:6" x14ac:dyDescent="0.2">
      <c r="A1178" s="275"/>
      <c r="B1178" s="78"/>
      <c r="C1178" s="189"/>
      <c r="D1178" s="185"/>
      <c r="E1178" s="186"/>
      <c r="F1178" s="187"/>
    </row>
    <row r="1179" spans="1:6" x14ac:dyDescent="0.2">
      <c r="A1179" s="275"/>
      <c r="B1179" s="78"/>
      <c r="C1179" s="189"/>
      <c r="D1179" s="185"/>
      <c r="E1179" s="186"/>
      <c r="F1179" s="187"/>
    </row>
    <row r="1180" spans="1:6" x14ac:dyDescent="0.2">
      <c r="A1180" s="275"/>
      <c r="B1180" s="78"/>
      <c r="C1180" s="189"/>
      <c r="D1180" s="185"/>
      <c r="E1180" s="186"/>
      <c r="F1180" s="187"/>
    </row>
    <row r="1181" spans="1:6" x14ac:dyDescent="0.2">
      <c r="A1181" s="275"/>
      <c r="B1181" s="78"/>
      <c r="C1181" s="189"/>
      <c r="D1181" s="185"/>
      <c r="E1181" s="186"/>
      <c r="F1181" s="187"/>
    </row>
    <row r="1182" spans="1:6" x14ac:dyDescent="0.2">
      <c r="A1182" s="275"/>
      <c r="B1182" s="78"/>
      <c r="C1182" s="189"/>
      <c r="D1182" s="185"/>
      <c r="E1182" s="186"/>
      <c r="F1182" s="187"/>
    </row>
    <row r="1183" spans="1:6" x14ac:dyDescent="0.2">
      <c r="A1183" s="275"/>
      <c r="B1183" s="78"/>
      <c r="C1183" s="189"/>
      <c r="D1183" s="185"/>
      <c r="E1183" s="186"/>
      <c r="F1183" s="187"/>
    </row>
    <row r="1184" spans="1:6" x14ac:dyDescent="0.2">
      <c r="A1184" s="275"/>
      <c r="B1184" s="78"/>
      <c r="C1184" s="189"/>
      <c r="D1184" s="185"/>
      <c r="E1184" s="186"/>
      <c r="F1184" s="187"/>
    </row>
    <row r="1185" spans="1:6" x14ac:dyDescent="0.2">
      <c r="A1185" s="275"/>
      <c r="B1185" s="78"/>
      <c r="C1185" s="189"/>
      <c r="D1185" s="185"/>
      <c r="E1185" s="186"/>
      <c r="F1185" s="187"/>
    </row>
    <row r="1186" spans="1:6" x14ac:dyDescent="0.2">
      <c r="A1186" s="275"/>
      <c r="B1186" s="78"/>
      <c r="C1186" s="189"/>
      <c r="D1186" s="185"/>
      <c r="E1186" s="186"/>
      <c r="F1186" s="187"/>
    </row>
    <row r="1187" spans="1:6" x14ac:dyDescent="0.2">
      <c r="A1187" s="275"/>
      <c r="B1187" s="78"/>
      <c r="C1187" s="189"/>
      <c r="D1187" s="185"/>
      <c r="E1187" s="186"/>
      <c r="F1187" s="187"/>
    </row>
    <row r="1188" spans="1:6" x14ac:dyDescent="0.2">
      <c r="A1188" s="275"/>
      <c r="B1188" s="78"/>
      <c r="C1188" s="189"/>
      <c r="D1188" s="185"/>
      <c r="E1188" s="186"/>
      <c r="F1188" s="187"/>
    </row>
    <row r="1189" spans="1:6" x14ac:dyDescent="0.2">
      <c r="A1189" s="275"/>
      <c r="B1189" s="78"/>
      <c r="C1189" s="189"/>
      <c r="D1189" s="185"/>
      <c r="E1189" s="186"/>
      <c r="F1189" s="187"/>
    </row>
    <row r="1190" spans="1:6" x14ac:dyDescent="0.2">
      <c r="A1190" s="275"/>
      <c r="B1190" s="78"/>
      <c r="C1190" s="189"/>
      <c r="D1190" s="185"/>
      <c r="E1190" s="186"/>
      <c r="F1190" s="187"/>
    </row>
    <row r="1191" spans="1:6" x14ac:dyDescent="0.2">
      <c r="A1191" s="275"/>
      <c r="B1191" s="78"/>
      <c r="C1191" s="189"/>
      <c r="D1191" s="185"/>
      <c r="E1191" s="186"/>
      <c r="F1191" s="187"/>
    </row>
    <row r="1192" spans="1:6" x14ac:dyDescent="0.2">
      <c r="A1192" s="275"/>
      <c r="B1192" s="78"/>
      <c r="C1192" s="189"/>
      <c r="D1192" s="185"/>
      <c r="E1192" s="186"/>
      <c r="F1192" s="187"/>
    </row>
    <row r="1193" spans="1:6" x14ac:dyDescent="0.2">
      <c r="A1193" s="275"/>
      <c r="B1193" s="78"/>
      <c r="C1193" s="189"/>
      <c r="D1193" s="185"/>
      <c r="E1193" s="186"/>
      <c r="F1193" s="187"/>
    </row>
    <row r="1194" spans="1:6" x14ac:dyDescent="0.2">
      <c r="A1194" s="275"/>
      <c r="B1194" s="78"/>
      <c r="C1194" s="189"/>
      <c r="D1194" s="185"/>
      <c r="E1194" s="186"/>
      <c r="F1194" s="187"/>
    </row>
    <row r="1195" spans="1:6" x14ac:dyDescent="0.2">
      <c r="A1195" s="275"/>
      <c r="B1195" s="78"/>
      <c r="C1195" s="189"/>
      <c r="D1195" s="185"/>
      <c r="E1195" s="186"/>
      <c r="F1195" s="187"/>
    </row>
    <row r="1196" spans="1:6" x14ac:dyDescent="0.2">
      <c r="A1196" s="275"/>
      <c r="B1196" s="78"/>
      <c r="C1196" s="189"/>
      <c r="D1196" s="185"/>
      <c r="E1196" s="186"/>
      <c r="F1196" s="187"/>
    </row>
    <row r="1197" spans="1:6" x14ac:dyDescent="0.2">
      <c r="A1197" s="275"/>
      <c r="B1197" s="78"/>
      <c r="C1197" s="189"/>
      <c r="D1197" s="185"/>
      <c r="E1197" s="186"/>
      <c r="F1197" s="187"/>
    </row>
    <row r="1198" spans="1:6" x14ac:dyDescent="0.2">
      <c r="A1198" s="275"/>
      <c r="B1198" s="78"/>
      <c r="C1198" s="189"/>
      <c r="D1198" s="185"/>
      <c r="E1198" s="186"/>
      <c r="F1198" s="187"/>
    </row>
    <row r="1199" spans="1:6" x14ac:dyDescent="0.2">
      <c r="A1199" s="275"/>
      <c r="B1199" s="78"/>
      <c r="C1199" s="189"/>
      <c r="D1199" s="185"/>
      <c r="E1199" s="186"/>
      <c r="F1199" s="187"/>
    </row>
    <row r="1200" spans="1:6" x14ac:dyDescent="0.2">
      <c r="A1200" s="275"/>
      <c r="B1200" s="78"/>
      <c r="C1200" s="189"/>
      <c r="D1200" s="185"/>
      <c r="E1200" s="186"/>
      <c r="F1200" s="187"/>
    </row>
    <row r="1201" spans="1:6" x14ac:dyDescent="0.2">
      <c r="A1201" s="275"/>
      <c r="B1201" s="78"/>
      <c r="C1201" s="189"/>
      <c r="D1201" s="185"/>
      <c r="E1201" s="186"/>
      <c r="F1201" s="187"/>
    </row>
    <row r="1202" spans="1:6" x14ac:dyDescent="0.2">
      <c r="A1202" s="275"/>
      <c r="B1202" s="78"/>
      <c r="C1202" s="189"/>
      <c r="D1202" s="185"/>
      <c r="E1202" s="186"/>
      <c r="F1202" s="187"/>
    </row>
    <row r="1203" spans="1:6" x14ac:dyDescent="0.2">
      <c r="A1203" s="275"/>
      <c r="B1203" s="78"/>
      <c r="C1203" s="189"/>
      <c r="D1203" s="185"/>
      <c r="E1203" s="186"/>
      <c r="F1203" s="187"/>
    </row>
    <row r="1204" spans="1:6" x14ac:dyDescent="0.2">
      <c r="A1204" s="275"/>
      <c r="B1204" s="78"/>
      <c r="C1204" s="189"/>
      <c r="D1204" s="185"/>
      <c r="E1204" s="186"/>
      <c r="F1204" s="187"/>
    </row>
    <row r="1205" spans="1:6" x14ac:dyDescent="0.2">
      <c r="A1205" s="275"/>
      <c r="B1205" s="78"/>
      <c r="C1205" s="189"/>
      <c r="D1205" s="185"/>
      <c r="E1205" s="186"/>
      <c r="F1205" s="187"/>
    </row>
    <row r="1206" spans="1:6" x14ac:dyDescent="0.2">
      <c r="A1206" s="275"/>
      <c r="B1206" s="78"/>
      <c r="C1206" s="189"/>
      <c r="D1206" s="185"/>
      <c r="E1206" s="186"/>
      <c r="F1206" s="187"/>
    </row>
    <row r="1207" spans="1:6" x14ac:dyDescent="0.2">
      <c r="A1207" s="275"/>
      <c r="B1207" s="78"/>
      <c r="C1207" s="189"/>
      <c r="D1207" s="185"/>
      <c r="E1207" s="186"/>
      <c r="F1207" s="187"/>
    </row>
    <row r="1208" spans="1:6" x14ac:dyDescent="0.2">
      <c r="A1208" s="275"/>
      <c r="B1208" s="78"/>
      <c r="C1208" s="189"/>
      <c r="D1208" s="185"/>
      <c r="E1208" s="186"/>
      <c r="F1208" s="187"/>
    </row>
    <row r="1209" spans="1:6" x14ac:dyDescent="0.2">
      <c r="A1209" s="275"/>
      <c r="B1209" s="78"/>
      <c r="C1209" s="189"/>
      <c r="D1209" s="185"/>
      <c r="E1209" s="186"/>
      <c r="F1209" s="187"/>
    </row>
    <row r="1210" spans="1:6" x14ac:dyDescent="0.2">
      <c r="A1210" s="275"/>
      <c r="B1210" s="78"/>
      <c r="C1210" s="189"/>
      <c r="D1210" s="185"/>
      <c r="E1210" s="186"/>
      <c r="F1210" s="187"/>
    </row>
    <row r="1211" spans="1:6" x14ac:dyDescent="0.2">
      <c r="A1211" s="275"/>
      <c r="B1211" s="78"/>
      <c r="C1211" s="189"/>
      <c r="D1211" s="185"/>
      <c r="E1211" s="186"/>
      <c r="F1211" s="187"/>
    </row>
    <row r="1212" spans="1:6" x14ac:dyDescent="0.2">
      <c r="A1212" s="275"/>
      <c r="B1212" s="78"/>
      <c r="C1212" s="189"/>
      <c r="D1212" s="185"/>
      <c r="E1212" s="186"/>
      <c r="F1212" s="187"/>
    </row>
    <row r="1213" spans="1:6" x14ac:dyDescent="0.2">
      <c r="A1213" s="275"/>
      <c r="B1213" s="78"/>
      <c r="C1213" s="189"/>
      <c r="D1213" s="185"/>
      <c r="E1213" s="186"/>
      <c r="F1213" s="187"/>
    </row>
    <row r="1214" spans="1:6" x14ac:dyDescent="0.2">
      <c r="A1214" s="275"/>
      <c r="B1214" s="78"/>
      <c r="C1214" s="189"/>
      <c r="D1214" s="185"/>
      <c r="E1214" s="186"/>
      <c r="F1214" s="187"/>
    </row>
    <row r="1215" spans="1:6" x14ac:dyDescent="0.2">
      <c r="A1215" s="275"/>
      <c r="B1215" s="78"/>
      <c r="C1215" s="189"/>
      <c r="D1215" s="185"/>
      <c r="E1215" s="186"/>
      <c r="F1215" s="187"/>
    </row>
    <row r="1216" spans="1:6" x14ac:dyDescent="0.2">
      <c r="A1216" s="275"/>
      <c r="B1216" s="78"/>
      <c r="C1216" s="189"/>
      <c r="D1216" s="185"/>
      <c r="E1216" s="186"/>
      <c r="F1216" s="187"/>
    </row>
    <row r="1217" spans="1:6" x14ac:dyDescent="0.2">
      <c r="A1217" s="275"/>
      <c r="B1217" s="78"/>
      <c r="C1217" s="189"/>
      <c r="D1217" s="185"/>
      <c r="E1217" s="186"/>
      <c r="F1217" s="187"/>
    </row>
    <row r="1218" spans="1:6" x14ac:dyDescent="0.2">
      <c r="A1218" s="275"/>
      <c r="B1218" s="78"/>
      <c r="C1218" s="189"/>
      <c r="D1218" s="185"/>
      <c r="E1218" s="186"/>
      <c r="F1218" s="187"/>
    </row>
    <row r="1219" spans="1:6" x14ac:dyDescent="0.2">
      <c r="A1219" s="275"/>
      <c r="B1219" s="78"/>
      <c r="C1219" s="189"/>
      <c r="D1219" s="185"/>
      <c r="E1219" s="186"/>
      <c r="F1219" s="187"/>
    </row>
    <row r="1220" spans="1:6" x14ac:dyDescent="0.2">
      <c r="A1220" s="275"/>
      <c r="B1220" s="78"/>
      <c r="C1220" s="189"/>
      <c r="D1220" s="185"/>
      <c r="E1220" s="186"/>
      <c r="F1220" s="187"/>
    </row>
    <row r="1221" spans="1:6" x14ac:dyDescent="0.2">
      <c r="A1221" s="275"/>
      <c r="B1221" s="78"/>
      <c r="C1221" s="189"/>
      <c r="D1221" s="185"/>
      <c r="E1221" s="186"/>
      <c r="F1221" s="187"/>
    </row>
    <row r="1222" spans="1:6" x14ac:dyDescent="0.2">
      <c r="A1222" s="275"/>
      <c r="B1222" s="78"/>
      <c r="C1222" s="189"/>
      <c r="D1222" s="185"/>
      <c r="E1222" s="186"/>
      <c r="F1222" s="187"/>
    </row>
    <row r="1223" spans="1:6" x14ac:dyDescent="0.2">
      <c r="A1223" s="275"/>
      <c r="B1223" s="78"/>
      <c r="C1223" s="189"/>
      <c r="D1223" s="185"/>
      <c r="E1223" s="186"/>
      <c r="F1223" s="187"/>
    </row>
    <row r="1224" spans="1:6" x14ac:dyDescent="0.2">
      <c r="A1224" s="275"/>
      <c r="B1224" s="78"/>
      <c r="C1224" s="189"/>
      <c r="D1224" s="185"/>
      <c r="E1224" s="186"/>
      <c r="F1224" s="187"/>
    </row>
    <row r="1225" spans="1:6" x14ac:dyDescent="0.2">
      <c r="A1225" s="275"/>
      <c r="B1225" s="78"/>
      <c r="C1225" s="189"/>
      <c r="D1225" s="185"/>
      <c r="E1225" s="186"/>
      <c r="F1225" s="187"/>
    </row>
    <row r="1226" spans="1:6" x14ac:dyDescent="0.2">
      <c r="A1226" s="275"/>
      <c r="B1226" s="78"/>
      <c r="C1226" s="189"/>
      <c r="D1226" s="185"/>
      <c r="E1226" s="186"/>
      <c r="F1226" s="187"/>
    </row>
    <row r="1227" spans="1:6" x14ac:dyDescent="0.2">
      <c r="A1227" s="275"/>
      <c r="B1227" s="78"/>
      <c r="C1227" s="189"/>
      <c r="D1227" s="185"/>
      <c r="E1227" s="186"/>
      <c r="F1227" s="187"/>
    </row>
    <row r="1228" spans="1:6" x14ac:dyDescent="0.2">
      <c r="A1228" s="275"/>
      <c r="B1228" s="78"/>
      <c r="C1228" s="189"/>
      <c r="D1228" s="185"/>
      <c r="E1228" s="186"/>
      <c r="F1228" s="187"/>
    </row>
    <row r="1229" spans="1:6" x14ac:dyDescent="0.2">
      <c r="A1229" s="275"/>
      <c r="B1229" s="78"/>
      <c r="C1229" s="189"/>
      <c r="D1229" s="185"/>
      <c r="E1229" s="186"/>
      <c r="F1229" s="187"/>
    </row>
    <row r="1230" spans="1:6" x14ac:dyDescent="0.2">
      <c r="A1230" s="275"/>
      <c r="B1230" s="78"/>
      <c r="C1230" s="189"/>
      <c r="D1230" s="185"/>
      <c r="E1230" s="186"/>
      <c r="F1230" s="187"/>
    </row>
    <row r="1231" spans="1:6" x14ac:dyDescent="0.2">
      <c r="A1231" s="275"/>
      <c r="B1231" s="78"/>
      <c r="C1231" s="189"/>
      <c r="D1231" s="185"/>
      <c r="E1231" s="186"/>
      <c r="F1231" s="187"/>
    </row>
    <row r="1232" spans="1:6" x14ac:dyDescent="0.2">
      <c r="A1232" s="275"/>
      <c r="B1232" s="78"/>
      <c r="C1232" s="189"/>
      <c r="D1232" s="185"/>
      <c r="E1232" s="186"/>
      <c r="F1232" s="187"/>
    </row>
    <row r="1233" spans="1:6" x14ac:dyDescent="0.2">
      <c r="A1233" s="275"/>
      <c r="B1233" s="78"/>
      <c r="C1233" s="189"/>
      <c r="D1233" s="185"/>
      <c r="E1233" s="186"/>
      <c r="F1233" s="187"/>
    </row>
    <row r="1234" spans="1:6" x14ac:dyDescent="0.2">
      <c r="A1234" s="275"/>
      <c r="B1234" s="78"/>
      <c r="C1234" s="189"/>
      <c r="D1234" s="185"/>
      <c r="E1234" s="186"/>
      <c r="F1234" s="187"/>
    </row>
    <row r="1235" spans="1:6" x14ac:dyDescent="0.2">
      <c r="A1235" s="275"/>
      <c r="B1235" s="78"/>
      <c r="C1235" s="189"/>
      <c r="D1235" s="185"/>
      <c r="E1235" s="186"/>
      <c r="F1235" s="187"/>
    </row>
    <row r="1236" spans="1:6" x14ac:dyDescent="0.2">
      <c r="A1236" s="275"/>
      <c r="B1236" s="78"/>
      <c r="C1236" s="189"/>
      <c r="D1236" s="185"/>
      <c r="E1236" s="186"/>
      <c r="F1236" s="187"/>
    </row>
    <row r="1237" spans="1:6" x14ac:dyDescent="0.2">
      <c r="A1237" s="275"/>
      <c r="B1237" s="78"/>
      <c r="C1237" s="189"/>
      <c r="D1237" s="185"/>
      <c r="E1237" s="186"/>
      <c r="F1237" s="187"/>
    </row>
    <row r="1238" spans="1:6" x14ac:dyDescent="0.2">
      <c r="A1238" s="275"/>
      <c r="B1238" s="78"/>
      <c r="C1238" s="189"/>
      <c r="D1238" s="185"/>
      <c r="E1238" s="186"/>
      <c r="F1238" s="187"/>
    </row>
    <row r="1239" spans="1:6" x14ac:dyDescent="0.2">
      <c r="A1239" s="275"/>
      <c r="B1239" s="78"/>
      <c r="C1239" s="189"/>
      <c r="D1239" s="185"/>
      <c r="E1239" s="186"/>
      <c r="F1239" s="187"/>
    </row>
    <row r="1240" spans="1:6" x14ac:dyDescent="0.2">
      <c r="A1240" s="275"/>
      <c r="B1240" s="78"/>
      <c r="C1240" s="189"/>
      <c r="D1240" s="185"/>
      <c r="E1240" s="186"/>
      <c r="F1240" s="187"/>
    </row>
    <row r="1241" spans="1:6" x14ac:dyDescent="0.2">
      <c r="A1241" s="275"/>
      <c r="B1241" s="78"/>
      <c r="C1241" s="189"/>
      <c r="D1241" s="185"/>
      <c r="E1241" s="186"/>
      <c r="F1241" s="187"/>
    </row>
    <row r="1242" spans="1:6" x14ac:dyDescent="0.2">
      <c r="A1242" s="275"/>
      <c r="B1242" s="78"/>
      <c r="C1242" s="189"/>
      <c r="D1242" s="185"/>
      <c r="E1242" s="186"/>
      <c r="F1242" s="187"/>
    </row>
    <row r="1243" spans="1:6" x14ac:dyDescent="0.2">
      <c r="A1243" s="275"/>
      <c r="B1243" s="78"/>
      <c r="C1243" s="189"/>
      <c r="D1243" s="185"/>
      <c r="E1243" s="186"/>
      <c r="F1243" s="187"/>
    </row>
    <row r="1244" spans="1:6" x14ac:dyDescent="0.2">
      <c r="A1244" s="275"/>
      <c r="B1244" s="78"/>
      <c r="C1244" s="189"/>
      <c r="D1244" s="185"/>
      <c r="E1244" s="186"/>
      <c r="F1244" s="187"/>
    </row>
    <row r="1245" spans="1:6" x14ac:dyDescent="0.2">
      <c r="A1245" s="275"/>
      <c r="B1245" s="78"/>
      <c r="C1245" s="189"/>
      <c r="D1245" s="185"/>
      <c r="E1245" s="186"/>
      <c r="F1245" s="187"/>
    </row>
    <row r="1246" spans="1:6" x14ac:dyDescent="0.2">
      <c r="A1246" s="275"/>
      <c r="B1246" s="78"/>
      <c r="C1246" s="189"/>
      <c r="D1246" s="185"/>
      <c r="E1246" s="186"/>
      <c r="F1246" s="187"/>
    </row>
    <row r="1247" spans="1:6" x14ac:dyDescent="0.2">
      <c r="A1247" s="275"/>
      <c r="B1247" s="78"/>
      <c r="C1247" s="189"/>
      <c r="D1247" s="185"/>
      <c r="E1247" s="186"/>
      <c r="F1247" s="187"/>
    </row>
    <row r="1248" spans="1:6" x14ac:dyDescent="0.2">
      <c r="A1248" s="275"/>
      <c r="B1248" s="78"/>
      <c r="C1248" s="189"/>
      <c r="D1248" s="185"/>
      <c r="E1248" s="186"/>
      <c r="F1248" s="187"/>
    </row>
    <row r="1249" spans="1:6" x14ac:dyDescent="0.2">
      <c r="A1249" s="275"/>
      <c r="B1249" s="78"/>
      <c r="C1249" s="189"/>
      <c r="D1249" s="185"/>
      <c r="E1249" s="186"/>
      <c r="F1249" s="187"/>
    </row>
    <row r="1250" spans="1:6" x14ac:dyDescent="0.2">
      <c r="A1250" s="275"/>
      <c r="B1250" s="78"/>
      <c r="C1250" s="189"/>
      <c r="D1250" s="185"/>
      <c r="E1250" s="186"/>
      <c r="F1250" s="187"/>
    </row>
    <row r="1251" spans="1:6" x14ac:dyDescent="0.2">
      <c r="A1251" s="275"/>
      <c r="B1251" s="78"/>
      <c r="C1251" s="189"/>
      <c r="D1251" s="185"/>
      <c r="E1251" s="186"/>
      <c r="F1251" s="187"/>
    </row>
    <row r="1252" spans="1:6" x14ac:dyDescent="0.2">
      <c r="A1252" s="275"/>
      <c r="B1252" s="78"/>
      <c r="C1252" s="189"/>
      <c r="D1252" s="185"/>
      <c r="E1252" s="186"/>
      <c r="F1252" s="187"/>
    </row>
    <row r="1253" spans="1:6" x14ac:dyDescent="0.2">
      <c r="A1253" s="275"/>
      <c r="B1253" s="78"/>
      <c r="C1253" s="189"/>
      <c r="D1253" s="185"/>
      <c r="E1253" s="186"/>
      <c r="F1253" s="187"/>
    </row>
    <row r="1254" spans="1:6" x14ac:dyDescent="0.2">
      <c r="A1254" s="275"/>
      <c r="B1254" s="78"/>
      <c r="C1254" s="189"/>
      <c r="D1254" s="185"/>
      <c r="E1254" s="186"/>
      <c r="F1254" s="187"/>
    </row>
    <row r="1255" spans="1:6" x14ac:dyDescent="0.2">
      <c r="A1255" s="275"/>
      <c r="B1255" s="78"/>
      <c r="C1255" s="189"/>
      <c r="D1255" s="185"/>
      <c r="E1255" s="186"/>
      <c r="F1255" s="187"/>
    </row>
    <row r="1256" spans="1:6" x14ac:dyDescent="0.2">
      <c r="A1256" s="275"/>
      <c r="B1256" s="78"/>
      <c r="C1256" s="189"/>
      <c r="D1256" s="185"/>
      <c r="E1256" s="186"/>
      <c r="F1256" s="187"/>
    </row>
    <row r="1257" spans="1:6" x14ac:dyDescent="0.2">
      <c r="A1257" s="275"/>
      <c r="B1257" s="78"/>
      <c r="C1257" s="189"/>
      <c r="D1257" s="185"/>
      <c r="E1257" s="186"/>
      <c r="F1257" s="187"/>
    </row>
    <row r="1258" spans="1:6" x14ac:dyDescent="0.2">
      <c r="A1258" s="275"/>
      <c r="B1258" s="78"/>
      <c r="C1258" s="189"/>
      <c r="D1258" s="185"/>
      <c r="E1258" s="186"/>
      <c r="F1258" s="187"/>
    </row>
    <row r="1259" spans="1:6" x14ac:dyDescent="0.2">
      <c r="A1259" s="275"/>
      <c r="B1259" s="78"/>
      <c r="C1259" s="189"/>
      <c r="D1259" s="185"/>
      <c r="E1259" s="186"/>
      <c r="F1259" s="187"/>
    </row>
    <row r="1260" spans="1:6" x14ac:dyDescent="0.2">
      <c r="A1260" s="275"/>
      <c r="B1260" s="78"/>
      <c r="C1260" s="189"/>
      <c r="D1260" s="185"/>
      <c r="E1260" s="186"/>
      <c r="F1260" s="187"/>
    </row>
    <row r="1261" spans="1:6" x14ac:dyDescent="0.2">
      <c r="A1261" s="275"/>
      <c r="B1261" s="78"/>
      <c r="C1261" s="189"/>
      <c r="D1261" s="185"/>
      <c r="E1261" s="186"/>
      <c r="F1261" s="187"/>
    </row>
    <row r="1262" spans="1:6" x14ac:dyDescent="0.2">
      <c r="A1262" s="275"/>
      <c r="B1262" s="78"/>
      <c r="C1262" s="189"/>
      <c r="D1262" s="185"/>
      <c r="E1262" s="186"/>
      <c r="F1262" s="187"/>
    </row>
    <row r="1263" spans="1:6" x14ac:dyDescent="0.2">
      <c r="A1263" s="275"/>
      <c r="B1263" s="78"/>
      <c r="C1263" s="189"/>
      <c r="D1263" s="185"/>
      <c r="E1263" s="186"/>
      <c r="F1263" s="187"/>
    </row>
    <row r="1264" spans="1:6" x14ac:dyDescent="0.2">
      <c r="A1264" s="275"/>
      <c r="B1264" s="78"/>
      <c r="C1264" s="189"/>
      <c r="D1264" s="185"/>
      <c r="E1264" s="186"/>
      <c r="F1264" s="187"/>
    </row>
    <row r="1265" spans="1:6" x14ac:dyDescent="0.2">
      <c r="A1265" s="275"/>
      <c r="B1265" s="78"/>
      <c r="C1265" s="189"/>
      <c r="D1265" s="185"/>
      <c r="E1265" s="186"/>
      <c r="F1265" s="187"/>
    </row>
    <row r="1266" spans="1:6" x14ac:dyDescent="0.2">
      <c r="A1266" s="275"/>
      <c r="B1266" s="78"/>
      <c r="C1266" s="189"/>
      <c r="D1266" s="185"/>
      <c r="E1266" s="186"/>
      <c r="F1266" s="187"/>
    </row>
    <row r="1267" spans="1:6" x14ac:dyDescent="0.2">
      <c r="A1267" s="275"/>
      <c r="B1267" s="78"/>
      <c r="C1267" s="189"/>
      <c r="D1267" s="185"/>
      <c r="E1267" s="186"/>
      <c r="F1267" s="187"/>
    </row>
    <row r="1268" spans="1:6" x14ac:dyDescent="0.2">
      <c r="A1268" s="275"/>
      <c r="B1268" s="78"/>
      <c r="C1268" s="189"/>
      <c r="D1268" s="185"/>
      <c r="E1268" s="186"/>
      <c r="F1268" s="187"/>
    </row>
    <row r="1269" spans="1:6" x14ac:dyDescent="0.2">
      <c r="A1269" s="275"/>
      <c r="B1269" s="78"/>
      <c r="C1269" s="189"/>
      <c r="D1269" s="185"/>
      <c r="E1269" s="186"/>
      <c r="F1269" s="187"/>
    </row>
    <row r="1270" spans="1:6" x14ac:dyDescent="0.2">
      <c r="A1270" s="275"/>
      <c r="B1270" s="78"/>
      <c r="C1270" s="189"/>
      <c r="D1270" s="185"/>
      <c r="E1270" s="186"/>
      <c r="F1270" s="187"/>
    </row>
    <row r="1271" spans="1:6" x14ac:dyDescent="0.2">
      <c r="A1271" s="275"/>
      <c r="B1271" s="78"/>
      <c r="C1271" s="189"/>
      <c r="D1271" s="185"/>
      <c r="E1271" s="186"/>
      <c r="F1271" s="187"/>
    </row>
    <row r="1272" spans="1:6" x14ac:dyDescent="0.2">
      <c r="A1272" s="275"/>
      <c r="B1272" s="78"/>
      <c r="C1272" s="189"/>
      <c r="D1272" s="185"/>
      <c r="E1272" s="186"/>
      <c r="F1272" s="187"/>
    </row>
    <row r="1273" spans="1:6" x14ac:dyDescent="0.2">
      <c r="A1273" s="275"/>
      <c r="B1273" s="78"/>
      <c r="C1273" s="189"/>
      <c r="D1273" s="185"/>
      <c r="E1273" s="186"/>
      <c r="F1273" s="187"/>
    </row>
    <row r="1274" spans="1:6" x14ac:dyDescent="0.2">
      <c r="A1274" s="275"/>
      <c r="B1274" s="78"/>
      <c r="C1274" s="189"/>
      <c r="D1274" s="185"/>
      <c r="E1274" s="186"/>
      <c r="F1274" s="187"/>
    </row>
    <row r="1275" spans="1:6" x14ac:dyDescent="0.2">
      <c r="A1275" s="275"/>
      <c r="B1275" s="78"/>
      <c r="C1275" s="189"/>
      <c r="D1275" s="185"/>
      <c r="E1275" s="186"/>
      <c r="F1275" s="187"/>
    </row>
    <row r="1276" spans="1:6" x14ac:dyDescent="0.2">
      <c r="A1276" s="275"/>
      <c r="B1276" s="78"/>
      <c r="C1276" s="189"/>
      <c r="D1276" s="185"/>
      <c r="E1276" s="186"/>
      <c r="F1276" s="187"/>
    </row>
    <row r="1277" spans="1:6" x14ac:dyDescent="0.2">
      <c r="A1277" s="275"/>
      <c r="B1277" s="78"/>
      <c r="C1277" s="189"/>
      <c r="D1277" s="185"/>
      <c r="E1277" s="186"/>
      <c r="F1277" s="187"/>
    </row>
    <row r="1278" spans="1:6" x14ac:dyDescent="0.2">
      <c r="A1278" s="275"/>
      <c r="B1278" s="78"/>
      <c r="C1278" s="189"/>
      <c r="D1278" s="185"/>
      <c r="E1278" s="186"/>
      <c r="F1278" s="187"/>
    </row>
    <row r="1279" spans="1:6" x14ac:dyDescent="0.2">
      <c r="A1279" s="275"/>
      <c r="B1279" s="78"/>
      <c r="C1279" s="189"/>
      <c r="D1279" s="185"/>
      <c r="E1279" s="186"/>
      <c r="F1279" s="187"/>
    </row>
    <row r="1280" spans="1:6" x14ac:dyDescent="0.2">
      <c r="A1280" s="275"/>
      <c r="B1280" s="78"/>
      <c r="C1280" s="189"/>
      <c r="D1280" s="185"/>
      <c r="E1280" s="186"/>
      <c r="F1280" s="187"/>
    </row>
    <row r="1281" spans="1:6" x14ac:dyDescent="0.2">
      <c r="A1281" s="275"/>
      <c r="B1281" s="78"/>
      <c r="C1281" s="189"/>
      <c r="D1281" s="185"/>
      <c r="E1281" s="186"/>
      <c r="F1281" s="187"/>
    </row>
    <row r="1282" spans="1:6" x14ac:dyDescent="0.2">
      <c r="A1282" s="275"/>
      <c r="B1282" s="78"/>
      <c r="C1282" s="189"/>
      <c r="D1282" s="185"/>
      <c r="E1282" s="186"/>
      <c r="F1282" s="187"/>
    </row>
    <row r="1283" spans="1:6" x14ac:dyDescent="0.2">
      <c r="A1283" s="275"/>
      <c r="B1283" s="78"/>
      <c r="C1283" s="189"/>
      <c r="D1283" s="185"/>
      <c r="E1283" s="186"/>
      <c r="F1283" s="187"/>
    </row>
    <row r="1284" spans="1:6" x14ac:dyDescent="0.2">
      <c r="A1284" s="275"/>
      <c r="B1284" s="78"/>
      <c r="C1284" s="189"/>
      <c r="D1284" s="185"/>
      <c r="E1284" s="186"/>
      <c r="F1284" s="187"/>
    </row>
    <row r="1285" spans="1:6" x14ac:dyDescent="0.2">
      <c r="A1285" s="275"/>
      <c r="B1285" s="78"/>
      <c r="C1285" s="189"/>
      <c r="D1285" s="185"/>
      <c r="E1285" s="186"/>
      <c r="F1285" s="187"/>
    </row>
    <row r="1286" spans="1:6" x14ac:dyDescent="0.2">
      <c r="A1286" s="275"/>
      <c r="B1286" s="78"/>
      <c r="C1286" s="189"/>
      <c r="D1286" s="185"/>
      <c r="E1286" s="186"/>
      <c r="F1286" s="187"/>
    </row>
    <row r="1287" spans="1:6" x14ac:dyDescent="0.2">
      <c r="A1287" s="275"/>
      <c r="B1287" s="78"/>
      <c r="C1287" s="189"/>
      <c r="D1287" s="185"/>
      <c r="E1287" s="186"/>
      <c r="F1287" s="187"/>
    </row>
    <row r="1288" spans="1:6" x14ac:dyDescent="0.2">
      <c r="A1288" s="275"/>
      <c r="B1288" s="78"/>
      <c r="C1288" s="189"/>
      <c r="D1288" s="185"/>
      <c r="E1288" s="186"/>
      <c r="F1288" s="187"/>
    </row>
    <row r="1289" spans="1:6" x14ac:dyDescent="0.2">
      <c r="A1289" s="275"/>
      <c r="B1289" s="78"/>
      <c r="C1289" s="189"/>
      <c r="D1289" s="185"/>
      <c r="E1289" s="186"/>
      <c r="F1289" s="187"/>
    </row>
    <row r="1290" spans="1:6" x14ac:dyDescent="0.2">
      <c r="A1290" s="275"/>
      <c r="B1290" s="78"/>
      <c r="C1290" s="189"/>
      <c r="D1290" s="185"/>
      <c r="E1290" s="186"/>
      <c r="F1290" s="187"/>
    </row>
    <row r="1291" spans="1:6" x14ac:dyDescent="0.2">
      <c r="A1291" s="275"/>
      <c r="B1291" s="78"/>
      <c r="C1291" s="189"/>
      <c r="D1291" s="185"/>
      <c r="E1291" s="186"/>
      <c r="F1291" s="187"/>
    </row>
    <row r="1292" spans="1:6" x14ac:dyDescent="0.2">
      <c r="A1292" s="275"/>
      <c r="B1292" s="78"/>
      <c r="C1292" s="189"/>
      <c r="D1292" s="185"/>
      <c r="E1292" s="186"/>
      <c r="F1292" s="187"/>
    </row>
    <row r="1293" spans="1:6" x14ac:dyDescent="0.2">
      <c r="A1293" s="275"/>
      <c r="B1293" s="78"/>
      <c r="C1293" s="189"/>
      <c r="D1293" s="185"/>
      <c r="E1293" s="186"/>
      <c r="F1293" s="187"/>
    </row>
    <row r="1294" spans="1:6" x14ac:dyDescent="0.2">
      <c r="A1294" s="275"/>
      <c r="B1294" s="78"/>
      <c r="C1294" s="189"/>
      <c r="D1294" s="185"/>
      <c r="E1294" s="186"/>
      <c r="F1294" s="187"/>
    </row>
    <row r="1295" spans="1:6" x14ac:dyDescent="0.2">
      <c r="A1295" s="275"/>
      <c r="B1295" s="78"/>
      <c r="C1295" s="189"/>
      <c r="D1295" s="185"/>
      <c r="E1295" s="186"/>
      <c r="F1295" s="187"/>
    </row>
    <row r="1296" spans="1:6" x14ac:dyDescent="0.2">
      <c r="A1296" s="275"/>
      <c r="B1296" s="78"/>
      <c r="C1296" s="189"/>
      <c r="D1296" s="185"/>
      <c r="E1296" s="186"/>
      <c r="F1296" s="187"/>
    </row>
    <row r="1297" spans="1:6" x14ac:dyDescent="0.2">
      <c r="A1297" s="275"/>
      <c r="B1297" s="78"/>
      <c r="C1297" s="189"/>
      <c r="D1297" s="185"/>
      <c r="E1297" s="186"/>
      <c r="F1297" s="187"/>
    </row>
    <row r="1298" spans="1:6" x14ac:dyDescent="0.2">
      <c r="A1298" s="275"/>
      <c r="B1298" s="78"/>
      <c r="C1298" s="189"/>
      <c r="D1298" s="185"/>
      <c r="E1298" s="186"/>
      <c r="F1298" s="187"/>
    </row>
    <row r="1299" spans="1:6" x14ac:dyDescent="0.2">
      <c r="A1299" s="275"/>
      <c r="B1299" s="78"/>
      <c r="C1299" s="189"/>
      <c r="D1299" s="185"/>
      <c r="E1299" s="186"/>
      <c r="F1299" s="187"/>
    </row>
    <row r="1300" spans="1:6" x14ac:dyDescent="0.2">
      <c r="A1300" s="275"/>
      <c r="B1300" s="78"/>
      <c r="C1300" s="189"/>
      <c r="D1300" s="185"/>
      <c r="E1300" s="186"/>
      <c r="F1300" s="187"/>
    </row>
    <row r="1301" spans="1:6" x14ac:dyDescent="0.2">
      <c r="A1301" s="275"/>
      <c r="B1301" s="78"/>
      <c r="C1301" s="189"/>
      <c r="D1301" s="185"/>
      <c r="E1301" s="186"/>
      <c r="F1301" s="187"/>
    </row>
    <row r="1302" spans="1:6" x14ac:dyDescent="0.2">
      <c r="A1302" s="275"/>
      <c r="B1302" s="78"/>
      <c r="C1302" s="189"/>
      <c r="D1302" s="185"/>
      <c r="E1302" s="186"/>
      <c r="F1302" s="187"/>
    </row>
    <row r="1303" spans="1:6" x14ac:dyDescent="0.2">
      <c r="A1303" s="275"/>
      <c r="B1303" s="78"/>
      <c r="C1303" s="189"/>
      <c r="D1303" s="185"/>
      <c r="E1303" s="186"/>
      <c r="F1303" s="187"/>
    </row>
    <row r="1304" spans="1:6" x14ac:dyDescent="0.2">
      <c r="A1304" s="275"/>
      <c r="B1304" s="78"/>
      <c r="C1304" s="189"/>
      <c r="D1304" s="185"/>
      <c r="E1304" s="186"/>
      <c r="F1304" s="187"/>
    </row>
    <row r="1305" spans="1:6" x14ac:dyDescent="0.2">
      <c r="A1305" s="275"/>
      <c r="B1305" s="78"/>
      <c r="C1305" s="189"/>
      <c r="D1305" s="185"/>
      <c r="E1305" s="186"/>
      <c r="F1305" s="187"/>
    </row>
    <row r="1306" spans="1:6" x14ac:dyDescent="0.2">
      <c r="A1306" s="275"/>
      <c r="B1306" s="78"/>
      <c r="C1306" s="189"/>
      <c r="D1306" s="185"/>
      <c r="E1306" s="186"/>
      <c r="F1306" s="187"/>
    </row>
    <row r="1307" spans="1:6" x14ac:dyDescent="0.2">
      <c r="A1307" s="275"/>
      <c r="B1307" s="78"/>
      <c r="C1307" s="189"/>
      <c r="D1307" s="185"/>
      <c r="E1307" s="186"/>
      <c r="F1307" s="187"/>
    </row>
    <row r="1308" spans="1:6" x14ac:dyDescent="0.2">
      <c r="A1308" s="275"/>
      <c r="B1308" s="78"/>
      <c r="C1308" s="189"/>
      <c r="D1308" s="185"/>
      <c r="E1308" s="186"/>
      <c r="F1308" s="187"/>
    </row>
    <row r="1309" spans="1:6" x14ac:dyDescent="0.2">
      <c r="A1309" s="275"/>
      <c r="B1309" s="78"/>
      <c r="C1309" s="189"/>
      <c r="D1309" s="185"/>
      <c r="E1309" s="186"/>
      <c r="F1309" s="187"/>
    </row>
    <row r="1310" spans="1:6" x14ac:dyDescent="0.2">
      <c r="A1310" s="275"/>
      <c r="B1310" s="78"/>
      <c r="C1310" s="189"/>
      <c r="D1310" s="185"/>
      <c r="E1310" s="186"/>
      <c r="F1310" s="187"/>
    </row>
    <row r="1311" spans="1:6" x14ac:dyDescent="0.2">
      <c r="A1311" s="275"/>
      <c r="B1311" s="78"/>
      <c r="C1311" s="189"/>
      <c r="D1311" s="185"/>
      <c r="E1311" s="186"/>
      <c r="F1311" s="187"/>
    </row>
    <row r="1312" spans="1:6" x14ac:dyDescent="0.2">
      <c r="A1312" s="275"/>
      <c r="B1312" s="78"/>
      <c r="C1312" s="189"/>
      <c r="D1312" s="185"/>
      <c r="E1312" s="186"/>
      <c r="F1312" s="187"/>
    </row>
    <row r="1313" spans="1:6" x14ac:dyDescent="0.2">
      <c r="A1313" s="275"/>
      <c r="B1313" s="78"/>
      <c r="C1313" s="189"/>
      <c r="D1313" s="185"/>
      <c r="E1313" s="186"/>
      <c r="F1313" s="187"/>
    </row>
    <row r="1314" spans="1:6" x14ac:dyDescent="0.2">
      <c r="A1314" s="275"/>
      <c r="B1314" s="78"/>
      <c r="C1314" s="189"/>
      <c r="D1314" s="185"/>
      <c r="E1314" s="186"/>
      <c r="F1314" s="187"/>
    </row>
    <row r="1315" spans="1:6" x14ac:dyDescent="0.2">
      <c r="A1315" s="275"/>
      <c r="B1315" s="78"/>
      <c r="C1315" s="189"/>
      <c r="D1315" s="185"/>
      <c r="E1315" s="186"/>
      <c r="F1315" s="187"/>
    </row>
    <row r="1316" spans="1:6" x14ac:dyDescent="0.2">
      <c r="A1316" s="275"/>
      <c r="B1316" s="78"/>
      <c r="C1316" s="189"/>
      <c r="D1316" s="185"/>
      <c r="E1316" s="186"/>
      <c r="F1316" s="187"/>
    </row>
    <row r="1317" spans="1:6" x14ac:dyDescent="0.2">
      <c r="A1317" s="275"/>
      <c r="B1317" s="78"/>
      <c r="C1317" s="189"/>
      <c r="D1317" s="185"/>
      <c r="E1317" s="186"/>
      <c r="F1317" s="187"/>
    </row>
    <row r="1318" spans="1:6" x14ac:dyDescent="0.2">
      <c r="A1318" s="275"/>
      <c r="B1318" s="78"/>
      <c r="C1318" s="189"/>
      <c r="D1318" s="185"/>
      <c r="E1318" s="186"/>
      <c r="F1318" s="187"/>
    </row>
    <row r="1319" spans="1:6" x14ac:dyDescent="0.2">
      <c r="A1319" s="275"/>
      <c r="B1319" s="78"/>
      <c r="C1319" s="189"/>
      <c r="D1319" s="185"/>
      <c r="E1319" s="186"/>
      <c r="F1319" s="187"/>
    </row>
    <row r="1320" spans="1:6" x14ac:dyDescent="0.2">
      <c r="A1320" s="275"/>
      <c r="B1320" s="78"/>
      <c r="C1320" s="189"/>
      <c r="D1320" s="185"/>
      <c r="E1320" s="186"/>
      <c r="F1320" s="187"/>
    </row>
    <row r="1321" spans="1:6" x14ac:dyDescent="0.2">
      <c r="A1321" s="275"/>
      <c r="B1321" s="78"/>
      <c r="C1321" s="189"/>
      <c r="D1321" s="185"/>
      <c r="E1321" s="186"/>
      <c r="F1321" s="187"/>
    </row>
    <row r="1322" spans="1:6" x14ac:dyDescent="0.2">
      <c r="A1322" s="275"/>
      <c r="B1322" s="78"/>
      <c r="C1322" s="189"/>
      <c r="D1322" s="185"/>
      <c r="E1322" s="186"/>
      <c r="F1322" s="187"/>
    </row>
    <row r="1323" spans="1:6" x14ac:dyDescent="0.2">
      <c r="A1323" s="275"/>
      <c r="B1323" s="78"/>
      <c r="C1323" s="189"/>
      <c r="D1323" s="185"/>
      <c r="E1323" s="186"/>
      <c r="F1323" s="187"/>
    </row>
    <row r="1324" spans="1:6" x14ac:dyDescent="0.2">
      <c r="A1324" s="275"/>
      <c r="B1324" s="78"/>
      <c r="C1324" s="189"/>
      <c r="D1324" s="185"/>
      <c r="E1324" s="186"/>
      <c r="F1324" s="187"/>
    </row>
    <row r="1325" spans="1:6" x14ac:dyDescent="0.2">
      <c r="A1325" s="275"/>
      <c r="B1325" s="78"/>
      <c r="C1325" s="189"/>
      <c r="D1325" s="185"/>
      <c r="E1325" s="186"/>
      <c r="F1325" s="187"/>
    </row>
    <row r="1326" spans="1:6" x14ac:dyDescent="0.2">
      <c r="A1326" s="275"/>
      <c r="B1326" s="78"/>
      <c r="C1326" s="189"/>
      <c r="D1326" s="185"/>
      <c r="E1326" s="186"/>
      <c r="F1326" s="187"/>
    </row>
    <row r="1327" spans="1:6" x14ac:dyDescent="0.2">
      <c r="A1327" s="275"/>
      <c r="B1327" s="78"/>
      <c r="C1327" s="189"/>
      <c r="D1327" s="185"/>
      <c r="E1327" s="186"/>
      <c r="F1327" s="187"/>
    </row>
    <row r="1328" spans="1:6" x14ac:dyDescent="0.2">
      <c r="A1328" s="275"/>
      <c r="B1328" s="78"/>
      <c r="C1328" s="189"/>
      <c r="D1328" s="185"/>
      <c r="E1328" s="186"/>
      <c r="F1328" s="187"/>
    </row>
    <row r="1329" spans="1:6" x14ac:dyDescent="0.2">
      <c r="A1329" s="275"/>
      <c r="B1329" s="78"/>
      <c r="C1329" s="189"/>
      <c r="D1329" s="185"/>
      <c r="E1329" s="186"/>
      <c r="F1329" s="187"/>
    </row>
    <row r="1330" spans="1:6" x14ac:dyDescent="0.2">
      <c r="A1330" s="275"/>
      <c r="B1330" s="78"/>
      <c r="C1330" s="189"/>
      <c r="D1330" s="185"/>
      <c r="E1330" s="186"/>
      <c r="F1330" s="187"/>
    </row>
    <row r="1331" spans="1:6" x14ac:dyDescent="0.2">
      <c r="A1331" s="275"/>
      <c r="B1331" s="78"/>
      <c r="C1331" s="189"/>
      <c r="D1331" s="185"/>
      <c r="E1331" s="186"/>
      <c r="F1331" s="187"/>
    </row>
    <row r="1332" spans="1:6" x14ac:dyDescent="0.2">
      <c r="A1332" s="275"/>
      <c r="B1332" s="78"/>
      <c r="C1332" s="189"/>
      <c r="D1332" s="185"/>
      <c r="E1332" s="186"/>
      <c r="F1332" s="187"/>
    </row>
    <row r="1333" spans="1:6" x14ac:dyDescent="0.2">
      <c r="A1333" s="275"/>
      <c r="B1333" s="78"/>
      <c r="C1333" s="189"/>
      <c r="D1333" s="185"/>
      <c r="E1333" s="186"/>
      <c r="F1333" s="187"/>
    </row>
    <row r="1334" spans="1:6" x14ac:dyDescent="0.2">
      <c r="A1334" s="275"/>
      <c r="B1334" s="78"/>
      <c r="C1334" s="189"/>
      <c r="D1334" s="185"/>
      <c r="E1334" s="186"/>
      <c r="F1334" s="187"/>
    </row>
    <row r="1335" spans="1:6" x14ac:dyDescent="0.2">
      <c r="A1335" s="275"/>
      <c r="B1335" s="78"/>
      <c r="C1335" s="189"/>
      <c r="D1335" s="185"/>
      <c r="E1335" s="186"/>
      <c r="F1335" s="187"/>
    </row>
    <row r="1336" spans="1:6" x14ac:dyDescent="0.2">
      <c r="A1336" s="275"/>
      <c r="B1336" s="78"/>
      <c r="C1336" s="189"/>
      <c r="D1336" s="185"/>
      <c r="E1336" s="186"/>
      <c r="F1336" s="187"/>
    </row>
    <row r="1337" spans="1:6" x14ac:dyDescent="0.2">
      <c r="A1337" s="275"/>
      <c r="B1337" s="78"/>
      <c r="C1337" s="189"/>
      <c r="D1337" s="185"/>
      <c r="E1337" s="186"/>
      <c r="F1337" s="187"/>
    </row>
    <row r="1338" spans="1:6" x14ac:dyDescent="0.2">
      <c r="A1338" s="275"/>
      <c r="B1338" s="78"/>
      <c r="C1338" s="189"/>
      <c r="D1338" s="185"/>
      <c r="E1338" s="186"/>
      <c r="F1338" s="187"/>
    </row>
    <row r="1339" spans="1:6" x14ac:dyDescent="0.2">
      <c r="A1339" s="275"/>
      <c r="B1339" s="78"/>
      <c r="C1339" s="189"/>
      <c r="D1339" s="185"/>
      <c r="E1339" s="186"/>
      <c r="F1339" s="187"/>
    </row>
    <row r="1340" spans="1:6" x14ac:dyDescent="0.2">
      <c r="A1340" s="275"/>
      <c r="B1340" s="78"/>
      <c r="C1340" s="189"/>
      <c r="D1340" s="185"/>
      <c r="E1340" s="186"/>
      <c r="F1340" s="187"/>
    </row>
    <row r="1341" spans="1:6" x14ac:dyDescent="0.2">
      <c r="A1341" s="275"/>
      <c r="B1341" s="78"/>
      <c r="C1341" s="189"/>
      <c r="D1341" s="185"/>
      <c r="E1341" s="186"/>
      <c r="F1341" s="187"/>
    </row>
    <row r="1342" spans="1:6" x14ac:dyDescent="0.2">
      <c r="A1342" s="275"/>
      <c r="B1342" s="78"/>
      <c r="C1342" s="189"/>
      <c r="D1342" s="185"/>
      <c r="E1342" s="186"/>
      <c r="F1342" s="187"/>
    </row>
    <row r="1343" spans="1:6" x14ac:dyDescent="0.2">
      <c r="A1343" s="275"/>
      <c r="B1343" s="78"/>
      <c r="C1343" s="189"/>
      <c r="D1343" s="185"/>
      <c r="E1343" s="186"/>
      <c r="F1343" s="187"/>
    </row>
    <row r="1344" spans="1:6" x14ac:dyDescent="0.2">
      <c r="A1344" s="275"/>
      <c r="B1344" s="78"/>
      <c r="C1344" s="189"/>
      <c r="D1344" s="185"/>
      <c r="E1344" s="186"/>
      <c r="F1344" s="187"/>
    </row>
    <row r="1345" spans="1:6" x14ac:dyDescent="0.2">
      <c r="A1345" s="275"/>
      <c r="B1345" s="78"/>
      <c r="C1345" s="189"/>
      <c r="D1345" s="185"/>
      <c r="E1345" s="186"/>
      <c r="F1345" s="187"/>
    </row>
    <row r="1346" spans="1:6" x14ac:dyDescent="0.2">
      <c r="A1346" s="275"/>
      <c r="B1346" s="78"/>
      <c r="C1346" s="189"/>
      <c r="D1346" s="185"/>
      <c r="E1346" s="186"/>
      <c r="F1346" s="187"/>
    </row>
    <row r="1347" spans="1:6" x14ac:dyDescent="0.2">
      <c r="A1347" s="275"/>
      <c r="B1347" s="78"/>
      <c r="C1347" s="189"/>
      <c r="D1347" s="185"/>
      <c r="E1347" s="186"/>
      <c r="F1347" s="187"/>
    </row>
    <row r="1348" spans="1:6" x14ac:dyDescent="0.2">
      <c r="A1348" s="275"/>
      <c r="B1348" s="78"/>
      <c r="C1348" s="189"/>
      <c r="D1348" s="185"/>
      <c r="E1348" s="186"/>
      <c r="F1348" s="187"/>
    </row>
    <row r="1349" spans="1:6" x14ac:dyDescent="0.2">
      <c r="A1349" s="275"/>
      <c r="B1349" s="78"/>
      <c r="C1349" s="189"/>
      <c r="D1349" s="185"/>
      <c r="E1349" s="186"/>
      <c r="F1349" s="187"/>
    </row>
    <row r="1350" spans="1:6" x14ac:dyDescent="0.2">
      <c r="A1350" s="275"/>
      <c r="B1350" s="78"/>
      <c r="C1350" s="189"/>
      <c r="D1350" s="185"/>
      <c r="E1350" s="186"/>
      <c r="F1350" s="187"/>
    </row>
    <row r="1351" spans="1:6" x14ac:dyDescent="0.2">
      <c r="A1351" s="275"/>
      <c r="B1351" s="78"/>
      <c r="C1351" s="189"/>
      <c r="D1351" s="185"/>
      <c r="E1351" s="186"/>
      <c r="F1351" s="187"/>
    </row>
    <row r="1352" spans="1:6" x14ac:dyDescent="0.2">
      <c r="A1352" s="275"/>
      <c r="B1352" s="78"/>
      <c r="C1352" s="189"/>
      <c r="D1352" s="185"/>
      <c r="E1352" s="186"/>
      <c r="F1352" s="187"/>
    </row>
    <row r="1353" spans="1:6" x14ac:dyDescent="0.2">
      <c r="A1353" s="275"/>
      <c r="B1353" s="78"/>
      <c r="C1353" s="189"/>
      <c r="D1353" s="185"/>
      <c r="E1353" s="186"/>
      <c r="F1353" s="187"/>
    </row>
    <row r="1354" spans="1:6" x14ac:dyDescent="0.2">
      <c r="A1354" s="275"/>
      <c r="B1354" s="78"/>
      <c r="C1354" s="189"/>
      <c r="D1354" s="185"/>
      <c r="E1354" s="186"/>
      <c r="F1354" s="187"/>
    </row>
    <row r="1355" spans="1:6" x14ac:dyDescent="0.2">
      <c r="A1355" s="275"/>
      <c r="B1355" s="78"/>
      <c r="C1355" s="189"/>
      <c r="D1355" s="185"/>
      <c r="E1355" s="186"/>
      <c r="F1355" s="187"/>
    </row>
    <row r="1356" spans="1:6" x14ac:dyDescent="0.2">
      <c r="A1356" s="275"/>
      <c r="B1356" s="78"/>
      <c r="C1356" s="189"/>
      <c r="D1356" s="185"/>
      <c r="E1356" s="186"/>
      <c r="F1356" s="187"/>
    </row>
    <row r="1357" spans="1:6" x14ac:dyDescent="0.2">
      <c r="A1357" s="275"/>
      <c r="B1357" s="78"/>
      <c r="C1357" s="189"/>
      <c r="D1357" s="185"/>
      <c r="E1357" s="186"/>
      <c r="F1357" s="187"/>
    </row>
    <row r="1358" spans="1:6" x14ac:dyDescent="0.2">
      <c r="A1358" s="275"/>
      <c r="B1358" s="78"/>
      <c r="C1358" s="189"/>
      <c r="D1358" s="185"/>
      <c r="E1358" s="186"/>
      <c r="F1358" s="187"/>
    </row>
    <row r="1359" spans="1:6" x14ac:dyDescent="0.2">
      <c r="A1359" s="275"/>
      <c r="B1359" s="78"/>
      <c r="C1359" s="189"/>
      <c r="D1359" s="185"/>
      <c r="E1359" s="186"/>
      <c r="F1359" s="187"/>
    </row>
    <row r="1360" spans="1:6" x14ac:dyDescent="0.2">
      <c r="A1360" s="275"/>
      <c r="B1360" s="78"/>
      <c r="C1360" s="189"/>
      <c r="D1360" s="185"/>
      <c r="E1360" s="186"/>
      <c r="F1360" s="187"/>
    </row>
    <row r="1361" spans="1:6" x14ac:dyDescent="0.2">
      <c r="A1361" s="275"/>
      <c r="B1361" s="78"/>
      <c r="C1361" s="189"/>
      <c r="D1361" s="185"/>
      <c r="E1361" s="186"/>
      <c r="F1361" s="187"/>
    </row>
    <row r="1362" spans="1:6" x14ac:dyDescent="0.2">
      <c r="A1362" s="275"/>
      <c r="B1362" s="78"/>
      <c r="C1362" s="189"/>
      <c r="D1362" s="185"/>
      <c r="E1362" s="186"/>
      <c r="F1362" s="187"/>
    </row>
    <row r="1363" spans="1:6" x14ac:dyDescent="0.2">
      <c r="A1363" s="275"/>
      <c r="B1363" s="78"/>
      <c r="C1363" s="189"/>
      <c r="D1363" s="185"/>
      <c r="E1363" s="186"/>
      <c r="F1363" s="187"/>
    </row>
    <row r="1364" spans="1:6" x14ac:dyDescent="0.2">
      <c r="A1364" s="275"/>
      <c r="B1364" s="78"/>
      <c r="C1364" s="189"/>
      <c r="D1364" s="185"/>
      <c r="E1364" s="186"/>
      <c r="F1364" s="187"/>
    </row>
    <row r="1365" spans="1:6" x14ac:dyDescent="0.2">
      <c r="A1365" s="275"/>
      <c r="B1365" s="78"/>
      <c r="C1365" s="189"/>
      <c r="D1365" s="185"/>
      <c r="E1365" s="186"/>
      <c r="F1365" s="187"/>
    </row>
    <row r="1366" spans="1:6" x14ac:dyDescent="0.2">
      <c r="A1366" s="275"/>
      <c r="B1366" s="78"/>
      <c r="C1366" s="189"/>
      <c r="D1366" s="185"/>
      <c r="E1366" s="186"/>
      <c r="F1366" s="187"/>
    </row>
    <row r="1367" spans="1:6" x14ac:dyDescent="0.2">
      <c r="A1367" s="275"/>
      <c r="B1367" s="78"/>
      <c r="C1367" s="189"/>
      <c r="D1367" s="185"/>
      <c r="E1367" s="186"/>
      <c r="F1367" s="187"/>
    </row>
    <row r="1368" spans="1:6" x14ac:dyDescent="0.2">
      <c r="A1368" s="275"/>
      <c r="B1368" s="78"/>
      <c r="C1368" s="189"/>
      <c r="D1368" s="185"/>
      <c r="E1368" s="186"/>
      <c r="F1368" s="187"/>
    </row>
    <row r="1369" spans="1:6" x14ac:dyDescent="0.2">
      <c r="A1369" s="275"/>
      <c r="B1369" s="78"/>
      <c r="C1369" s="189"/>
      <c r="D1369" s="185"/>
      <c r="E1369" s="186"/>
      <c r="F1369" s="187"/>
    </row>
    <row r="1370" spans="1:6" x14ac:dyDescent="0.2">
      <c r="A1370" s="275"/>
      <c r="B1370" s="78"/>
      <c r="C1370" s="189"/>
      <c r="D1370" s="185"/>
      <c r="E1370" s="186"/>
      <c r="F1370" s="187"/>
    </row>
    <row r="1371" spans="1:6" x14ac:dyDescent="0.2">
      <c r="A1371" s="275"/>
      <c r="B1371" s="78"/>
      <c r="C1371" s="189"/>
      <c r="D1371" s="185"/>
      <c r="E1371" s="186"/>
      <c r="F1371" s="187"/>
    </row>
    <row r="1372" spans="1:6" x14ac:dyDescent="0.2">
      <c r="A1372" s="275"/>
      <c r="B1372" s="78"/>
      <c r="C1372" s="189"/>
      <c r="D1372" s="185"/>
      <c r="E1372" s="186"/>
      <c r="F1372" s="187"/>
    </row>
    <row r="1373" spans="1:6" x14ac:dyDescent="0.2">
      <c r="A1373" s="275"/>
      <c r="B1373" s="78"/>
      <c r="C1373" s="189"/>
      <c r="D1373" s="185"/>
      <c r="E1373" s="186"/>
      <c r="F1373" s="187"/>
    </row>
    <row r="1374" spans="1:6" x14ac:dyDescent="0.2">
      <c r="A1374" s="275"/>
      <c r="B1374" s="78"/>
      <c r="C1374" s="189"/>
      <c r="D1374" s="185"/>
      <c r="E1374" s="186"/>
      <c r="F1374" s="187"/>
    </row>
    <row r="1375" spans="1:6" x14ac:dyDescent="0.2">
      <c r="A1375" s="275"/>
      <c r="B1375" s="78"/>
      <c r="C1375" s="189"/>
      <c r="D1375" s="185"/>
      <c r="E1375" s="186"/>
      <c r="F1375" s="187"/>
    </row>
    <row r="1376" spans="1:6" x14ac:dyDescent="0.2">
      <c r="A1376" s="275"/>
      <c r="B1376" s="78"/>
      <c r="C1376" s="189"/>
      <c r="D1376" s="185"/>
      <c r="E1376" s="186"/>
      <c r="F1376" s="187"/>
    </row>
    <row r="1377" spans="1:6" x14ac:dyDescent="0.2">
      <c r="A1377" s="275"/>
      <c r="B1377" s="78"/>
      <c r="C1377" s="189"/>
      <c r="D1377" s="185"/>
      <c r="E1377" s="186"/>
      <c r="F1377" s="187"/>
    </row>
    <row r="1378" spans="1:6" x14ac:dyDescent="0.2">
      <c r="A1378" s="275"/>
      <c r="B1378" s="78"/>
      <c r="C1378" s="189"/>
      <c r="D1378" s="185"/>
      <c r="E1378" s="186"/>
      <c r="F1378" s="187"/>
    </row>
    <row r="1379" spans="1:6" x14ac:dyDescent="0.2">
      <c r="A1379" s="275"/>
      <c r="B1379" s="78"/>
      <c r="C1379" s="189"/>
      <c r="D1379" s="185"/>
      <c r="E1379" s="186"/>
      <c r="F1379" s="187"/>
    </row>
    <row r="1380" spans="1:6" x14ac:dyDescent="0.2">
      <c r="A1380" s="275"/>
      <c r="B1380" s="78"/>
      <c r="C1380" s="189"/>
      <c r="D1380" s="185"/>
      <c r="E1380" s="186"/>
      <c r="F1380" s="187"/>
    </row>
    <row r="1381" spans="1:6" x14ac:dyDescent="0.2">
      <c r="A1381" s="275"/>
      <c r="B1381" s="78"/>
      <c r="C1381" s="189"/>
      <c r="D1381" s="185"/>
      <c r="E1381" s="186"/>
      <c r="F1381" s="187"/>
    </row>
    <row r="1382" spans="1:6" x14ac:dyDescent="0.2">
      <c r="A1382" s="275"/>
      <c r="B1382" s="78"/>
      <c r="C1382" s="189"/>
      <c r="D1382" s="185"/>
      <c r="E1382" s="186"/>
      <c r="F1382" s="187"/>
    </row>
    <row r="1383" spans="1:6" x14ac:dyDescent="0.2">
      <c r="A1383" s="275"/>
      <c r="B1383" s="78"/>
      <c r="C1383" s="189"/>
      <c r="D1383" s="185"/>
      <c r="E1383" s="186"/>
      <c r="F1383" s="187"/>
    </row>
    <row r="1384" spans="1:6" x14ac:dyDescent="0.2">
      <c r="A1384" s="275"/>
      <c r="B1384" s="78"/>
      <c r="C1384" s="189"/>
      <c r="D1384" s="185"/>
      <c r="E1384" s="186"/>
      <c r="F1384" s="187"/>
    </row>
    <row r="1385" spans="1:6" x14ac:dyDescent="0.2">
      <c r="A1385" s="275"/>
      <c r="B1385" s="78"/>
      <c r="C1385" s="189"/>
      <c r="D1385" s="185"/>
      <c r="E1385" s="186"/>
      <c r="F1385" s="187"/>
    </row>
    <row r="1386" spans="1:6" x14ac:dyDescent="0.2">
      <c r="A1386" s="275"/>
      <c r="B1386" s="78"/>
      <c r="C1386" s="189"/>
      <c r="D1386" s="185"/>
      <c r="E1386" s="186"/>
      <c r="F1386" s="187"/>
    </row>
    <row r="1387" spans="1:6" x14ac:dyDescent="0.2">
      <c r="A1387" s="275"/>
      <c r="B1387" s="78"/>
      <c r="C1387" s="189"/>
      <c r="D1387" s="185"/>
      <c r="E1387" s="186"/>
      <c r="F1387" s="187"/>
    </row>
    <row r="1388" spans="1:6" x14ac:dyDescent="0.2">
      <c r="A1388" s="275"/>
      <c r="B1388" s="78"/>
      <c r="C1388" s="189"/>
      <c r="D1388" s="185"/>
      <c r="E1388" s="186"/>
      <c r="F1388" s="187"/>
    </row>
    <row r="1389" spans="1:6" x14ac:dyDescent="0.2">
      <c r="A1389" s="275"/>
      <c r="B1389" s="78"/>
      <c r="C1389" s="189"/>
      <c r="D1389" s="185"/>
      <c r="E1389" s="186"/>
      <c r="F1389" s="187"/>
    </row>
    <row r="1390" spans="1:6" x14ac:dyDescent="0.2">
      <c r="A1390" s="275"/>
      <c r="B1390" s="78"/>
      <c r="C1390" s="189"/>
      <c r="D1390" s="185"/>
      <c r="E1390" s="186"/>
      <c r="F1390" s="187"/>
    </row>
    <row r="1391" spans="1:6" x14ac:dyDescent="0.2">
      <c r="A1391" s="275"/>
      <c r="B1391" s="78"/>
      <c r="C1391" s="189"/>
      <c r="D1391" s="185"/>
      <c r="E1391" s="186"/>
      <c r="F1391" s="187"/>
    </row>
    <row r="1392" spans="1:6" x14ac:dyDescent="0.2">
      <c r="A1392" s="275"/>
      <c r="B1392" s="78"/>
      <c r="C1392" s="189"/>
      <c r="D1392" s="185"/>
      <c r="E1392" s="186"/>
      <c r="F1392" s="187"/>
    </row>
    <row r="1393" spans="1:6" x14ac:dyDescent="0.2">
      <c r="A1393" s="275"/>
      <c r="B1393" s="78"/>
      <c r="C1393" s="189"/>
      <c r="D1393" s="185"/>
      <c r="E1393" s="186"/>
      <c r="F1393" s="187"/>
    </row>
    <row r="1394" spans="1:6" x14ac:dyDescent="0.2">
      <c r="A1394" s="275"/>
      <c r="B1394" s="78"/>
      <c r="C1394" s="189"/>
      <c r="D1394" s="185"/>
      <c r="E1394" s="186"/>
      <c r="F1394" s="187"/>
    </row>
    <row r="1395" spans="1:6" x14ac:dyDescent="0.2">
      <c r="A1395" s="275"/>
      <c r="B1395" s="78"/>
      <c r="C1395" s="189"/>
      <c r="D1395" s="185"/>
      <c r="E1395" s="186"/>
      <c r="F1395" s="187"/>
    </row>
    <row r="1396" spans="1:6" x14ac:dyDescent="0.2">
      <c r="A1396" s="275"/>
      <c r="B1396" s="78"/>
      <c r="C1396" s="189"/>
      <c r="D1396" s="185"/>
      <c r="E1396" s="186"/>
      <c r="F1396" s="187"/>
    </row>
    <row r="1397" spans="1:6" x14ac:dyDescent="0.2">
      <c r="A1397" s="275"/>
      <c r="B1397" s="78"/>
      <c r="C1397" s="189"/>
      <c r="D1397" s="185"/>
      <c r="E1397" s="186"/>
      <c r="F1397" s="187"/>
    </row>
    <row r="1398" spans="1:6" x14ac:dyDescent="0.2">
      <c r="A1398" s="275"/>
      <c r="B1398" s="78"/>
      <c r="C1398" s="189"/>
      <c r="D1398" s="185"/>
      <c r="E1398" s="186"/>
      <c r="F1398" s="187"/>
    </row>
    <row r="1399" spans="1:6" x14ac:dyDescent="0.2">
      <c r="A1399" s="275"/>
      <c r="B1399" s="78"/>
      <c r="C1399" s="189"/>
      <c r="D1399" s="185"/>
      <c r="E1399" s="186"/>
      <c r="F1399" s="187"/>
    </row>
    <row r="1400" spans="1:6" x14ac:dyDescent="0.2">
      <c r="A1400" s="275"/>
      <c r="B1400" s="78"/>
      <c r="C1400" s="189"/>
      <c r="D1400" s="185"/>
      <c r="E1400" s="186"/>
      <c r="F1400" s="187"/>
    </row>
    <row r="1401" spans="1:6" x14ac:dyDescent="0.2">
      <c r="A1401" s="275"/>
      <c r="B1401" s="78"/>
      <c r="C1401" s="189"/>
      <c r="D1401" s="185"/>
      <c r="E1401" s="186"/>
      <c r="F1401" s="187"/>
    </row>
    <row r="1402" spans="1:6" x14ac:dyDescent="0.2">
      <c r="A1402" s="275"/>
      <c r="B1402" s="78"/>
      <c r="C1402" s="189"/>
      <c r="D1402" s="185"/>
      <c r="E1402" s="186"/>
      <c r="F1402" s="187"/>
    </row>
    <row r="1403" spans="1:6" x14ac:dyDescent="0.2">
      <c r="A1403" s="275"/>
      <c r="B1403" s="78"/>
      <c r="C1403" s="189"/>
      <c r="D1403" s="185"/>
      <c r="E1403" s="186"/>
      <c r="F1403" s="187"/>
    </row>
    <row r="1404" spans="1:6" x14ac:dyDescent="0.2">
      <c r="A1404" s="275"/>
      <c r="B1404" s="78"/>
      <c r="C1404" s="189"/>
      <c r="D1404" s="185"/>
      <c r="E1404" s="186"/>
      <c r="F1404" s="187"/>
    </row>
    <row r="1405" spans="1:6" x14ac:dyDescent="0.2">
      <c r="A1405" s="275"/>
      <c r="B1405" s="78"/>
      <c r="C1405" s="189"/>
      <c r="D1405" s="185"/>
      <c r="E1405" s="186"/>
      <c r="F1405" s="187"/>
    </row>
    <row r="1406" spans="1:6" x14ac:dyDescent="0.2">
      <c r="A1406" s="275"/>
      <c r="B1406" s="78"/>
      <c r="C1406" s="189"/>
      <c r="D1406" s="185"/>
      <c r="E1406" s="186"/>
      <c r="F1406" s="187"/>
    </row>
    <row r="1407" spans="1:6" x14ac:dyDescent="0.2">
      <c r="A1407" s="275"/>
      <c r="B1407" s="78"/>
      <c r="C1407" s="189"/>
      <c r="D1407" s="185"/>
      <c r="E1407" s="186"/>
      <c r="F1407" s="187"/>
    </row>
    <row r="1408" spans="1:6" x14ac:dyDescent="0.2">
      <c r="A1408" s="275"/>
      <c r="B1408" s="78"/>
      <c r="C1408" s="189"/>
      <c r="D1408" s="185"/>
      <c r="E1408" s="186"/>
      <c r="F1408" s="187"/>
    </row>
    <row r="1409" spans="1:6" x14ac:dyDescent="0.2">
      <c r="A1409" s="275"/>
      <c r="B1409" s="78"/>
      <c r="C1409" s="189"/>
      <c r="D1409" s="185"/>
      <c r="E1409" s="186"/>
      <c r="F1409" s="187"/>
    </row>
    <row r="1410" spans="1:6" x14ac:dyDescent="0.2">
      <c r="A1410" s="275"/>
      <c r="B1410" s="78"/>
      <c r="C1410" s="189"/>
      <c r="D1410" s="185"/>
      <c r="E1410" s="186"/>
      <c r="F1410" s="187"/>
    </row>
    <row r="1411" spans="1:6" x14ac:dyDescent="0.2">
      <c r="A1411" s="275"/>
      <c r="B1411" s="78"/>
      <c r="C1411" s="189"/>
      <c r="D1411" s="185"/>
      <c r="E1411" s="186"/>
      <c r="F1411" s="187"/>
    </row>
    <row r="1412" spans="1:6" x14ac:dyDescent="0.2">
      <c r="A1412" s="275"/>
      <c r="B1412" s="78"/>
      <c r="C1412" s="189"/>
      <c r="D1412" s="185"/>
      <c r="E1412" s="186"/>
      <c r="F1412" s="187"/>
    </row>
    <row r="1413" spans="1:6" x14ac:dyDescent="0.2">
      <c r="A1413" s="275"/>
      <c r="B1413" s="78"/>
      <c r="C1413" s="189"/>
      <c r="D1413" s="185"/>
      <c r="E1413" s="186"/>
      <c r="F1413" s="187"/>
    </row>
    <row r="1414" spans="1:6" x14ac:dyDescent="0.2">
      <c r="A1414" s="275"/>
      <c r="B1414" s="78"/>
      <c r="C1414" s="189"/>
      <c r="D1414" s="185"/>
      <c r="E1414" s="186"/>
      <c r="F1414" s="187"/>
    </row>
    <row r="1415" spans="1:6" x14ac:dyDescent="0.2">
      <c r="A1415" s="275"/>
      <c r="B1415" s="78"/>
      <c r="C1415" s="189"/>
      <c r="D1415" s="185"/>
      <c r="E1415" s="186"/>
      <c r="F1415" s="187"/>
    </row>
    <row r="1416" spans="1:6" x14ac:dyDescent="0.2">
      <c r="A1416" s="275"/>
      <c r="B1416" s="78"/>
      <c r="C1416" s="189"/>
      <c r="D1416" s="185"/>
      <c r="E1416" s="186"/>
      <c r="F1416" s="187"/>
    </row>
    <row r="1417" spans="1:6" x14ac:dyDescent="0.2">
      <c r="A1417" s="275"/>
      <c r="B1417" s="78"/>
      <c r="C1417" s="189"/>
      <c r="D1417" s="185"/>
      <c r="E1417" s="186"/>
      <c r="F1417" s="187"/>
    </row>
    <row r="1418" spans="1:6" x14ac:dyDescent="0.2">
      <c r="A1418" s="275"/>
      <c r="B1418" s="78"/>
      <c r="C1418" s="189"/>
      <c r="D1418" s="185"/>
      <c r="E1418" s="186"/>
      <c r="F1418" s="187"/>
    </row>
    <row r="1419" spans="1:6" x14ac:dyDescent="0.2">
      <c r="A1419" s="275"/>
      <c r="B1419" s="78"/>
      <c r="C1419" s="189"/>
      <c r="D1419" s="185"/>
      <c r="E1419" s="186"/>
      <c r="F1419" s="187"/>
    </row>
    <row r="1420" spans="1:6" x14ac:dyDescent="0.2">
      <c r="A1420" s="275"/>
      <c r="B1420" s="78"/>
      <c r="C1420" s="189"/>
      <c r="D1420" s="185"/>
      <c r="E1420" s="186"/>
      <c r="F1420" s="187"/>
    </row>
    <row r="1421" spans="1:6" x14ac:dyDescent="0.2">
      <c r="A1421" s="275"/>
      <c r="B1421" s="78"/>
      <c r="C1421" s="189"/>
      <c r="D1421" s="185"/>
      <c r="E1421" s="186"/>
      <c r="F1421" s="187"/>
    </row>
    <row r="1422" spans="1:6" x14ac:dyDescent="0.2">
      <c r="A1422" s="275"/>
      <c r="B1422" s="78"/>
      <c r="C1422" s="189"/>
      <c r="D1422" s="185"/>
      <c r="E1422" s="186"/>
      <c r="F1422" s="187"/>
    </row>
    <row r="1423" spans="1:6" x14ac:dyDescent="0.2">
      <c r="A1423" s="275"/>
      <c r="B1423" s="78"/>
      <c r="C1423" s="189"/>
      <c r="D1423" s="185"/>
      <c r="E1423" s="186"/>
      <c r="F1423" s="187"/>
    </row>
    <row r="1424" spans="1:6" x14ac:dyDescent="0.2">
      <c r="A1424" s="275"/>
      <c r="B1424" s="78"/>
      <c r="C1424" s="189"/>
      <c r="D1424" s="185"/>
      <c r="E1424" s="186"/>
      <c r="F1424" s="187"/>
    </row>
    <row r="1425" spans="1:6" x14ac:dyDescent="0.2">
      <c r="A1425" s="275"/>
      <c r="B1425" s="78"/>
      <c r="C1425" s="189"/>
      <c r="D1425" s="185"/>
      <c r="E1425" s="186"/>
      <c r="F1425" s="187"/>
    </row>
    <row r="1426" spans="1:6" x14ac:dyDescent="0.2">
      <c r="A1426" s="275"/>
      <c r="B1426" s="78"/>
      <c r="C1426" s="189"/>
      <c r="D1426" s="185"/>
      <c r="E1426" s="186"/>
      <c r="F1426" s="187"/>
    </row>
    <row r="1427" spans="1:6" x14ac:dyDescent="0.2">
      <c r="A1427" s="275"/>
      <c r="B1427" s="78"/>
      <c r="C1427" s="189"/>
      <c r="D1427" s="185"/>
      <c r="E1427" s="186"/>
      <c r="F1427" s="187"/>
    </row>
    <row r="1428" spans="1:6" x14ac:dyDescent="0.2">
      <c r="A1428" s="275"/>
      <c r="B1428" s="78"/>
      <c r="C1428" s="189"/>
      <c r="D1428" s="185"/>
      <c r="E1428" s="186"/>
      <c r="F1428" s="187"/>
    </row>
    <row r="1429" spans="1:6" x14ac:dyDescent="0.2">
      <c r="A1429" s="275"/>
      <c r="B1429" s="78"/>
      <c r="C1429" s="189"/>
      <c r="D1429" s="185"/>
      <c r="E1429" s="186"/>
      <c r="F1429" s="187"/>
    </row>
    <row r="1430" spans="1:6" x14ac:dyDescent="0.2">
      <c r="A1430" s="275"/>
      <c r="B1430" s="78"/>
      <c r="C1430" s="189"/>
      <c r="D1430" s="185"/>
      <c r="E1430" s="186"/>
      <c r="F1430" s="187"/>
    </row>
    <row r="1431" spans="1:6" x14ac:dyDescent="0.2">
      <c r="A1431" s="275"/>
      <c r="B1431" s="78"/>
      <c r="C1431" s="189"/>
      <c r="D1431" s="185"/>
      <c r="E1431" s="186"/>
      <c r="F1431" s="187"/>
    </row>
    <row r="1432" spans="1:6" x14ac:dyDescent="0.2">
      <c r="A1432" s="275"/>
      <c r="B1432" s="78"/>
      <c r="C1432" s="189"/>
      <c r="D1432" s="185"/>
      <c r="E1432" s="186"/>
      <c r="F1432" s="187"/>
    </row>
    <row r="1433" spans="1:6" x14ac:dyDescent="0.2">
      <c r="A1433" s="275"/>
      <c r="B1433" s="78"/>
      <c r="C1433" s="189"/>
      <c r="D1433" s="185"/>
      <c r="E1433" s="186"/>
      <c r="F1433" s="187"/>
    </row>
    <row r="1434" spans="1:6" x14ac:dyDescent="0.2">
      <c r="A1434" s="275"/>
      <c r="B1434" s="78"/>
      <c r="C1434" s="189"/>
      <c r="D1434" s="185"/>
      <c r="E1434" s="186"/>
      <c r="F1434" s="187"/>
    </row>
    <row r="1435" spans="1:6" x14ac:dyDescent="0.2">
      <c r="A1435" s="275"/>
      <c r="B1435" s="78"/>
      <c r="C1435" s="189"/>
      <c r="D1435" s="185"/>
      <c r="E1435" s="186"/>
      <c r="F1435" s="187"/>
    </row>
    <row r="1436" spans="1:6" x14ac:dyDescent="0.2">
      <c r="A1436" s="275"/>
      <c r="B1436" s="78"/>
      <c r="C1436" s="189"/>
      <c r="D1436" s="185"/>
      <c r="E1436" s="186"/>
      <c r="F1436" s="187"/>
    </row>
    <row r="1437" spans="1:6" x14ac:dyDescent="0.2">
      <c r="A1437" s="275"/>
      <c r="B1437" s="78"/>
      <c r="C1437" s="189"/>
      <c r="D1437" s="185"/>
      <c r="E1437" s="186"/>
      <c r="F1437" s="187"/>
    </row>
    <row r="1438" spans="1:6" x14ac:dyDescent="0.2">
      <c r="A1438" s="275"/>
      <c r="B1438" s="78"/>
      <c r="C1438" s="189"/>
      <c r="D1438" s="185"/>
      <c r="E1438" s="186"/>
      <c r="F1438" s="187"/>
    </row>
    <row r="1439" spans="1:6" x14ac:dyDescent="0.2">
      <c r="A1439" s="275"/>
      <c r="B1439" s="78"/>
      <c r="C1439" s="189"/>
      <c r="D1439" s="185"/>
      <c r="E1439" s="186"/>
      <c r="F1439" s="187"/>
    </row>
    <row r="1440" spans="1:6" x14ac:dyDescent="0.2">
      <c r="A1440" s="275"/>
      <c r="B1440" s="78"/>
      <c r="C1440" s="189"/>
      <c r="D1440" s="185"/>
      <c r="E1440" s="186"/>
      <c r="F1440" s="187"/>
    </row>
    <row r="1441" spans="1:6" x14ac:dyDescent="0.2">
      <c r="A1441" s="275"/>
      <c r="B1441" s="78"/>
      <c r="C1441" s="189"/>
      <c r="D1441" s="185"/>
      <c r="E1441" s="186"/>
      <c r="F1441" s="187"/>
    </row>
    <row r="1442" spans="1:6" x14ac:dyDescent="0.2">
      <c r="A1442" s="275"/>
      <c r="B1442" s="78"/>
      <c r="C1442" s="189"/>
      <c r="D1442" s="185"/>
      <c r="E1442" s="186"/>
      <c r="F1442" s="187"/>
    </row>
    <row r="1443" spans="1:6" x14ac:dyDescent="0.2">
      <c r="A1443" s="275"/>
      <c r="B1443" s="78"/>
      <c r="C1443" s="189"/>
      <c r="D1443" s="185"/>
      <c r="E1443" s="186"/>
      <c r="F1443" s="187"/>
    </row>
    <row r="1444" spans="1:6" x14ac:dyDescent="0.2">
      <c r="A1444" s="275"/>
      <c r="B1444" s="78"/>
      <c r="C1444" s="189"/>
      <c r="D1444" s="185"/>
      <c r="E1444" s="186"/>
      <c r="F1444" s="187"/>
    </row>
    <row r="1445" spans="1:6" x14ac:dyDescent="0.2">
      <c r="A1445" s="275"/>
      <c r="B1445" s="78"/>
      <c r="C1445" s="189"/>
      <c r="D1445" s="185"/>
      <c r="E1445" s="186"/>
      <c r="F1445" s="187"/>
    </row>
    <row r="1446" spans="1:6" x14ac:dyDescent="0.2">
      <c r="A1446" s="275"/>
      <c r="B1446" s="78"/>
      <c r="C1446" s="189"/>
      <c r="D1446" s="185"/>
      <c r="E1446" s="186"/>
      <c r="F1446" s="187"/>
    </row>
    <row r="1447" spans="1:6" x14ac:dyDescent="0.2">
      <c r="A1447" s="275"/>
      <c r="B1447" s="78"/>
      <c r="C1447" s="189"/>
      <c r="D1447" s="185"/>
      <c r="E1447" s="186"/>
      <c r="F1447" s="187"/>
    </row>
    <row r="1448" spans="1:6" x14ac:dyDescent="0.2">
      <c r="A1448" s="275"/>
      <c r="B1448" s="78"/>
      <c r="C1448" s="189"/>
      <c r="D1448" s="185"/>
      <c r="E1448" s="186"/>
      <c r="F1448" s="187"/>
    </row>
    <row r="1449" spans="1:6" x14ac:dyDescent="0.2">
      <c r="A1449" s="275"/>
      <c r="B1449" s="78"/>
      <c r="C1449" s="189"/>
      <c r="D1449" s="185"/>
      <c r="E1449" s="186"/>
      <c r="F1449" s="187"/>
    </row>
    <row r="1450" spans="1:6" x14ac:dyDescent="0.2">
      <c r="A1450" s="275"/>
      <c r="B1450" s="78"/>
      <c r="C1450" s="189"/>
      <c r="D1450" s="185"/>
      <c r="E1450" s="186"/>
      <c r="F1450" s="187"/>
    </row>
    <row r="1451" spans="1:6" x14ac:dyDescent="0.2">
      <c r="A1451" s="275"/>
      <c r="B1451" s="78"/>
      <c r="C1451" s="189"/>
      <c r="D1451" s="185"/>
      <c r="E1451" s="186"/>
      <c r="F1451" s="187"/>
    </row>
    <row r="1452" spans="1:6" x14ac:dyDescent="0.2">
      <c r="A1452" s="275"/>
      <c r="B1452" s="78"/>
      <c r="C1452" s="189"/>
      <c r="D1452" s="185"/>
      <c r="E1452" s="186"/>
      <c r="F1452" s="187"/>
    </row>
    <row r="1453" spans="1:6" x14ac:dyDescent="0.2">
      <c r="A1453" s="275"/>
      <c r="B1453" s="78"/>
      <c r="C1453" s="189"/>
      <c r="D1453" s="185"/>
      <c r="E1453" s="186"/>
      <c r="F1453" s="187"/>
    </row>
    <row r="1454" spans="1:6" x14ac:dyDescent="0.2">
      <c r="A1454" s="275"/>
      <c r="B1454" s="78"/>
      <c r="C1454" s="189"/>
      <c r="D1454" s="185"/>
      <c r="E1454" s="186"/>
      <c r="F1454" s="187"/>
    </row>
    <row r="1455" spans="1:6" x14ac:dyDescent="0.2">
      <c r="A1455" s="275"/>
      <c r="B1455" s="78"/>
      <c r="C1455" s="189"/>
      <c r="D1455" s="185"/>
      <c r="E1455" s="186"/>
      <c r="F1455" s="187"/>
    </row>
    <row r="1456" spans="1:6" x14ac:dyDescent="0.2">
      <c r="A1456" s="275"/>
      <c r="B1456" s="78"/>
      <c r="C1456" s="189"/>
      <c r="D1456" s="185"/>
      <c r="E1456" s="186"/>
      <c r="F1456" s="187"/>
    </row>
    <row r="1457" spans="1:6" x14ac:dyDescent="0.2">
      <c r="A1457" s="275"/>
      <c r="B1457" s="78"/>
      <c r="C1457" s="189"/>
      <c r="D1457" s="185"/>
      <c r="E1457" s="186"/>
      <c r="F1457" s="187"/>
    </row>
    <row r="1458" spans="1:6" x14ac:dyDescent="0.2">
      <c r="A1458" s="275"/>
      <c r="B1458" s="78"/>
      <c r="C1458" s="189"/>
      <c r="D1458" s="185"/>
      <c r="E1458" s="186"/>
      <c r="F1458" s="187"/>
    </row>
    <row r="1459" spans="1:6" x14ac:dyDescent="0.2">
      <c r="A1459" s="275"/>
      <c r="B1459" s="78"/>
      <c r="C1459" s="189"/>
      <c r="D1459" s="185"/>
      <c r="E1459" s="186"/>
      <c r="F1459" s="187"/>
    </row>
    <row r="1460" spans="1:6" x14ac:dyDescent="0.2">
      <c r="A1460" s="275"/>
      <c r="B1460" s="78"/>
      <c r="C1460" s="189"/>
      <c r="D1460" s="185"/>
      <c r="E1460" s="186"/>
      <c r="F1460" s="187"/>
    </row>
    <row r="1461" spans="1:6" x14ac:dyDescent="0.2">
      <c r="A1461" s="275"/>
      <c r="B1461" s="78"/>
      <c r="C1461" s="189"/>
      <c r="D1461" s="185"/>
      <c r="E1461" s="186"/>
      <c r="F1461" s="187"/>
    </row>
    <row r="1462" spans="1:6" x14ac:dyDescent="0.2">
      <c r="A1462" s="275"/>
      <c r="B1462" s="78"/>
      <c r="C1462" s="189"/>
      <c r="D1462" s="185"/>
      <c r="E1462" s="186"/>
      <c r="F1462" s="187"/>
    </row>
    <row r="1463" spans="1:6" x14ac:dyDescent="0.2">
      <c r="A1463" s="275"/>
      <c r="B1463" s="78"/>
      <c r="C1463" s="189"/>
      <c r="D1463" s="185"/>
      <c r="E1463" s="186"/>
      <c r="F1463" s="187"/>
    </row>
    <row r="1464" spans="1:6" x14ac:dyDescent="0.2">
      <c r="A1464" s="275"/>
      <c r="B1464" s="78"/>
      <c r="C1464" s="189"/>
      <c r="D1464" s="185"/>
      <c r="E1464" s="186"/>
      <c r="F1464" s="187"/>
    </row>
    <row r="1465" spans="1:6" x14ac:dyDescent="0.2">
      <c r="A1465" s="275"/>
      <c r="B1465" s="78"/>
      <c r="C1465" s="189"/>
      <c r="D1465" s="185"/>
      <c r="E1465" s="186"/>
      <c r="F1465" s="187"/>
    </row>
    <row r="1466" spans="1:6" x14ac:dyDescent="0.2">
      <c r="A1466" s="275"/>
      <c r="B1466" s="78"/>
      <c r="C1466" s="189"/>
      <c r="D1466" s="185"/>
      <c r="E1466" s="186"/>
      <c r="F1466" s="187"/>
    </row>
    <row r="1467" spans="1:6" x14ac:dyDescent="0.2">
      <c r="A1467" s="275"/>
      <c r="B1467" s="78"/>
      <c r="C1467" s="189"/>
      <c r="D1467" s="185"/>
      <c r="E1467" s="186"/>
      <c r="F1467" s="187"/>
    </row>
    <row r="1468" spans="1:6" x14ac:dyDescent="0.2">
      <c r="A1468" s="275"/>
      <c r="B1468" s="78"/>
      <c r="C1468" s="189"/>
      <c r="D1468" s="185"/>
      <c r="E1468" s="186"/>
      <c r="F1468" s="187"/>
    </row>
    <row r="1469" spans="1:6" x14ac:dyDescent="0.2">
      <c r="A1469" s="275"/>
      <c r="B1469" s="78"/>
      <c r="C1469" s="189"/>
      <c r="D1469" s="185"/>
      <c r="E1469" s="186"/>
      <c r="F1469" s="187"/>
    </row>
    <row r="1470" spans="1:6" x14ac:dyDescent="0.2">
      <c r="A1470" s="275"/>
      <c r="B1470" s="78"/>
      <c r="C1470" s="189"/>
      <c r="D1470" s="185"/>
      <c r="E1470" s="186"/>
      <c r="F1470" s="187"/>
    </row>
    <row r="1471" spans="1:6" x14ac:dyDescent="0.2">
      <c r="A1471" s="275"/>
      <c r="B1471" s="78"/>
      <c r="C1471" s="189"/>
      <c r="D1471" s="185"/>
      <c r="E1471" s="186"/>
      <c r="F1471" s="187"/>
    </row>
    <row r="1472" spans="1:6" x14ac:dyDescent="0.2">
      <c r="A1472" s="275"/>
      <c r="B1472" s="78"/>
      <c r="C1472" s="189"/>
      <c r="D1472" s="185"/>
      <c r="E1472" s="186"/>
      <c r="F1472" s="187"/>
    </row>
    <row r="1473" spans="1:6" x14ac:dyDescent="0.2">
      <c r="A1473" s="275"/>
      <c r="B1473" s="78"/>
      <c r="C1473" s="189"/>
      <c r="D1473" s="185"/>
      <c r="E1473" s="186"/>
      <c r="F1473" s="187"/>
    </row>
    <row r="1474" spans="1:6" x14ac:dyDescent="0.2">
      <c r="A1474" s="275"/>
      <c r="B1474" s="78"/>
      <c r="C1474" s="189"/>
      <c r="D1474" s="185"/>
      <c r="E1474" s="186"/>
      <c r="F1474" s="187"/>
    </row>
    <row r="1475" spans="1:6" x14ac:dyDescent="0.2">
      <c r="A1475" s="275"/>
      <c r="B1475" s="78"/>
      <c r="C1475" s="189"/>
      <c r="D1475" s="185"/>
      <c r="E1475" s="186"/>
      <c r="F1475" s="187"/>
    </row>
    <row r="1476" spans="1:6" x14ac:dyDescent="0.2">
      <c r="A1476" s="275"/>
      <c r="B1476" s="78"/>
      <c r="C1476" s="189"/>
      <c r="D1476" s="185"/>
      <c r="E1476" s="186"/>
      <c r="F1476" s="187"/>
    </row>
    <row r="1477" spans="1:6" x14ac:dyDescent="0.2">
      <c r="A1477" s="275"/>
      <c r="B1477" s="78"/>
      <c r="C1477" s="189"/>
      <c r="D1477" s="185"/>
      <c r="E1477" s="186"/>
      <c r="F1477" s="187"/>
    </row>
    <row r="1478" spans="1:6" x14ac:dyDescent="0.2">
      <c r="A1478" s="275"/>
      <c r="B1478" s="78"/>
      <c r="C1478" s="189"/>
      <c r="D1478" s="185"/>
      <c r="E1478" s="186"/>
      <c r="F1478" s="187"/>
    </row>
    <row r="1479" spans="1:6" x14ac:dyDescent="0.2">
      <c r="A1479" s="275"/>
      <c r="B1479" s="78"/>
      <c r="C1479" s="189"/>
      <c r="D1479" s="185"/>
      <c r="E1479" s="186"/>
      <c r="F1479" s="187"/>
    </row>
    <row r="1480" spans="1:6" x14ac:dyDescent="0.2">
      <c r="A1480" s="275"/>
      <c r="B1480" s="78"/>
      <c r="C1480" s="189"/>
      <c r="D1480" s="185"/>
      <c r="E1480" s="186"/>
      <c r="F1480" s="187"/>
    </row>
    <row r="1481" spans="1:6" x14ac:dyDescent="0.2">
      <c r="A1481" s="275"/>
      <c r="B1481" s="78"/>
      <c r="C1481" s="189"/>
      <c r="D1481" s="185"/>
      <c r="E1481" s="186"/>
      <c r="F1481" s="187"/>
    </row>
    <row r="1482" spans="1:6" x14ac:dyDescent="0.2">
      <c r="A1482" s="275"/>
      <c r="B1482" s="78"/>
      <c r="C1482" s="189"/>
      <c r="D1482" s="185"/>
      <c r="E1482" s="186"/>
      <c r="F1482" s="187"/>
    </row>
    <row r="1483" spans="1:6" x14ac:dyDescent="0.2">
      <c r="A1483" s="275"/>
      <c r="B1483" s="78"/>
      <c r="C1483" s="189"/>
      <c r="D1483" s="185"/>
      <c r="E1483" s="186"/>
      <c r="F1483" s="187"/>
    </row>
    <row r="1484" spans="1:6" x14ac:dyDescent="0.2">
      <c r="A1484" s="275"/>
      <c r="B1484" s="78"/>
      <c r="C1484" s="189"/>
      <c r="D1484" s="185"/>
      <c r="E1484" s="186"/>
      <c r="F1484" s="187"/>
    </row>
    <row r="1485" spans="1:6" x14ac:dyDescent="0.2">
      <c r="A1485" s="275"/>
      <c r="B1485" s="78"/>
      <c r="C1485" s="189"/>
      <c r="D1485" s="185"/>
      <c r="E1485" s="186"/>
      <c r="F1485" s="187"/>
    </row>
    <row r="1486" spans="1:6" x14ac:dyDescent="0.2">
      <c r="A1486" s="275"/>
      <c r="B1486" s="78"/>
      <c r="C1486" s="189"/>
      <c r="D1486" s="185"/>
      <c r="E1486" s="186"/>
      <c r="F1486" s="187"/>
    </row>
    <row r="1487" spans="1:6" x14ac:dyDescent="0.2">
      <c r="A1487" s="275"/>
      <c r="B1487" s="78"/>
      <c r="C1487" s="189"/>
      <c r="D1487" s="185"/>
      <c r="E1487" s="186"/>
      <c r="F1487" s="187"/>
    </row>
    <row r="1488" spans="1:6" x14ac:dyDescent="0.2">
      <c r="A1488" s="275"/>
      <c r="B1488" s="78"/>
      <c r="C1488" s="189"/>
      <c r="D1488" s="185"/>
      <c r="E1488" s="186"/>
      <c r="F1488" s="187"/>
    </row>
    <row r="1489" spans="1:6" x14ac:dyDescent="0.2">
      <c r="A1489" s="275"/>
      <c r="B1489" s="78"/>
      <c r="C1489" s="189"/>
      <c r="D1489" s="185"/>
      <c r="E1489" s="186"/>
      <c r="F1489" s="187"/>
    </row>
    <row r="1490" spans="1:6" x14ac:dyDescent="0.2">
      <c r="A1490" s="275"/>
      <c r="B1490" s="78"/>
      <c r="C1490" s="189"/>
      <c r="D1490" s="185"/>
      <c r="E1490" s="186"/>
      <c r="F1490" s="187"/>
    </row>
    <row r="1491" spans="1:6" x14ac:dyDescent="0.2">
      <c r="A1491" s="275"/>
      <c r="B1491" s="78"/>
      <c r="C1491" s="189"/>
      <c r="D1491" s="185"/>
      <c r="E1491" s="186"/>
      <c r="F1491" s="187"/>
    </row>
    <row r="1492" spans="1:6" x14ac:dyDescent="0.2">
      <c r="A1492" s="275"/>
      <c r="B1492" s="78"/>
      <c r="C1492" s="189"/>
      <c r="D1492" s="185"/>
      <c r="E1492" s="186"/>
      <c r="F1492" s="187"/>
    </row>
    <row r="1493" spans="1:6" x14ac:dyDescent="0.2">
      <c r="A1493" s="275"/>
      <c r="B1493" s="78"/>
      <c r="C1493" s="189"/>
      <c r="D1493" s="185"/>
      <c r="E1493" s="186"/>
      <c r="F1493" s="187"/>
    </row>
    <row r="1494" spans="1:6" x14ac:dyDescent="0.2">
      <c r="A1494" s="275"/>
      <c r="B1494" s="78"/>
      <c r="C1494" s="189"/>
      <c r="D1494" s="185"/>
      <c r="E1494" s="186"/>
      <c r="F1494" s="187"/>
    </row>
    <row r="1495" spans="1:6" x14ac:dyDescent="0.2">
      <c r="A1495" s="275"/>
      <c r="B1495" s="78"/>
      <c r="C1495" s="189"/>
      <c r="D1495" s="185"/>
      <c r="E1495" s="186"/>
      <c r="F1495" s="187"/>
    </row>
    <row r="1496" spans="1:6" x14ac:dyDescent="0.2">
      <c r="A1496" s="275"/>
      <c r="B1496" s="78"/>
      <c r="C1496" s="189"/>
      <c r="D1496" s="185"/>
      <c r="E1496" s="186"/>
      <c r="F1496" s="187"/>
    </row>
    <row r="1497" spans="1:6" x14ac:dyDescent="0.2">
      <c r="A1497" s="275"/>
      <c r="B1497" s="78"/>
      <c r="C1497" s="189"/>
      <c r="D1497" s="185"/>
      <c r="E1497" s="186"/>
      <c r="F1497" s="187"/>
    </row>
    <row r="1498" spans="1:6" x14ac:dyDescent="0.2">
      <c r="A1498" s="275"/>
      <c r="B1498" s="78"/>
      <c r="C1498" s="189"/>
      <c r="D1498" s="185"/>
      <c r="E1498" s="186"/>
      <c r="F1498" s="187"/>
    </row>
    <row r="1499" spans="1:6" x14ac:dyDescent="0.2">
      <c r="A1499" s="275"/>
      <c r="B1499" s="78"/>
      <c r="C1499" s="189"/>
      <c r="D1499" s="185"/>
      <c r="E1499" s="186"/>
      <c r="F1499" s="187"/>
    </row>
    <row r="1500" spans="1:6" x14ac:dyDescent="0.2">
      <c r="A1500" s="275"/>
      <c r="B1500" s="78"/>
      <c r="C1500" s="189"/>
      <c r="D1500" s="185"/>
      <c r="E1500" s="186"/>
      <c r="F1500" s="187"/>
    </row>
    <row r="1501" spans="1:6" x14ac:dyDescent="0.2">
      <c r="A1501" s="275"/>
      <c r="B1501" s="78"/>
      <c r="C1501" s="189"/>
      <c r="D1501" s="185"/>
      <c r="E1501" s="186"/>
      <c r="F1501" s="187"/>
    </row>
    <row r="1502" spans="1:6" x14ac:dyDescent="0.2">
      <c r="A1502" s="275"/>
      <c r="B1502" s="78"/>
      <c r="C1502" s="189"/>
      <c r="D1502" s="185"/>
      <c r="E1502" s="186"/>
      <c r="F1502" s="187"/>
    </row>
    <row r="1503" spans="1:6" x14ac:dyDescent="0.2">
      <c r="A1503" s="275"/>
      <c r="B1503" s="78"/>
      <c r="C1503" s="189"/>
      <c r="D1503" s="185"/>
      <c r="E1503" s="186"/>
      <c r="F1503" s="187"/>
    </row>
    <row r="1504" spans="1:6" x14ac:dyDescent="0.2">
      <c r="A1504" s="275"/>
      <c r="B1504" s="78"/>
      <c r="C1504" s="189"/>
      <c r="D1504" s="185"/>
      <c r="E1504" s="186"/>
      <c r="F1504" s="187"/>
    </row>
    <row r="1505" spans="1:6" x14ac:dyDescent="0.2">
      <c r="A1505" s="275"/>
      <c r="B1505" s="78"/>
      <c r="C1505" s="189"/>
      <c r="D1505" s="185"/>
      <c r="E1505" s="186"/>
      <c r="F1505" s="187"/>
    </row>
    <row r="1506" spans="1:6" x14ac:dyDescent="0.2">
      <c r="A1506" s="275"/>
      <c r="B1506" s="78"/>
      <c r="C1506" s="189"/>
      <c r="D1506" s="185"/>
      <c r="E1506" s="186"/>
      <c r="F1506" s="187"/>
    </row>
    <row r="1507" spans="1:6" x14ac:dyDescent="0.2">
      <c r="A1507" s="275"/>
      <c r="B1507" s="78"/>
      <c r="C1507" s="189"/>
      <c r="D1507" s="185"/>
      <c r="E1507" s="186"/>
      <c r="F1507" s="187"/>
    </row>
    <row r="1508" spans="1:6" x14ac:dyDescent="0.2">
      <c r="A1508" s="275"/>
      <c r="B1508" s="78"/>
      <c r="C1508" s="189"/>
      <c r="D1508" s="185"/>
      <c r="E1508" s="186"/>
      <c r="F1508" s="187"/>
    </row>
    <row r="1509" spans="1:6" x14ac:dyDescent="0.2">
      <c r="A1509" s="275"/>
      <c r="B1509" s="78"/>
      <c r="C1509" s="189"/>
      <c r="D1509" s="185"/>
      <c r="E1509" s="186"/>
      <c r="F1509" s="187"/>
    </row>
    <row r="1510" spans="1:6" x14ac:dyDescent="0.2">
      <c r="A1510" s="275"/>
      <c r="B1510" s="78"/>
      <c r="C1510" s="189"/>
      <c r="D1510" s="185"/>
      <c r="E1510" s="186"/>
      <c r="F1510" s="187"/>
    </row>
    <row r="1511" spans="1:6" x14ac:dyDescent="0.2">
      <c r="A1511" s="275"/>
      <c r="B1511" s="78"/>
      <c r="C1511" s="189"/>
      <c r="D1511" s="185"/>
      <c r="E1511" s="186"/>
      <c r="F1511" s="187"/>
    </row>
    <row r="1512" spans="1:6" x14ac:dyDescent="0.2">
      <c r="A1512" s="275"/>
      <c r="B1512" s="78"/>
      <c r="C1512" s="189"/>
      <c r="D1512" s="185"/>
      <c r="E1512" s="186"/>
      <c r="F1512" s="187"/>
    </row>
    <row r="1513" spans="1:6" x14ac:dyDescent="0.2">
      <c r="A1513" s="275"/>
      <c r="B1513" s="78"/>
      <c r="C1513" s="189"/>
      <c r="D1513" s="185"/>
      <c r="E1513" s="186"/>
      <c r="F1513" s="187"/>
    </row>
    <row r="1514" spans="1:6" x14ac:dyDescent="0.2">
      <c r="A1514" s="275"/>
      <c r="B1514" s="78"/>
      <c r="C1514" s="189"/>
      <c r="D1514" s="185"/>
      <c r="E1514" s="186"/>
      <c r="F1514" s="187"/>
    </row>
    <row r="1515" spans="1:6" x14ac:dyDescent="0.2">
      <c r="A1515" s="275"/>
      <c r="B1515" s="78"/>
      <c r="C1515" s="189"/>
      <c r="D1515" s="185"/>
      <c r="E1515" s="186"/>
      <c r="F1515" s="187"/>
    </row>
    <row r="1516" spans="1:6" x14ac:dyDescent="0.2">
      <c r="A1516" s="275"/>
      <c r="B1516" s="78"/>
      <c r="C1516" s="189"/>
      <c r="D1516" s="185"/>
      <c r="E1516" s="186"/>
      <c r="F1516" s="187"/>
    </row>
    <row r="1517" spans="1:6" x14ac:dyDescent="0.2">
      <c r="A1517" s="275"/>
      <c r="B1517" s="78"/>
      <c r="C1517" s="189"/>
      <c r="D1517" s="185"/>
      <c r="E1517" s="186"/>
      <c r="F1517" s="187"/>
    </row>
    <row r="1518" spans="1:6" x14ac:dyDescent="0.2">
      <c r="A1518" s="275"/>
      <c r="B1518" s="78"/>
      <c r="C1518" s="189"/>
      <c r="D1518" s="185"/>
      <c r="E1518" s="186"/>
      <c r="F1518" s="187"/>
    </row>
    <row r="1519" spans="1:6" x14ac:dyDescent="0.2">
      <c r="A1519" s="275"/>
      <c r="B1519" s="78"/>
      <c r="C1519" s="189"/>
      <c r="D1519" s="185"/>
      <c r="E1519" s="186"/>
      <c r="F1519" s="187"/>
    </row>
    <row r="1520" spans="1:6" x14ac:dyDescent="0.2">
      <c r="A1520" s="275"/>
      <c r="B1520" s="78"/>
      <c r="C1520" s="189"/>
      <c r="D1520" s="185"/>
      <c r="E1520" s="186"/>
      <c r="F1520" s="187"/>
    </row>
    <row r="1521" spans="1:6" x14ac:dyDescent="0.2">
      <c r="A1521" s="275"/>
      <c r="B1521" s="78"/>
      <c r="C1521" s="189"/>
      <c r="D1521" s="185"/>
      <c r="E1521" s="186"/>
      <c r="F1521" s="187"/>
    </row>
    <row r="1522" spans="1:6" x14ac:dyDescent="0.2">
      <c r="A1522" s="275"/>
      <c r="B1522" s="78"/>
      <c r="C1522" s="189"/>
      <c r="D1522" s="185"/>
      <c r="E1522" s="186"/>
      <c r="F1522" s="187"/>
    </row>
    <row r="1523" spans="1:6" x14ac:dyDescent="0.2">
      <c r="A1523" s="275"/>
      <c r="B1523" s="78"/>
      <c r="C1523" s="189"/>
      <c r="D1523" s="185"/>
      <c r="E1523" s="186"/>
      <c r="F1523" s="187"/>
    </row>
    <row r="1524" spans="1:6" x14ac:dyDescent="0.2">
      <c r="A1524" s="275"/>
      <c r="B1524" s="78"/>
      <c r="C1524" s="189"/>
      <c r="D1524" s="185"/>
      <c r="E1524" s="186"/>
      <c r="F1524" s="187"/>
    </row>
    <row r="1525" spans="1:6" x14ac:dyDescent="0.2">
      <c r="A1525" s="275"/>
      <c r="B1525" s="78"/>
      <c r="C1525" s="189"/>
      <c r="D1525" s="185"/>
      <c r="E1525" s="186"/>
      <c r="F1525" s="187"/>
    </row>
    <row r="1526" spans="1:6" x14ac:dyDescent="0.2">
      <c r="A1526" s="275"/>
      <c r="B1526" s="78"/>
      <c r="C1526" s="189"/>
      <c r="D1526" s="185"/>
      <c r="E1526" s="186"/>
      <c r="F1526" s="187"/>
    </row>
    <row r="1527" spans="1:6" x14ac:dyDescent="0.2">
      <c r="A1527" s="275"/>
      <c r="B1527" s="78"/>
      <c r="C1527" s="189"/>
      <c r="D1527" s="185"/>
      <c r="E1527" s="186"/>
      <c r="F1527" s="187"/>
    </row>
    <row r="1528" spans="1:6" x14ac:dyDescent="0.2">
      <c r="A1528" s="275"/>
      <c r="B1528" s="78"/>
      <c r="C1528" s="189"/>
      <c r="D1528" s="185"/>
      <c r="E1528" s="186"/>
      <c r="F1528" s="187"/>
    </row>
    <row r="1529" spans="1:6" x14ac:dyDescent="0.2">
      <c r="A1529" s="275"/>
      <c r="B1529" s="78"/>
      <c r="C1529" s="189"/>
      <c r="D1529" s="185"/>
      <c r="E1529" s="186"/>
      <c r="F1529" s="187"/>
    </row>
    <row r="1530" spans="1:6" x14ac:dyDescent="0.2">
      <c r="A1530" s="275"/>
      <c r="B1530" s="78"/>
      <c r="C1530" s="189"/>
      <c r="D1530" s="185"/>
      <c r="E1530" s="186"/>
      <c r="F1530" s="187"/>
    </row>
    <row r="1531" spans="1:6" x14ac:dyDescent="0.2">
      <c r="A1531" s="275"/>
      <c r="B1531" s="78"/>
      <c r="C1531" s="189"/>
      <c r="D1531" s="185"/>
      <c r="E1531" s="186"/>
      <c r="F1531" s="187"/>
    </row>
    <row r="1532" spans="1:6" x14ac:dyDescent="0.2">
      <c r="A1532" s="275"/>
      <c r="B1532" s="78"/>
      <c r="C1532" s="189"/>
      <c r="D1532" s="185"/>
      <c r="E1532" s="186"/>
      <c r="F1532" s="187"/>
    </row>
    <row r="1533" spans="1:6" x14ac:dyDescent="0.2">
      <c r="A1533" s="275"/>
      <c r="B1533" s="78"/>
      <c r="C1533" s="189"/>
      <c r="D1533" s="185"/>
      <c r="E1533" s="186"/>
      <c r="F1533" s="187"/>
    </row>
    <row r="1534" spans="1:6" x14ac:dyDescent="0.2">
      <c r="A1534" s="275"/>
      <c r="B1534" s="78"/>
      <c r="C1534" s="189"/>
      <c r="D1534" s="185"/>
      <c r="E1534" s="186"/>
      <c r="F1534" s="187"/>
    </row>
    <row r="1535" spans="1:6" x14ac:dyDescent="0.2">
      <c r="A1535" s="275"/>
      <c r="B1535" s="78"/>
      <c r="C1535" s="189"/>
      <c r="D1535" s="185"/>
      <c r="E1535" s="186"/>
      <c r="F1535" s="187"/>
    </row>
    <row r="1536" spans="1:6" x14ac:dyDescent="0.2">
      <c r="A1536" s="275"/>
      <c r="B1536" s="78"/>
      <c r="C1536" s="189"/>
      <c r="D1536" s="185"/>
      <c r="E1536" s="186"/>
      <c r="F1536" s="187"/>
    </row>
    <row r="1537" spans="1:6" x14ac:dyDescent="0.2">
      <c r="A1537" s="275"/>
      <c r="B1537" s="78"/>
      <c r="C1537" s="189"/>
      <c r="D1537" s="185"/>
      <c r="E1537" s="186"/>
      <c r="F1537" s="187"/>
    </row>
    <row r="1538" spans="1:6" x14ac:dyDescent="0.2">
      <c r="A1538" s="275"/>
      <c r="B1538" s="78"/>
      <c r="C1538" s="189"/>
      <c r="D1538" s="185"/>
      <c r="E1538" s="186"/>
      <c r="F1538" s="187"/>
    </row>
    <row r="1539" spans="1:6" x14ac:dyDescent="0.2">
      <c r="A1539" s="275"/>
      <c r="B1539" s="78"/>
      <c r="C1539" s="189"/>
      <c r="D1539" s="185"/>
      <c r="E1539" s="186"/>
      <c r="F1539" s="187"/>
    </row>
    <row r="1540" spans="1:6" x14ac:dyDescent="0.2">
      <c r="A1540" s="275"/>
      <c r="B1540" s="78"/>
      <c r="C1540" s="189"/>
      <c r="D1540" s="185"/>
      <c r="E1540" s="186"/>
      <c r="F1540" s="187"/>
    </row>
    <row r="1541" spans="1:6" x14ac:dyDescent="0.2">
      <c r="A1541" s="275"/>
      <c r="B1541" s="78"/>
      <c r="C1541" s="189"/>
      <c r="D1541" s="185"/>
      <c r="E1541" s="186"/>
      <c r="F1541" s="187"/>
    </row>
    <row r="1542" spans="1:6" x14ac:dyDescent="0.2">
      <c r="A1542" s="275"/>
      <c r="B1542" s="78"/>
      <c r="C1542" s="189"/>
      <c r="D1542" s="185"/>
      <c r="E1542" s="186"/>
      <c r="F1542" s="187"/>
    </row>
    <row r="1543" spans="1:6" x14ac:dyDescent="0.2">
      <c r="A1543" s="275"/>
      <c r="B1543" s="78"/>
      <c r="C1543" s="189"/>
      <c r="D1543" s="185"/>
      <c r="E1543" s="186"/>
      <c r="F1543" s="187"/>
    </row>
    <row r="1544" spans="1:6" x14ac:dyDescent="0.2">
      <c r="A1544" s="275"/>
      <c r="B1544" s="78"/>
      <c r="C1544" s="189"/>
      <c r="D1544" s="185"/>
      <c r="E1544" s="186"/>
      <c r="F1544" s="187"/>
    </row>
    <row r="1545" spans="1:6" x14ac:dyDescent="0.2">
      <c r="A1545" s="275"/>
      <c r="B1545" s="78"/>
      <c r="C1545" s="189"/>
      <c r="D1545" s="185"/>
      <c r="E1545" s="186"/>
      <c r="F1545" s="187"/>
    </row>
    <row r="1546" spans="1:6" x14ac:dyDescent="0.2">
      <c r="A1546" s="275"/>
      <c r="B1546" s="78"/>
      <c r="C1546" s="189"/>
      <c r="D1546" s="185"/>
      <c r="E1546" s="186"/>
      <c r="F1546" s="187"/>
    </row>
    <row r="1547" spans="1:6" x14ac:dyDescent="0.2">
      <c r="A1547" s="275"/>
      <c r="B1547" s="78"/>
      <c r="C1547" s="189"/>
      <c r="D1547" s="185"/>
      <c r="E1547" s="186"/>
      <c r="F1547" s="187"/>
    </row>
    <row r="1548" spans="1:6" x14ac:dyDescent="0.2">
      <c r="A1548" s="275"/>
      <c r="B1548" s="78"/>
      <c r="C1548" s="189"/>
      <c r="D1548" s="185"/>
      <c r="E1548" s="186"/>
      <c r="F1548" s="187"/>
    </row>
    <row r="1549" spans="1:6" x14ac:dyDescent="0.2">
      <c r="A1549" s="275"/>
      <c r="B1549" s="78"/>
      <c r="C1549" s="189"/>
      <c r="D1549" s="185"/>
      <c r="E1549" s="186"/>
      <c r="F1549" s="187"/>
    </row>
    <row r="1550" spans="1:6" x14ac:dyDescent="0.2">
      <c r="A1550" s="275"/>
      <c r="B1550" s="78"/>
      <c r="C1550" s="189"/>
      <c r="D1550" s="185"/>
      <c r="E1550" s="186"/>
      <c r="F1550" s="187"/>
    </row>
    <row r="1551" spans="1:6" x14ac:dyDescent="0.2">
      <c r="A1551" s="275"/>
      <c r="B1551" s="78"/>
      <c r="C1551" s="189"/>
      <c r="D1551" s="185"/>
      <c r="E1551" s="186"/>
      <c r="F1551" s="187"/>
    </row>
    <row r="1552" spans="1:6" x14ac:dyDescent="0.2">
      <c r="A1552" s="275"/>
      <c r="B1552" s="78"/>
      <c r="C1552" s="189"/>
      <c r="D1552" s="185"/>
      <c r="E1552" s="186"/>
      <c r="F1552" s="187"/>
    </row>
    <row r="1553" spans="1:6" x14ac:dyDescent="0.2">
      <c r="A1553" s="275"/>
      <c r="B1553" s="78"/>
      <c r="C1553" s="189"/>
      <c r="D1553" s="185"/>
      <c r="E1553" s="186"/>
      <c r="F1553" s="187"/>
    </row>
    <row r="1554" spans="1:6" x14ac:dyDescent="0.2">
      <c r="A1554" s="275"/>
      <c r="B1554" s="78"/>
      <c r="C1554" s="189"/>
      <c r="D1554" s="185"/>
      <c r="E1554" s="186"/>
      <c r="F1554" s="187"/>
    </row>
    <row r="1555" spans="1:6" x14ac:dyDescent="0.2">
      <c r="A1555" s="275"/>
      <c r="B1555" s="78"/>
      <c r="C1555" s="189"/>
      <c r="D1555" s="185"/>
      <c r="E1555" s="186"/>
      <c r="F1555" s="187"/>
    </row>
    <row r="1556" spans="1:6" x14ac:dyDescent="0.2">
      <c r="A1556" s="275"/>
      <c r="B1556" s="78"/>
      <c r="C1556" s="189"/>
      <c r="D1556" s="185"/>
      <c r="E1556" s="186"/>
      <c r="F1556" s="187"/>
    </row>
    <row r="1557" spans="1:6" x14ac:dyDescent="0.2">
      <c r="A1557" s="275"/>
      <c r="B1557" s="78"/>
      <c r="C1557" s="189"/>
      <c r="D1557" s="185"/>
      <c r="E1557" s="186"/>
      <c r="F1557" s="187"/>
    </row>
    <row r="1558" spans="1:6" x14ac:dyDescent="0.2">
      <c r="A1558" s="275"/>
      <c r="B1558" s="78"/>
      <c r="C1558" s="189"/>
      <c r="D1558" s="185"/>
      <c r="E1558" s="186"/>
      <c r="F1558" s="187"/>
    </row>
    <row r="1559" spans="1:6" x14ac:dyDescent="0.2">
      <c r="A1559" s="275"/>
      <c r="B1559" s="78"/>
      <c r="C1559" s="189"/>
      <c r="D1559" s="185"/>
      <c r="E1559" s="186"/>
      <c r="F1559" s="187"/>
    </row>
    <row r="1560" spans="1:6" x14ac:dyDescent="0.2">
      <c r="A1560" s="275"/>
      <c r="B1560" s="78"/>
      <c r="C1560" s="189"/>
      <c r="D1560" s="185"/>
      <c r="E1560" s="186"/>
      <c r="F1560" s="187"/>
    </row>
    <row r="1561" spans="1:6" x14ac:dyDescent="0.2">
      <c r="A1561" s="275"/>
      <c r="B1561" s="78"/>
      <c r="C1561" s="189"/>
      <c r="D1561" s="185"/>
      <c r="E1561" s="186"/>
      <c r="F1561" s="187"/>
    </row>
    <row r="1562" spans="1:6" x14ac:dyDescent="0.2">
      <c r="A1562" s="275"/>
      <c r="B1562" s="78"/>
      <c r="C1562" s="189"/>
      <c r="D1562" s="185"/>
      <c r="E1562" s="186"/>
      <c r="F1562" s="187"/>
    </row>
    <row r="1563" spans="1:6" x14ac:dyDescent="0.2">
      <c r="A1563" s="275"/>
      <c r="B1563" s="78"/>
      <c r="C1563" s="189"/>
      <c r="D1563" s="185"/>
      <c r="E1563" s="186"/>
      <c r="F1563" s="187"/>
    </row>
    <row r="1564" spans="1:6" x14ac:dyDescent="0.2">
      <c r="A1564" s="275"/>
      <c r="B1564" s="78"/>
      <c r="C1564" s="189"/>
      <c r="D1564" s="185"/>
      <c r="E1564" s="186"/>
      <c r="F1564" s="187"/>
    </row>
    <row r="1565" spans="1:6" x14ac:dyDescent="0.2">
      <c r="A1565" s="275"/>
      <c r="B1565" s="78"/>
      <c r="C1565" s="189"/>
      <c r="D1565" s="185"/>
      <c r="E1565" s="186"/>
      <c r="F1565" s="187"/>
    </row>
    <row r="1566" spans="1:6" x14ac:dyDescent="0.2">
      <c r="A1566" s="275"/>
      <c r="B1566" s="78"/>
      <c r="C1566" s="189"/>
      <c r="D1566" s="185"/>
      <c r="E1566" s="186"/>
      <c r="F1566" s="187"/>
    </row>
    <row r="1567" spans="1:6" x14ac:dyDescent="0.2">
      <c r="A1567" s="275"/>
      <c r="B1567" s="78"/>
      <c r="C1567" s="189"/>
      <c r="D1567" s="185"/>
      <c r="E1567" s="186"/>
      <c r="F1567" s="187"/>
    </row>
    <row r="1568" spans="1:6" x14ac:dyDescent="0.2">
      <c r="A1568" s="275"/>
      <c r="B1568" s="78"/>
      <c r="C1568" s="189"/>
      <c r="D1568" s="185"/>
      <c r="E1568" s="186"/>
      <c r="F1568" s="187"/>
    </row>
    <row r="1569" spans="1:6" x14ac:dyDescent="0.2">
      <c r="A1569" s="275"/>
      <c r="B1569" s="78"/>
      <c r="C1569" s="189"/>
      <c r="D1569" s="185"/>
      <c r="E1569" s="186"/>
      <c r="F1569" s="187"/>
    </row>
    <row r="1570" spans="1:6" x14ac:dyDescent="0.2">
      <c r="A1570" s="275"/>
      <c r="B1570" s="78"/>
      <c r="C1570" s="189"/>
      <c r="D1570" s="185"/>
      <c r="E1570" s="186"/>
      <c r="F1570" s="187"/>
    </row>
    <row r="1571" spans="1:6" x14ac:dyDescent="0.2">
      <c r="A1571" s="275"/>
      <c r="B1571" s="78"/>
      <c r="C1571" s="189"/>
      <c r="D1571" s="185"/>
      <c r="E1571" s="186"/>
      <c r="F1571" s="187"/>
    </row>
    <row r="1572" spans="1:6" x14ac:dyDescent="0.2">
      <c r="A1572" s="275"/>
      <c r="B1572" s="78"/>
      <c r="C1572" s="189"/>
      <c r="D1572" s="185"/>
      <c r="E1572" s="186"/>
      <c r="F1572" s="187"/>
    </row>
    <row r="1573" spans="1:6" x14ac:dyDescent="0.2">
      <c r="A1573" s="275"/>
      <c r="B1573" s="78"/>
      <c r="C1573" s="189"/>
      <c r="D1573" s="185"/>
      <c r="E1573" s="186"/>
      <c r="F1573" s="187"/>
    </row>
    <row r="1574" spans="1:6" x14ac:dyDescent="0.2">
      <c r="A1574" s="275"/>
      <c r="B1574" s="78"/>
      <c r="C1574" s="189"/>
      <c r="D1574" s="185"/>
      <c r="E1574" s="186"/>
      <c r="F1574" s="187"/>
    </row>
    <row r="1575" spans="1:6" x14ac:dyDescent="0.2">
      <c r="A1575" s="275"/>
      <c r="B1575" s="78"/>
      <c r="C1575" s="189"/>
      <c r="D1575" s="185"/>
      <c r="E1575" s="186"/>
      <c r="F1575" s="187"/>
    </row>
    <row r="1576" spans="1:6" x14ac:dyDescent="0.2">
      <c r="A1576" s="275"/>
      <c r="B1576" s="78"/>
      <c r="C1576" s="189"/>
      <c r="D1576" s="185"/>
      <c r="E1576" s="186"/>
      <c r="F1576" s="187"/>
    </row>
    <row r="1577" spans="1:6" x14ac:dyDescent="0.2">
      <c r="A1577" s="275"/>
      <c r="B1577" s="78"/>
      <c r="C1577" s="189"/>
      <c r="D1577" s="185"/>
      <c r="E1577" s="186"/>
      <c r="F1577" s="187"/>
    </row>
    <row r="1578" spans="1:6" x14ac:dyDescent="0.2">
      <c r="A1578" s="275"/>
      <c r="B1578" s="78"/>
      <c r="C1578" s="189"/>
      <c r="D1578" s="185"/>
      <c r="E1578" s="186"/>
      <c r="F1578" s="187"/>
    </row>
    <row r="1579" spans="1:6" x14ac:dyDescent="0.2">
      <c r="A1579" s="275"/>
      <c r="B1579" s="78"/>
      <c r="C1579" s="189"/>
      <c r="D1579" s="185"/>
      <c r="E1579" s="186"/>
      <c r="F1579" s="187"/>
    </row>
    <row r="1580" spans="1:6" x14ac:dyDescent="0.2">
      <c r="A1580" s="275"/>
      <c r="B1580" s="78"/>
      <c r="C1580" s="189"/>
      <c r="D1580" s="185"/>
      <c r="E1580" s="186"/>
      <c r="F1580" s="187"/>
    </row>
    <row r="1581" spans="1:6" x14ac:dyDescent="0.2">
      <c r="A1581" s="275"/>
      <c r="B1581" s="78"/>
      <c r="C1581" s="189"/>
      <c r="D1581" s="185"/>
      <c r="E1581" s="186"/>
      <c r="F1581" s="187"/>
    </row>
    <row r="1582" spans="1:6" x14ac:dyDescent="0.2">
      <c r="A1582" s="275"/>
      <c r="B1582" s="78"/>
      <c r="C1582" s="189"/>
      <c r="D1582" s="185"/>
      <c r="E1582" s="186"/>
      <c r="F1582" s="187"/>
    </row>
    <row r="1583" spans="1:6" x14ac:dyDescent="0.2">
      <c r="A1583" s="275"/>
      <c r="B1583" s="78"/>
      <c r="C1583" s="189"/>
      <c r="D1583" s="185"/>
      <c r="E1583" s="186"/>
      <c r="F1583" s="187"/>
    </row>
    <row r="1584" spans="1:6" x14ac:dyDescent="0.2">
      <c r="A1584" s="275"/>
      <c r="B1584" s="78"/>
      <c r="C1584" s="189"/>
      <c r="D1584" s="185"/>
      <c r="E1584" s="186"/>
      <c r="F1584" s="187"/>
    </row>
    <row r="1585" spans="1:6" x14ac:dyDescent="0.2">
      <c r="A1585" s="275"/>
      <c r="B1585" s="78"/>
      <c r="C1585" s="189"/>
      <c r="D1585" s="185"/>
      <c r="E1585" s="186"/>
      <c r="F1585" s="187"/>
    </row>
    <row r="1586" spans="1:6" x14ac:dyDescent="0.2">
      <c r="A1586" s="275"/>
      <c r="B1586" s="78"/>
      <c r="C1586" s="189"/>
      <c r="D1586" s="185"/>
      <c r="E1586" s="186"/>
      <c r="F1586" s="187"/>
    </row>
    <row r="1587" spans="1:6" x14ac:dyDescent="0.2">
      <c r="A1587" s="275"/>
      <c r="B1587" s="78"/>
      <c r="C1587" s="189"/>
      <c r="D1587" s="185"/>
      <c r="E1587" s="186"/>
      <c r="F1587" s="187"/>
    </row>
    <row r="1588" spans="1:6" x14ac:dyDescent="0.2">
      <c r="A1588" s="275"/>
      <c r="B1588" s="78"/>
      <c r="C1588" s="189"/>
      <c r="D1588" s="185"/>
      <c r="E1588" s="186"/>
      <c r="F1588" s="187"/>
    </row>
    <row r="1589" spans="1:6" x14ac:dyDescent="0.2">
      <c r="A1589" s="275"/>
      <c r="B1589" s="78"/>
      <c r="C1589" s="189"/>
      <c r="D1589" s="185"/>
      <c r="E1589" s="186"/>
      <c r="F1589" s="187"/>
    </row>
    <row r="1590" spans="1:6" x14ac:dyDescent="0.2">
      <c r="A1590" s="275"/>
      <c r="B1590" s="78"/>
      <c r="C1590" s="189"/>
      <c r="D1590" s="185"/>
      <c r="E1590" s="186"/>
      <c r="F1590" s="187"/>
    </row>
    <row r="1591" spans="1:6" x14ac:dyDescent="0.2">
      <c r="A1591" s="275"/>
      <c r="B1591" s="78"/>
      <c r="C1591" s="189"/>
      <c r="D1591" s="185"/>
      <c r="E1591" s="186"/>
      <c r="F1591" s="187"/>
    </row>
    <row r="1592" spans="1:6" x14ac:dyDescent="0.2">
      <c r="A1592" s="275"/>
      <c r="B1592" s="78"/>
      <c r="C1592" s="189"/>
      <c r="D1592" s="185"/>
      <c r="E1592" s="186"/>
      <c r="F1592" s="187"/>
    </row>
    <row r="1593" spans="1:6" x14ac:dyDescent="0.2">
      <c r="A1593" s="275"/>
      <c r="B1593" s="78"/>
      <c r="C1593" s="189"/>
      <c r="D1593" s="185"/>
      <c r="E1593" s="186"/>
      <c r="F1593" s="187"/>
    </row>
    <row r="1594" spans="1:6" x14ac:dyDescent="0.2">
      <c r="A1594" s="275"/>
      <c r="B1594" s="78"/>
      <c r="C1594" s="189"/>
      <c r="D1594" s="185"/>
      <c r="E1594" s="186"/>
      <c r="F1594" s="187"/>
    </row>
    <row r="1595" spans="1:6" x14ac:dyDescent="0.2">
      <c r="A1595" s="275"/>
      <c r="B1595" s="78"/>
      <c r="C1595" s="189"/>
      <c r="D1595" s="185"/>
      <c r="E1595" s="186"/>
      <c r="F1595" s="187"/>
    </row>
    <row r="1596" spans="1:6" x14ac:dyDescent="0.2">
      <c r="A1596" s="275"/>
      <c r="B1596" s="78"/>
      <c r="C1596" s="189"/>
      <c r="D1596" s="185"/>
      <c r="E1596" s="186"/>
      <c r="F1596" s="187"/>
    </row>
    <row r="1597" spans="1:6" x14ac:dyDescent="0.2">
      <c r="A1597" s="275"/>
      <c r="B1597" s="78"/>
      <c r="C1597" s="189"/>
      <c r="D1597" s="185"/>
      <c r="E1597" s="186"/>
      <c r="F1597" s="187"/>
    </row>
    <row r="1598" spans="1:6" x14ac:dyDescent="0.2">
      <c r="A1598" s="275"/>
      <c r="B1598" s="78"/>
      <c r="C1598" s="189"/>
      <c r="D1598" s="185"/>
      <c r="E1598" s="186"/>
      <c r="F1598" s="187"/>
    </row>
    <row r="1599" spans="1:6" x14ac:dyDescent="0.2">
      <c r="A1599" s="275"/>
      <c r="B1599" s="78"/>
      <c r="C1599" s="189"/>
      <c r="D1599" s="185"/>
      <c r="E1599" s="186"/>
      <c r="F1599" s="187"/>
    </row>
    <row r="1600" spans="1:6" x14ac:dyDescent="0.2">
      <c r="A1600" s="275"/>
      <c r="B1600" s="78"/>
      <c r="C1600" s="189"/>
      <c r="D1600" s="185"/>
      <c r="E1600" s="186"/>
      <c r="F1600" s="187"/>
    </row>
    <row r="1601" spans="1:6" x14ac:dyDescent="0.2">
      <c r="A1601" s="275"/>
      <c r="B1601" s="78"/>
      <c r="C1601" s="189"/>
      <c r="D1601" s="185"/>
      <c r="E1601" s="186"/>
      <c r="F1601" s="187"/>
    </row>
    <row r="1602" spans="1:6" x14ac:dyDescent="0.2">
      <c r="A1602" s="275"/>
      <c r="B1602" s="78"/>
      <c r="C1602" s="189"/>
      <c r="D1602" s="185"/>
      <c r="E1602" s="186"/>
      <c r="F1602" s="187"/>
    </row>
    <row r="1603" spans="1:6" x14ac:dyDescent="0.2">
      <c r="A1603" s="275"/>
      <c r="B1603" s="78"/>
      <c r="C1603" s="189"/>
      <c r="D1603" s="185"/>
      <c r="E1603" s="186"/>
      <c r="F1603" s="187"/>
    </row>
    <row r="1604" spans="1:6" x14ac:dyDescent="0.2">
      <c r="A1604" s="275"/>
      <c r="B1604" s="78"/>
      <c r="C1604" s="189"/>
      <c r="D1604" s="185"/>
      <c r="E1604" s="186"/>
      <c r="F1604" s="187"/>
    </row>
    <row r="1605" spans="1:6" x14ac:dyDescent="0.2">
      <c r="A1605" s="275"/>
      <c r="B1605" s="78"/>
      <c r="C1605" s="189"/>
      <c r="D1605" s="185"/>
      <c r="E1605" s="186"/>
      <c r="F1605" s="187"/>
    </row>
    <row r="1606" spans="1:6" x14ac:dyDescent="0.2">
      <c r="A1606" s="275"/>
      <c r="B1606" s="78"/>
      <c r="C1606" s="189"/>
      <c r="D1606" s="185"/>
      <c r="E1606" s="186"/>
      <c r="F1606" s="187"/>
    </row>
    <row r="1607" spans="1:6" x14ac:dyDescent="0.2">
      <c r="A1607" s="275"/>
      <c r="B1607" s="78"/>
      <c r="C1607" s="189"/>
      <c r="D1607" s="185"/>
      <c r="E1607" s="186"/>
      <c r="F1607" s="187"/>
    </row>
    <row r="1608" spans="1:6" x14ac:dyDescent="0.2">
      <c r="A1608" s="275"/>
      <c r="B1608" s="78"/>
      <c r="C1608" s="189"/>
      <c r="D1608" s="185"/>
      <c r="E1608" s="186"/>
      <c r="F1608" s="187"/>
    </row>
    <row r="1609" spans="1:6" x14ac:dyDescent="0.2">
      <c r="A1609" s="275"/>
      <c r="B1609" s="78"/>
      <c r="C1609" s="189"/>
      <c r="D1609" s="185"/>
      <c r="E1609" s="186"/>
      <c r="F1609" s="187"/>
    </row>
    <row r="1610" spans="1:6" x14ac:dyDescent="0.2">
      <c r="A1610" s="275"/>
      <c r="B1610" s="78"/>
      <c r="C1610" s="189"/>
      <c r="D1610" s="185"/>
      <c r="E1610" s="186"/>
      <c r="F1610" s="187"/>
    </row>
    <row r="1611" spans="1:6" x14ac:dyDescent="0.2">
      <c r="A1611" s="275"/>
      <c r="B1611" s="78"/>
      <c r="C1611" s="189"/>
      <c r="D1611" s="185"/>
      <c r="E1611" s="186"/>
      <c r="F1611" s="187"/>
    </row>
    <row r="1612" spans="1:6" x14ac:dyDescent="0.2">
      <c r="A1612" s="275"/>
      <c r="B1612" s="78"/>
      <c r="C1612" s="189"/>
      <c r="D1612" s="185"/>
      <c r="E1612" s="186"/>
      <c r="F1612" s="187"/>
    </row>
    <row r="1613" spans="1:6" x14ac:dyDescent="0.2">
      <c r="A1613" s="275"/>
      <c r="B1613" s="78"/>
      <c r="C1613" s="189"/>
      <c r="D1613" s="185"/>
      <c r="E1613" s="186"/>
      <c r="F1613" s="187"/>
    </row>
    <row r="1614" spans="1:6" x14ac:dyDescent="0.2">
      <c r="A1614" s="275"/>
      <c r="B1614" s="78"/>
      <c r="C1614" s="189"/>
      <c r="D1614" s="185"/>
      <c r="E1614" s="186"/>
      <c r="F1614" s="187"/>
    </row>
    <row r="1615" spans="1:6" x14ac:dyDescent="0.2">
      <c r="A1615" s="275"/>
      <c r="B1615" s="78"/>
      <c r="C1615" s="189"/>
      <c r="D1615" s="185"/>
      <c r="E1615" s="186"/>
      <c r="F1615" s="187"/>
    </row>
    <row r="1616" spans="1:6" x14ac:dyDescent="0.2">
      <c r="A1616" s="275"/>
      <c r="B1616" s="78"/>
      <c r="C1616" s="189"/>
      <c r="D1616" s="185"/>
      <c r="E1616" s="186"/>
      <c r="F1616" s="187"/>
    </row>
    <row r="1617" spans="1:6" x14ac:dyDescent="0.2">
      <c r="A1617" s="275"/>
      <c r="B1617" s="78"/>
      <c r="C1617" s="189"/>
      <c r="D1617" s="185"/>
      <c r="E1617" s="186"/>
      <c r="F1617" s="187"/>
    </row>
    <row r="1618" spans="1:6" x14ac:dyDescent="0.2">
      <c r="A1618" s="275"/>
      <c r="B1618" s="78"/>
      <c r="C1618" s="189"/>
      <c r="D1618" s="185"/>
      <c r="E1618" s="186"/>
      <c r="F1618" s="187"/>
    </row>
    <row r="1619" spans="1:6" x14ac:dyDescent="0.2">
      <c r="A1619" s="275"/>
      <c r="B1619" s="78"/>
      <c r="C1619" s="189"/>
      <c r="D1619" s="185"/>
      <c r="E1619" s="186"/>
      <c r="F1619" s="187"/>
    </row>
    <row r="1620" spans="1:6" x14ac:dyDescent="0.2">
      <c r="A1620" s="275"/>
      <c r="B1620" s="78"/>
      <c r="C1620" s="189"/>
      <c r="D1620" s="185"/>
      <c r="E1620" s="186"/>
      <c r="F1620" s="187"/>
    </row>
    <row r="1621" spans="1:6" x14ac:dyDescent="0.2">
      <c r="A1621" s="275"/>
      <c r="B1621" s="78"/>
      <c r="C1621" s="189"/>
      <c r="D1621" s="185"/>
      <c r="E1621" s="186"/>
      <c r="F1621" s="187"/>
    </row>
    <row r="1622" spans="1:6" x14ac:dyDescent="0.2">
      <c r="A1622" s="275"/>
      <c r="B1622" s="78"/>
      <c r="C1622" s="189"/>
      <c r="D1622" s="185"/>
      <c r="E1622" s="186"/>
      <c r="F1622" s="187"/>
    </row>
    <row r="1623" spans="1:6" x14ac:dyDescent="0.2">
      <c r="A1623" s="275"/>
      <c r="B1623" s="78"/>
      <c r="C1623" s="189"/>
      <c r="D1623" s="185"/>
      <c r="E1623" s="186"/>
      <c r="F1623" s="187"/>
    </row>
    <row r="1624" spans="1:6" x14ac:dyDescent="0.2">
      <c r="A1624" s="275"/>
      <c r="B1624" s="78"/>
      <c r="C1624" s="189"/>
      <c r="D1624" s="185"/>
      <c r="E1624" s="186"/>
      <c r="F1624" s="187"/>
    </row>
    <row r="1625" spans="1:6" x14ac:dyDescent="0.2">
      <c r="A1625" s="275"/>
      <c r="B1625" s="78"/>
      <c r="C1625" s="189"/>
      <c r="D1625" s="185"/>
      <c r="E1625" s="186"/>
      <c r="F1625" s="187"/>
    </row>
    <row r="1626" spans="1:6" x14ac:dyDescent="0.2">
      <c r="A1626" s="275"/>
      <c r="B1626" s="78"/>
      <c r="C1626" s="189"/>
      <c r="D1626" s="185"/>
      <c r="E1626" s="186"/>
      <c r="F1626" s="187"/>
    </row>
    <row r="1627" spans="1:6" x14ac:dyDescent="0.2">
      <c r="A1627" s="275"/>
      <c r="B1627" s="78"/>
      <c r="C1627" s="189"/>
      <c r="D1627" s="185"/>
      <c r="E1627" s="186"/>
      <c r="F1627" s="187"/>
    </row>
    <row r="1628" spans="1:6" x14ac:dyDescent="0.2">
      <c r="A1628" s="275"/>
      <c r="B1628" s="78"/>
      <c r="C1628" s="189"/>
      <c r="D1628" s="185"/>
      <c r="E1628" s="186"/>
      <c r="F1628" s="187"/>
    </row>
    <row r="1629" spans="1:6" x14ac:dyDescent="0.2">
      <c r="A1629" s="275"/>
      <c r="B1629" s="78"/>
      <c r="C1629" s="189"/>
      <c r="D1629" s="185"/>
      <c r="E1629" s="186"/>
      <c r="F1629" s="187"/>
    </row>
    <row r="1630" spans="1:6" x14ac:dyDescent="0.2">
      <c r="A1630" s="275"/>
      <c r="B1630" s="78"/>
      <c r="C1630" s="189"/>
      <c r="D1630" s="185"/>
      <c r="E1630" s="186"/>
      <c r="F1630" s="187"/>
    </row>
    <row r="1631" spans="1:6" x14ac:dyDescent="0.2">
      <c r="A1631" s="275"/>
      <c r="B1631" s="78"/>
      <c r="C1631" s="189"/>
      <c r="D1631" s="185"/>
      <c r="E1631" s="186"/>
      <c r="F1631" s="187"/>
    </row>
    <row r="1632" spans="1:6" x14ac:dyDescent="0.2">
      <c r="A1632" s="275"/>
      <c r="B1632" s="78"/>
      <c r="C1632" s="189"/>
      <c r="D1632" s="185"/>
      <c r="E1632" s="186"/>
      <c r="F1632" s="187"/>
    </row>
    <row r="1633" spans="1:6" x14ac:dyDescent="0.2">
      <c r="A1633" s="275"/>
      <c r="B1633" s="78"/>
      <c r="C1633" s="189"/>
      <c r="D1633" s="185"/>
      <c r="E1633" s="186"/>
      <c r="F1633" s="187"/>
    </row>
    <row r="1634" spans="1:6" x14ac:dyDescent="0.2">
      <c r="A1634" s="275"/>
      <c r="B1634" s="78"/>
      <c r="C1634" s="189"/>
      <c r="D1634" s="185"/>
      <c r="E1634" s="186"/>
      <c r="F1634" s="187"/>
    </row>
    <row r="1635" spans="1:6" x14ac:dyDescent="0.2">
      <c r="A1635" s="275"/>
      <c r="B1635" s="78"/>
      <c r="C1635" s="189"/>
      <c r="D1635" s="185"/>
      <c r="E1635" s="186"/>
      <c r="F1635" s="187"/>
    </row>
    <row r="1636" spans="1:6" x14ac:dyDescent="0.2">
      <c r="A1636" s="275"/>
      <c r="B1636" s="78"/>
      <c r="C1636" s="189"/>
      <c r="D1636" s="185"/>
      <c r="E1636" s="186"/>
      <c r="F1636" s="187"/>
    </row>
    <row r="1637" spans="1:6" x14ac:dyDescent="0.2">
      <c r="A1637" s="275"/>
      <c r="B1637" s="78"/>
      <c r="C1637" s="189"/>
      <c r="D1637" s="185"/>
      <c r="E1637" s="186"/>
      <c r="F1637" s="187"/>
    </row>
    <row r="1638" spans="1:6" x14ac:dyDescent="0.2">
      <c r="A1638" s="275"/>
      <c r="B1638" s="78"/>
      <c r="C1638" s="189"/>
      <c r="D1638" s="185"/>
      <c r="E1638" s="186"/>
      <c r="F1638" s="187"/>
    </row>
    <row r="1639" spans="1:6" x14ac:dyDescent="0.2">
      <c r="A1639" s="275"/>
      <c r="B1639" s="78"/>
      <c r="C1639" s="189"/>
      <c r="D1639" s="185"/>
      <c r="E1639" s="186"/>
      <c r="F1639" s="187"/>
    </row>
    <row r="1640" spans="1:6" x14ac:dyDescent="0.2">
      <c r="A1640" s="275"/>
      <c r="B1640" s="78"/>
      <c r="C1640" s="189"/>
      <c r="D1640" s="185"/>
      <c r="E1640" s="186"/>
      <c r="F1640" s="187"/>
    </row>
    <row r="1641" spans="1:6" x14ac:dyDescent="0.2">
      <c r="A1641" s="275"/>
      <c r="B1641" s="78"/>
      <c r="C1641" s="189"/>
      <c r="D1641" s="185"/>
      <c r="E1641" s="186"/>
      <c r="F1641" s="187"/>
    </row>
    <row r="1642" spans="1:6" x14ac:dyDescent="0.2">
      <c r="A1642" s="275"/>
      <c r="B1642" s="78"/>
      <c r="C1642" s="189"/>
      <c r="D1642" s="185"/>
      <c r="E1642" s="186"/>
      <c r="F1642" s="187"/>
    </row>
    <row r="1643" spans="1:6" x14ac:dyDescent="0.2">
      <c r="A1643" s="275"/>
      <c r="B1643" s="78"/>
      <c r="C1643" s="189"/>
      <c r="D1643" s="185"/>
      <c r="E1643" s="186"/>
      <c r="F1643" s="187"/>
    </row>
    <row r="1644" spans="1:6" x14ac:dyDescent="0.2">
      <c r="A1644" s="275"/>
      <c r="B1644" s="78"/>
      <c r="C1644" s="189"/>
      <c r="D1644" s="185"/>
      <c r="E1644" s="186"/>
      <c r="F1644" s="187"/>
    </row>
    <row r="1645" spans="1:6" x14ac:dyDescent="0.2">
      <c r="A1645" s="275"/>
      <c r="B1645" s="78"/>
      <c r="C1645" s="189"/>
      <c r="D1645" s="185"/>
      <c r="E1645" s="186"/>
      <c r="F1645" s="187"/>
    </row>
    <row r="1646" spans="1:6" x14ac:dyDescent="0.2">
      <c r="A1646" s="275"/>
      <c r="B1646" s="78"/>
      <c r="C1646" s="189"/>
      <c r="D1646" s="185"/>
      <c r="E1646" s="186"/>
      <c r="F1646" s="187"/>
    </row>
    <row r="1647" spans="1:6" x14ac:dyDescent="0.2">
      <c r="A1647" s="275"/>
      <c r="B1647" s="78"/>
      <c r="C1647" s="189"/>
      <c r="D1647" s="185"/>
      <c r="E1647" s="186"/>
      <c r="F1647" s="187"/>
    </row>
    <row r="1648" spans="1:6" x14ac:dyDescent="0.2">
      <c r="A1648" s="275"/>
      <c r="B1648" s="78"/>
      <c r="C1648" s="189"/>
      <c r="D1648" s="185"/>
      <c r="E1648" s="186"/>
      <c r="F1648" s="187"/>
    </row>
    <row r="1649" spans="1:6" x14ac:dyDescent="0.2">
      <c r="A1649" s="275"/>
      <c r="B1649" s="78"/>
      <c r="C1649" s="189"/>
      <c r="D1649" s="185"/>
      <c r="E1649" s="186"/>
      <c r="F1649" s="187"/>
    </row>
    <row r="1650" spans="1:6" x14ac:dyDescent="0.2">
      <c r="A1650" s="275"/>
      <c r="B1650" s="78"/>
      <c r="C1650" s="189"/>
      <c r="D1650" s="185"/>
      <c r="E1650" s="186"/>
      <c r="F1650" s="187"/>
    </row>
    <row r="1651" spans="1:6" x14ac:dyDescent="0.2">
      <c r="A1651" s="275"/>
      <c r="B1651" s="78"/>
      <c r="C1651" s="189"/>
      <c r="D1651" s="185"/>
      <c r="E1651" s="186"/>
      <c r="F1651" s="187"/>
    </row>
    <row r="1652" spans="1:6" x14ac:dyDescent="0.2">
      <c r="A1652" s="275"/>
      <c r="B1652" s="78"/>
      <c r="C1652" s="189"/>
      <c r="D1652" s="185"/>
      <c r="E1652" s="186"/>
      <c r="F1652" s="187"/>
    </row>
    <row r="1653" spans="1:6" x14ac:dyDescent="0.2">
      <c r="A1653" s="275"/>
      <c r="B1653" s="78"/>
      <c r="C1653" s="189"/>
      <c r="D1653" s="185"/>
      <c r="E1653" s="186"/>
      <c r="F1653" s="187"/>
    </row>
    <row r="1654" spans="1:6" x14ac:dyDescent="0.2">
      <c r="A1654" s="275"/>
      <c r="B1654" s="78"/>
      <c r="C1654" s="189"/>
      <c r="D1654" s="185"/>
      <c r="E1654" s="186"/>
      <c r="F1654" s="187"/>
    </row>
    <row r="1655" spans="1:6" x14ac:dyDescent="0.2">
      <c r="A1655" s="275"/>
      <c r="B1655" s="78"/>
      <c r="C1655" s="189"/>
      <c r="D1655" s="185"/>
      <c r="E1655" s="186"/>
      <c r="F1655" s="187"/>
    </row>
    <row r="1656" spans="1:6" x14ac:dyDescent="0.2">
      <c r="A1656" s="275"/>
      <c r="B1656" s="78"/>
      <c r="C1656" s="189"/>
      <c r="D1656" s="185"/>
      <c r="E1656" s="186"/>
      <c r="F1656" s="187"/>
    </row>
    <row r="1657" spans="1:6" x14ac:dyDescent="0.2">
      <c r="A1657" s="275"/>
      <c r="B1657" s="78"/>
      <c r="C1657" s="189"/>
      <c r="D1657" s="185"/>
      <c r="E1657" s="186"/>
      <c r="F1657" s="187"/>
    </row>
    <row r="1658" spans="1:6" x14ac:dyDescent="0.2">
      <c r="A1658" s="275"/>
      <c r="B1658" s="78"/>
      <c r="C1658" s="189"/>
      <c r="D1658" s="185"/>
      <c r="E1658" s="186"/>
      <c r="F1658" s="187"/>
    </row>
    <row r="1659" spans="1:6" x14ac:dyDescent="0.2">
      <c r="A1659" s="275"/>
      <c r="B1659" s="78"/>
      <c r="C1659" s="189"/>
      <c r="D1659" s="185"/>
      <c r="E1659" s="186"/>
      <c r="F1659" s="187"/>
    </row>
    <row r="1660" spans="1:6" x14ac:dyDescent="0.2">
      <c r="A1660" s="275"/>
      <c r="B1660" s="78"/>
      <c r="C1660" s="189"/>
      <c r="D1660" s="185"/>
      <c r="E1660" s="186"/>
      <c r="F1660" s="187"/>
    </row>
    <row r="1661" spans="1:6" x14ac:dyDescent="0.2">
      <c r="A1661" s="275"/>
      <c r="B1661" s="78"/>
      <c r="C1661" s="189"/>
      <c r="D1661" s="185"/>
      <c r="E1661" s="186"/>
      <c r="F1661" s="187"/>
    </row>
    <row r="1662" spans="1:6" x14ac:dyDescent="0.2">
      <c r="A1662" s="275"/>
      <c r="B1662" s="78"/>
      <c r="C1662" s="189"/>
      <c r="D1662" s="185"/>
      <c r="E1662" s="186"/>
      <c r="F1662" s="187"/>
    </row>
    <row r="1663" spans="1:6" x14ac:dyDescent="0.2">
      <c r="A1663" s="275"/>
      <c r="B1663" s="78"/>
      <c r="C1663" s="189"/>
      <c r="D1663" s="185"/>
      <c r="E1663" s="186"/>
      <c r="F1663" s="187"/>
    </row>
    <row r="1664" spans="1:6" x14ac:dyDescent="0.2">
      <c r="A1664" s="275"/>
      <c r="B1664" s="78"/>
      <c r="C1664" s="189"/>
      <c r="D1664" s="185"/>
      <c r="E1664" s="186"/>
      <c r="F1664" s="187"/>
    </row>
    <row r="1665" spans="1:6" x14ac:dyDescent="0.2">
      <c r="A1665" s="275"/>
      <c r="B1665" s="78"/>
      <c r="C1665" s="189"/>
      <c r="D1665" s="185"/>
      <c r="E1665" s="186"/>
      <c r="F1665" s="187"/>
    </row>
    <row r="1666" spans="1:6" x14ac:dyDescent="0.2">
      <c r="A1666" s="275"/>
      <c r="B1666" s="78"/>
      <c r="C1666" s="189"/>
      <c r="D1666" s="185"/>
      <c r="E1666" s="186"/>
      <c r="F1666" s="187"/>
    </row>
    <row r="1667" spans="1:6" x14ac:dyDescent="0.2">
      <c r="A1667" s="275"/>
      <c r="B1667" s="78"/>
      <c r="C1667" s="189"/>
      <c r="D1667" s="185"/>
      <c r="E1667" s="186"/>
      <c r="F1667" s="187"/>
    </row>
    <row r="1668" spans="1:6" x14ac:dyDescent="0.2">
      <c r="A1668" s="275"/>
      <c r="B1668" s="78"/>
      <c r="C1668" s="189"/>
      <c r="D1668" s="185"/>
      <c r="E1668" s="186"/>
      <c r="F1668" s="187"/>
    </row>
    <row r="1669" spans="1:6" x14ac:dyDescent="0.2">
      <c r="A1669" s="275"/>
      <c r="B1669" s="78"/>
      <c r="C1669" s="189"/>
      <c r="D1669" s="185"/>
      <c r="E1669" s="186"/>
      <c r="F1669" s="187"/>
    </row>
    <row r="1670" spans="1:6" x14ac:dyDescent="0.2">
      <c r="A1670" s="275"/>
      <c r="B1670" s="78"/>
      <c r="C1670" s="189"/>
      <c r="D1670" s="185"/>
      <c r="E1670" s="186"/>
      <c r="F1670" s="187"/>
    </row>
    <row r="1671" spans="1:6" x14ac:dyDescent="0.2">
      <c r="A1671" s="275"/>
      <c r="B1671" s="78"/>
      <c r="C1671" s="189"/>
      <c r="D1671" s="185"/>
      <c r="E1671" s="186"/>
      <c r="F1671" s="187"/>
    </row>
    <row r="1672" spans="1:6" x14ac:dyDescent="0.2">
      <c r="A1672" s="275"/>
      <c r="B1672" s="78"/>
      <c r="C1672" s="189"/>
      <c r="D1672" s="185"/>
      <c r="E1672" s="186"/>
      <c r="F1672" s="187"/>
    </row>
    <row r="1673" spans="1:6" x14ac:dyDescent="0.2">
      <c r="A1673" s="275"/>
      <c r="B1673" s="78"/>
      <c r="C1673" s="189"/>
      <c r="D1673" s="185"/>
      <c r="E1673" s="186"/>
      <c r="F1673" s="187"/>
    </row>
    <row r="1674" spans="1:6" x14ac:dyDescent="0.2">
      <c r="A1674" s="275"/>
      <c r="B1674" s="78"/>
      <c r="C1674" s="189"/>
      <c r="D1674" s="185"/>
      <c r="E1674" s="186"/>
      <c r="F1674" s="187"/>
    </row>
    <row r="1675" spans="1:6" x14ac:dyDescent="0.2">
      <c r="A1675" s="275"/>
      <c r="B1675" s="78"/>
      <c r="C1675" s="189"/>
      <c r="D1675" s="185"/>
      <c r="E1675" s="186"/>
      <c r="F1675" s="187"/>
    </row>
    <row r="1676" spans="1:6" x14ac:dyDescent="0.2">
      <c r="A1676" s="275"/>
      <c r="B1676" s="78"/>
      <c r="C1676" s="189"/>
      <c r="D1676" s="185"/>
      <c r="E1676" s="186"/>
      <c r="F1676" s="187"/>
    </row>
    <row r="1677" spans="1:6" x14ac:dyDescent="0.2">
      <c r="A1677" s="275"/>
      <c r="B1677" s="78"/>
      <c r="C1677" s="189"/>
      <c r="D1677" s="185"/>
      <c r="E1677" s="186"/>
      <c r="F1677" s="187"/>
    </row>
    <row r="1678" spans="1:6" x14ac:dyDescent="0.2">
      <c r="A1678" s="275"/>
      <c r="B1678" s="78"/>
      <c r="C1678" s="189"/>
      <c r="D1678" s="185"/>
      <c r="E1678" s="186"/>
      <c r="F1678" s="187"/>
    </row>
    <row r="1679" spans="1:6" x14ac:dyDescent="0.2">
      <c r="A1679" s="275"/>
      <c r="B1679" s="78"/>
      <c r="C1679" s="189"/>
      <c r="D1679" s="185"/>
      <c r="E1679" s="186"/>
      <c r="F1679" s="187"/>
    </row>
    <row r="1680" spans="1:6" x14ac:dyDescent="0.2">
      <c r="A1680" s="275"/>
      <c r="B1680" s="78"/>
      <c r="C1680" s="189"/>
      <c r="D1680" s="185"/>
      <c r="E1680" s="186"/>
      <c r="F1680" s="187"/>
    </row>
    <row r="1681" spans="1:6" x14ac:dyDescent="0.2">
      <c r="A1681" s="275"/>
      <c r="B1681" s="78"/>
      <c r="C1681" s="189"/>
      <c r="D1681" s="185"/>
      <c r="E1681" s="186"/>
      <c r="F1681" s="187"/>
    </row>
    <row r="1682" spans="1:6" x14ac:dyDescent="0.2">
      <c r="A1682" s="275"/>
      <c r="B1682" s="78"/>
      <c r="C1682" s="189"/>
      <c r="D1682" s="185"/>
      <c r="E1682" s="186"/>
      <c r="F1682" s="187"/>
    </row>
    <row r="1683" spans="1:6" x14ac:dyDescent="0.2">
      <c r="A1683" s="275"/>
      <c r="B1683" s="78"/>
      <c r="C1683" s="189"/>
      <c r="D1683" s="185"/>
      <c r="E1683" s="186"/>
      <c r="F1683" s="187"/>
    </row>
    <row r="1684" spans="1:6" x14ac:dyDescent="0.2">
      <c r="A1684" s="275"/>
      <c r="B1684" s="78"/>
      <c r="C1684" s="189"/>
      <c r="D1684" s="185"/>
      <c r="E1684" s="186"/>
      <c r="F1684" s="187"/>
    </row>
    <row r="1685" spans="1:6" x14ac:dyDescent="0.2">
      <c r="A1685" s="275"/>
      <c r="B1685" s="78"/>
      <c r="C1685" s="189"/>
      <c r="D1685" s="185"/>
      <c r="E1685" s="186"/>
      <c r="F1685" s="187"/>
    </row>
    <row r="1686" spans="1:6" x14ac:dyDescent="0.2">
      <c r="A1686" s="275"/>
      <c r="B1686" s="78"/>
      <c r="C1686" s="189"/>
      <c r="D1686" s="185"/>
      <c r="E1686" s="186"/>
      <c r="F1686" s="187"/>
    </row>
    <row r="1687" spans="1:6" x14ac:dyDescent="0.2">
      <c r="A1687" s="275"/>
      <c r="B1687" s="78"/>
      <c r="C1687" s="189"/>
      <c r="D1687" s="185"/>
      <c r="E1687" s="186"/>
      <c r="F1687" s="187"/>
    </row>
    <row r="1688" spans="1:6" x14ac:dyDescent="0.2">
      <c r="A1688" s="275"/>
      <c r="B1688" s="78"/>
      <c r="C1688" s="189"/>
      <c r="D1688" s="185"/>
      <c r="E1688" s="186"/>
      <c r="F1688" s="187"/>
    </row>
    <row r="1689" spans="1:6" x14ac:dyDescent="0.2">
      <c r="A1689" s="275"/>
      <c r="B1689" s="78"/>
      <c r="C1689" s="189"/>
      <c r="D1689" s="185"/>
      <c r="E1689" s="186"/>
      <c r="F1689" s="187"/>
    </row>
    <row r="1690" spans="1:6" x14ac:dyDescent="0.2">
      <c r="A1690" s="275"/>
      <c r="B1690" s="78"/>
      <c r="C1690" s="189"/>
      <c r="D1690" s="185"/>
      <c r="E1690" s="186"/>
      <c r="F1690" s="187"/>
    </row>
    <row r="1691" spans="1:6" x14ac:dyDescent="0.2">
      <c r="A1691" s="275"/>
      <c r="B1691" s="78"/>
      <c r="C1691" s="189"/>
      <c r="D1691" s="185"/>
      <c r="E1691" s="186"/>
      <c r="F1691" s="187"/>
    </row>
    <row r="1692" spans="1:6" x14ac:dyDescent="0.2">
      <c r="A1692" s="275"/>
      <c r="B1692" s="78"/>
      <c r="C1692" s="189"/>
      <c r="D1692" s="185"/>
      <c r="E1692" s="186"/>
      <c r="F1692" s="187"/>
    </row>
    <row r="1693" spans="1:6" x14ac:dyDescent="0.2">
      <c r="A1693" s="275"/>
      <c r="B1693" s="78"/>
      <c r="C1693" s="189"/>
      <c r="D1693" s="185"/>
      <c r="E1693" s="186"/>
      <c r="F1693" s="187"/>
    </row>
    <row r="1694" spans="1:6" x14ac:dyDescent="0.2">
      <c r="A1694" s="275"/>
      <c r="B1694" s="78"/>
      <c r="C1694" s="189"/>
      <c r="D1694" s="185"/>
      <c r="E1694" s="186"/>
      <c r="F1694" s="187"/>
    </row>
    <row r="1695" spans="1:6" x14ac:dyDescent="0.2">
      <c r="A1695" s="275"/>
      <c r="B1695" s="78"/>
      <c r="C1695" s="189"/>
      <c r="D1695" s="185"/>
      <c r="E1695" s="186"/>
      <c r="F1695" s="187"/>
    </row>
    <row r="1696" spans="1:6" x14ac:dyDescent="0.2">
      <c r="A1696" s="275"/>
      <c r="B1696" s="78"/>
      <c r="C1696" s="189"/>
      <c r="D1696" s="185"/>
      <c r="E1696" s="186"/>
      <c r="F1696" s="187"/>
    </row>
    <row r="1697" spans="1:6" x14ac:dyDescent="0.2">
      <c r="A1697" s="275"/>
      <c r="B1697" s="78"/>
      <c r="C1697" s="189"/>
      <c r="D1697" s="185"/>
      <c r="E1697" s="186"/>
      <c r="F1697" s="187"/>
    </row>
    <row r="1698" spans="1:6" x14ac:dyDescent="0.2">
      <c r="A1698" s="275"/>
      <c r="B1698" s="78"/>
      <c r="C1698" s="189"/>
      <c r="D1698" s="185"/>
      <c r="E1698" s="186"/>
      <c r="F1698" s="187"/>
    </row>
    <row r="1699" spans="1:6" x14ac:dyDescent="0.2">
      <c r="A1699" s="275"/>
      <c r="B1699" s="78"/>
      <c r="C1699" s="189"/>
      <c r="D1699" s="185"/>
      <c r="E1699" s="186"/>
      <c r="F1699" s="187"/>
    </row>
    <row r="1700" spans="1:6" x14ac:dyDescent="0.2">
      <c r="A1700" s="275"/>
      <c r="B1700" s="78"/>
      <c r="C1700" s="189"/>
      <c r="D1700" s="185"/>
      <c r="E1700" s="186"/>
      <c r="F1700" s="187"/>
    </row>
    <row r="1701" spans="1:6" x14ac:dyDescent="0.2">
      <c r="A1701" s="275"/>
      <c r="B1701" s="78"/>
      <c r="C1701" s="189"/>
      <c r="D1701" s="185"/>
      <c r="E1701" s="186"/>
      <c r="F1701" s="187"/>
    </row>
    <row r="1702" spans="1:6" x14ac:dyDescent="0.2">
      <c r="A1702" s="275"/>
      <c r="B1702" s="78"/>
      <c r="C1702" s="189"/>
      <c r="D1702" s="185"/>
      <c r="E1702" s="186"/>
      <c r="F1702" s="187"/>
    </row>
    <row r="1703" spans="1:6" x14ac:dyDescent="0.2">
      <c r="A1703" s="275"/>
      <c r="B1703" s="78"/>
      <c r="C1703" s="189"/>
      <c r="D1703" s="185"/>
      <c r="E1703" s="186"/>
      <c r="F1703" s="187"/>
    </row>
    <row r="1704" spans="1:6" x14ac:dyDescent="0.2">
      <c r="A1704" s="275"/>
      <c r="B1704" s="78"/>
      <c r="C1704" s="189"/>
      <c r="D1704" s="185"/>
      <c r="E1704" s="186"/>
      <c r="F1704" s="187"/>
    </row>
    <row r="1705" spans="1:6" x14ac:dyDescent="0.2">
      <c r="A1705" s="275"/>
      <c r="B1705" s="78"/>
      <c r="C1705" s="189"/>
      <c r="D1705" s="185"/>
      <c r="E1705" s="186"/>
      <c r="F1705" s="187"/>
    </row>
    <row r="1706" spans="1:6" x14ac:dyDescent="0.2">
      <c r="A1706" s="275"/>
      <c r="B1706" s="78"/>
      <c r="C1706" s="189"/>
      <c r="D1706" s="185"/>
      <c r="E1706" s="186"/>
      <c r="F1706" s="187"/>
    </row>
    <row r="1707" spans="1:6" x14ac:dyDescent="0.2">
      <c r="A1707" s="275"/>
      <c r="B1707" s="78"/>
      <c r="C1707" s="189"/>
      <c r="D1707" s="185"/>
      <c r="E1707" s="186"/>
      <c r="F1707" s="187"/>
    </row>
    <row r="1708" spans="1:6" x14ac:dyDescent="0.2">
      <c r="A1708" s="275"/>
      <c r="B1708" s="78"/>
      <c r="C1708" s="189"/>
      <c r="D1708" s="185"/>
      <c r="E1708" s="186"/>
      <c r="F1708" s="187"/>
    </row>
    <row r="1709" spans="1:6" x14ac:dyDescent="0.2">
      <c r="A1709" s="275"/>
      <c r="B1709" s="78"/>
      <c r="C1709" s="189"/>
      <c r="D1709" s="185"/>
      <c r="E1709" s="186"/>
      <c r="F1709" s="187"/>
    </row>
    <row r="1710" spans="1:6" x14ac:dyDescent="0.2">
      <c r="A1710" s="275"/>
      <c r="B1710" s="78"/>
      <c r="C1710" s="189"/>
      <c r="D1710" s="185"/>
      <c r="E1710" s="186"/>
      <c r="F1710" s="187"/>
    </row>
    <row r="1711" spans="1:6" x14ac:dyDescent="0.2">
      <c r="A1711" s="275"/>
      <c r="B1711" s="78"/>
      <c r="C1711" s="189"/>
      <c r="D1711" s="185"/>
      <c r="E1711" s="186"/>
      <c r="F1711" s="187"/>
    </row>
    <row r="1712" spans="1:6" x14ac:dyDescent="0.2">
      <c r="A1712" s="275"/>
      <c r="B1712" s="78"/>
      <c r="C1712" s="189"/>
      <c r="D1712" s="185"/>
      <c r="E1712" s="186"/>
      <c r="F1712" s="187"/>
    </row>
    <row r="1713" spans="1:6" x14ac:dyDescent="0.2">
      <c r="A1713" s="275"/>
      <c r="B1713" s="78"/>
      <c r="C1713" s="189"/>
      <c r="D1713" s="185"/>
      <c r="E1713" s="186"/>
      <c r="F1713" s="187"/>
    </row>
    <row r="1714" spans="1:6" x14ac:dyDescent="0.2">
      <c r="A1714" s="275"/>
      <c r="B1714" s="78"/>
      <c r="C1714" s="189"/>
      <c r="D1714" s="185"/>
      <c r="E1714" s="186"/>
      <c r="F1714" s="187"/>
    </row>
    <row r="1715" spans="1:6" x14ac:dyDescent="0.2">
      <c r="A1715" s="275"/>
      <c r="B1715" s="78"/>
      <c r="C1715" s="189"/>
      <c r="D1715" s="185"/>
      <c r="E1715" s="186"/>
      <c r="F1715" s="187"/>
    </row>
    <row r="1716" spans="1:6" x14ac:dyDescent="0.2">
      <c r="A1716" s="275"/>
      <c r="B1716" s="78"/>
      <c r="C1716" s="189"/>
      <c r="D1716" s="185"/>
      <c r="E1716" s="186"/>
      <c r="F1716" s="187"/>
    </row>
    <row r="1717" spans="1:6" x14ac:dyDescent="0.2">
      <c r="A1717" s="275"/>
      <c r="B1717" s="78"/>
      <c r="C1717" s="189"/>
      <c r="D1717" s="185"/>
      <c r="E1717" s="186"/>
      <c r="F1717" s="187"/>
    </row>
    <row r="1718" spans="1:6" x14ac:dyDescent="0.2">
      <c r="A1718" s="275"/>
      <c r="B1718" s="78"/>
      <c r="C1718" s="189"/>
      <c r="D1718" s="185"/>
      <c r="E1718" s="186"/>
      <c r="F1718" s="187"/>
    </row>
    <row r="1719" spans="1:6" x14ac:dyDescent="0.2">
      <c r="A1719" s="275"/>
      <c r="B1719" s="78"/>
      <c r="C1719" s="189"/>
      <c r="D1719" s="185"/>
      <c r="E1719" s="186"/>
      <c r="F1719" s="187"/>
    </row>
    <row r="1720" spans="1:6" x14ac:dyDescent="0.2">
      <c r="A1720" s="275"/>
      <c r="B1720" s="78"/>
      <c r="C1720" s="189"/>
      <c r="D1720" s="185"/>
      <c r="E1720" s="186"/>
      <c r="F1720" s="187"/>
    </row>
    <row r="1721" spans="1:6" x14ac:dyDescent="0.2">
      <c r="A1721" s="275"/>
      <c r="B1721" s="78"/>
      <c r="C1721" s="189"/>
      <c r="D1721" s="185"/>
      <c r="E1721" s="186"/>
      <c r="F1721" s="187"/>
    </row>
    <row r="1722" spans="1:6" x14ac:dyDescent="0.2">
      <c r="A1722" s="275"/>
      <c r="B1722" s="78"/>
      <c r="C1722" s="189"/>
      <c r="D1722" s="185"/>
      <c r="E1722" s="186"/>
      <c r="F1722" s="187"/>
    </row>
    <row r="1723" spans="1:6" x14ac:dyDescent="0.2">
      <c r="A1723" s="275"/>
      <c r="B1723" s="78"/>
      <c r="C1723" s="189"/>
      <c r="D1723" s="185"/>
      <c r="E1723" s="186"/>
      <c r="F1723" s="187"/>
    </row>
    <row r="1724" spans="1:6" x14ac:dyDescent="0.2">
      <c r="A1724" s="275"/>
      <c r="B1724" s="78"/>
      <c r="C1724" s="189"/>
      <c r="D1724" s="185"/>
      <c r="E1724" s="186"/>
      <c r="F1724" s="187"/>
    </row>
    <row r="1725" spans="1:6" x14ac:dyDescent="0.2">
      <c r="A1725" s="275"/>
      <c r="B1725" s="78"/>
      <c r="C1725" s="189"/>
      <c r="D1725" s="185"/>
      <c r="E1725" s="186"/>
      <c r="F1725" s="187"/>
    </row>
    <row r="1726" spans="1:6" x14ac:dyDescent="0.2">
      <c r="A1726" s="275"/>
      <c r="B1726" s="78"/>
      <c r="C1726" s="189"/>
      <c r="D1726" s="185"/>
      <c r="E1726" s="186"/>
      <c r="F1726" s="187"/>
    </row>
    <row r="1727" spans="1:6" x14ac:dyDescent="0.2">
      <c r="A1727" s="275"/>
      <c r="B1727" s="78"/>
      <c r="C1727" s="189"/>
      <c r="D1727" s="185"/>
      <c r="E1727" s="186"/>
      <c r="F1727" s="187"/>
    </row>
    <row r="1728" spans="1:6" x14ac:dyDescent="0.2">
      <c r="A1728" s="275"/>
      <c r="B1728" s="78"/>
      <c r="C1728" s="189"/>
      <c r="D1728" s="185"/>
      <c r="E1728" s="186"/>
      <c r="F1728" s="187"/>
    </row>
    <row r="1729" spans="1:6" x14ac:dyDescent="0.2">
      <c r="A1729" s="275"/>
      <c r="B1729" s="78"/>
      <c r="C1729" s="189"/>
      <c r="D1729" s="185"/>
      <c r="E1729" s="186"/>
      <c r="F1729" s="187"/>
    </row>
    <row r="1730" spans="1:6" x14ac:dyDescent="0.2">
      <c r="A1730" s="275"/>
      <c r="B1730" s="78"/>
      <c r="C1730" s="189"/>
      <c r="D1730" s="185"/>
      <c r="E1730" s="186"/>
      <c r="F1730" s="187"/>
    </row>
    <row r="1731" spans="1:6" x14ac:dyDescent="0.2">
      <c r="A1731" s="275"/>
      <c r="B1731" s="78"/>
      <c r="C1731" s="189"/>
      <c r="D1731" s="185"/>
      <c r="E1731" s="186"/>
      <c r="F1731" s="187"/>
    </row>
    <row r="1732" spans="1:6" x14ac:dyDescent="0.2">
      <c r="A1732" s="275"/>
      <c r="B1732" s="78"/>
      <c r="C1732" s="189"/>
      <c r="D1732" s="185"/>
      <c r="E1732" s="186"/>
      <c r="F1732" s="187"/>
    </row>
    <row r="1733" spans="1:6" x14ac:dyDescent="0.2">
      <c r="A1733" s="275"/>
      <c r="B1733" s="78"/>
      <c r="C1733" s="189"/>
      <c r="D1733" s="185"/>
      <c r="E1733" s="186"/>
      <c r="F1733" s="187"/>
    </row>
    <row r="1734" spans="1:6" x14ac:dyDescent="0.2">
      <c r="A1734" s="275"/>
      <c r="B1734" s="78"/>
      <c r="C1734" s="189"/>
      <c r="D1734" s="185"/>
      <c r="E1734" s="186"/>
      <c r="F1734" s="187"/>
    </row>
    <row r="1735" spans="1:6" x14ac:dyDescent="0.2">
      <c r="A1735" s="275"/>
      <c r="B1735" s="78"/>
      <c r="C1735" s="189"/>
      <c r="D1735" s="185"/>
      <c r="E1735" s="186"/>
      <c r="F1735" s="187"/>
    </row>
    <row r="1736" spans="1:6" x14ac:dyDescent="0.2">
      <c r="A1736" s="275"/>
      <c r="B1736" s="78"/>
      <c r="C1736" s="189"/>
      <c r="D1736" s="185"/>
      <c r="E1736" s="186"/>
      <c r="F1736" s="187"/>
    </row>
    <row r="1737" spans="1:6" x14ac:dyDescent="0.2">
      <c r="A1737" s="275"/>
      <c r="B1737" s="78"/>
      <c r="C1737" s="189"/>
      <c r="D1737" s="185"/>
      <c r="E1737" s="186"/>
      <c r="F1737" s="187"/>
    </row>
    <row r="1738" spans="1:6" x14ac:dyDescent="0.2">
      <c r="A1738" s="275"/>
      <c r="B1738" s="78"/>
      <c r="C1738" s="189"/>
      <c r="D1738" s="185"/>
      <c r="E1738" s="186"/>
      <c r="F1738" s="187"/>
    </row>
    <row r="1739" spans="1:6" x14ac:dyDescent="0.2">
      <c r="A1739" s="275"/>
      <c r="B1739" s="78"/>
      <c r="C1739" s="189"/>
      <c r="D1739" s="185"/>
      <c r="E1739" s="186"/>
      <c r="F1739" s="187"/>
    </row>
    <row r="1740" spans="1:6" x14ac:dyDescent="0.2">
      <c r="A1740" s="275"/>
      <c r="B1740" s="78"/>
      <c r="C1740" s="189"/>
      <c r="D1740" s="185"/>
      <c r="E1740" s="186"/>
      <c r="F1740" s="187"/>
    </row>
    <row r="1741" spans="1:6" x14ac:dyDescent="0.2">
      <c r="A1741" s="275"/>
      <c r="B1741" s="78"/>
      <c r="C1741" s="189"/>
      <c r="D1741" s="185"/>
      <c r="E1741" s="186"/>
      <c r="F1741" s="187"/>
    </row>
    <row r="1742" spans="1:6" x14ac:dyDescent="0.2">
      <c r="A1742" s="275"/>
      <c r="B1742" s="78"/>
      <c r="C1742" s="189"/>
      <c r="D1742" s="185"/>
      <c r="E1742" s="186"/>
      <c r="F1742" s="187"/>
    </row>
    <row r="1743" spans="1:6" x14ac:dyDescent="0.2">
      <c r="A1743" s="275"/>
      <c r="B1743" s="78"/>
      <c r="C1743" s="189"/>
      <c r="D1743" s="185"/>
      <c r="E1743" s="186"/>
      <c r="F1743" s="187"/>
    </row>
    <row r="1744" spans="1:6" x14ac:dyDescent="0.2">
      <c r="A1744" s="275"/>
      <c r="B1744" s="78"/>
      <c r="C1744" s="189"/>
      <c r="D1744" s="185"/>
      <c r="E1744" s="186"/>
      <c r="F1744" s="187"/>
    </row>
    <row r="1745" spans="1:6" x14ac:dyDescent="0.2">
      <c r="A1745" s="275"/>
      <c r="B1745" s="78"/>
      <c r="C1745" s="189"/>
      <c r="D1745" s="185"/>
      <c r="E1745" s="186"/>
      <c r="F1745" s="187"/>
    </row>
    <row r="1746" spans="1:6" x14ac:dyDescent="0.2">
      <c r="A1746" s="275"/>
      <c r="B1746" s="78"/>
      <c r="C1746" s="189"/>
      <c r="D1746" s="185"/>
      <c r="E1746" s="186"/>
      <c r="F1746" s="187"/>
    </row>
    <row r="1747" spans="1:6" x14ac:dyDescent="0.2">
      <c r="A1747" s="275"/>
      <c r="B1747" s="78"/>
      <c r="C1747" s="189"/>
      <c r="D1747" s="185"/>
      <c r="E1747" s="186"/>
      <c r="F1747" s="187"/>
    </row>
    <row r="1748" spans="1:6" x14ac:dyDescent="0.2">
      <c r="A1748" s="275"/>
      <c r="B1748" s="78"/>
      <c r="C1748" s="189"/>
      <c r="D1748" s="185"/>
      <c r="E1748" s="186"/>
      <c r="F1748" s="187"/>
    </row>
    <row r="1749" spans="1:6" x14ac:dyDescent="0.2">
      <c r="A1749" s="275"/>
      <c r="B1749" s="78"/>
      <c r="C1749" s="189"/>
      <c r="D1749" s="185"/>
      <c r="E1749" s="186"/>
      <c r="F1749" s="187"/>
    </row>
    <row r="1750" spans="1:6" x14ac:dyDescent="0.2">
      <c r="A1750" s="275"/>
      <c r="B1750" s="78"/>
      <c r="C1750" s="189"/>
      <c r="D1750" s="185"/>
      <c r="E1750" s="186"/>
      <c r="F1750" s="187"/>
    </row>
    <row r="1751" spans="1:6" x14ac:dyDescent="0.2">
      <c r="A1751" s="275"/>
      <c r="B1751" s="78"/>
      <c r="C1751" s="189"/>
      <c r="D1751" s="185"/>
      <c r="E1751" s="186"/>
      <c r="F1751" s="187"/>
    </row>
    <row r="1752" spans="1:6" x14ac:dyDescent="0.2">
      <c r="A1752" s="275"/>
      <c r="B1752" s="78"/>
      <c r="C1752" s="189"/>
      <c r="D1752" s="185"/>
      <c r="E1752" s="186"/>
      <c r="F1752" s="187"/>
    </row>
    <row r="1753" spans="1:6" x14ac:dyDescent="0.2">
      <c r="A1753" s="275"/>
      <c r="B1753" s="78"/>
      <c r="C1753" s="189"/>
      <c r="D1753" s="185"/>
      <c r="E1753" s="186"/>
      <c r="F1753" s="187"/>
    </row>
    <row r="1754" spans="1:6" x14ac:dyDescent="0.2">
      <c r="A1754" s="275"/>
      <c r="B1754" s="78"/>
      <c r="C1754" s="189"/>
      <c r="D1754" s="185"/>
      <c r="E1754" s="186"/>
      <c r="F1754" s="187"/>
    </row>
    <row r="1755" spans="1:6" x14ac:dyDescent="0.2">
      <c r="A1755" s="275"/>
      <c r="B1755" s="78"/>
      <c r="C1755" s="189"/>
      <c r="D1755" s="185"/>
      <c r="E1755" s="186"/>
      <c r="F1755" s="187"/>
    </row>
    <row r="1756" spans="1:6" x14ac:dyDescent="0.2">
      <c r="A1756" s="275"/>
      <c r="B1756" s="78"/>
      <c r="C1756" s="189"/>
      <c r="D1756" s="185"/>
      <c r="E1756" s="186"/>
      <c r="F1756" s="187"/>
    </row>
    <row r="1757" spans="1:6" x14ac:dyDescent="0.2">
      <c r="A1757" s="275"/>
      <c r="B1757" s="78"/>
      <c r="C1757" s="189"/>
      <c r="D1757" s="185"/>
      <c r="E1757" s="186"/>
      <c r="F1757" s="187"/>
    </row>
    <row r="1758" spans="1:6" x14ac:dyDescent="0.2">
      <c r="A1758" s="275"/>
      <c r="B1758" s="78"/>
      <c r="C1758" s="189"/>
      <c r="D1758" s="185"/>
      <c r="E1758" s="186"/>
      <c r="F1758" s="187"/>
    </row>
    <row r="1759" spans="1:6" x14ac:dyDescent="0.2">
      <c r="A1759" s="275"/>
      <c r="B1759" s="78"/>
      <c r="C1759" s="189"/>
      <c r="D1759" s="185"/>
      <c r="E1759" s="186"/>
      <c r="F1759" s="187"/>
    </row>
    <row r="1760" spans="1:6" x14ac:dyDescent="0.2">
      <c r="A1760" s="275"/>
      <c r="B1760" s="78"/>
      <c r="C1760" s="189"/>
      <c r="D1760" s="185"/>
      <c r="E1760" s="186"/>
      <c r="F1760" s="187"/>
    </row>
    <row r="1761" spans="1:6" x14ac:dyDescent="0.2">
      <c r="A1761" s="275"/>
      <c r="B1761" s="78"/>
      <c r="C1761" s="189"/>
      <c r="D1761" s="185"/>
      <c r="E1761" s="186"/>
      <c r="F1761" s="187"/>
    </row>
    <row r="1762" spans="1:6" x14ac:dyDescent="0.2">
      <c r="A1762" s="275"/>
      <c r="B1762" s="78"/>
      <c r="C1762" s="189"/>
      <c r="D1762" s="185"/>
      <c r="E1762" s="186"/>
      <c r="F1762" s="187"/>
    </row>
    <row r="1763" spans="1:6" x14ac:dyDescent="0.2">
      <c r="A1763" s="275"/>
      <c r="B1763" s="78"/>
      <c r="C1763" s="189"/>
      <c r="D1763" s="185"/>
      <c r="E1763" s="186"/>
      <c r="F1763" s="187"/>
    </row>
    <row r="1764" spans="1:6" x14ac:dyDescent="0.2">
      <c r="A1764" s="275"/>
      <c r="B1764" s="78"/>
      <c r="C1764" s="189"/>
      <c r="D1764" s="185"/>
      <c r="E1764" s="186"/>
      <c r="F1764" s="187"/>
    </row>
    <row r="1765" spans="1:6" x14ac:dyDescent="0.2">
      <c r="A1765" s="275"/>
      <c r="B1765" s="78"/>
      <c r="C1765" s="189"/>
      <c r="D1765" s="185"/>
      <c r="E1765" s="186"/>
      <c r="F1765" s="187"/>
    </row>
    <row r="1766" spans="1:6" x14ac:dyDescent="0.2">
      <c r="A1766" s="275"/>
      <c r="B1766" s="78"/>
      <c r="C1766" s="189"/>
      <c r="D1766" s="185"/>
      <c r="E1766" s="186"/>
      <c r="F1766" s="187"/>
    </row>
    <row r="1767" spans="1:6" x14ac:dyDescent="0.2">
      <c r="A1767" s="275"/>
      <c r="B1767" s="78"/>
      <c r="C1767" s="189"/>
      <c r="D1767" s="185"/>
      <c r="E1767" s="186"/>
      <c r="F1767" s="187"/>
    </row>
    <row r="1768" spans="1:6" x14ac:dyDescent="0.2">
      <c r="A1768" s="275"/>
      <c r="B1768" s="78"/>
      <c r="C1768" s="189"/>
      <c r="D1768" s="185"/>
      <c r="E1768" s="186"/>
      <c r="F1768" s="187"/>
    </row>
    <row r="1769" spans="1:6" x14ac:dyDescent="0.2">
      <c r="A1769" s="275"/>
      <c r="B1769" s="78"/>
      <c r="C1769" s="189"/>
      <c r="D1769" s="185"/>
      <c r="E1769" s="186"/>
      <c r="F1769" s="187"/>
    </row>
    <row r="1770" spans="1:6" x14ac:dyDescent="0.2">
      <c r="A1770" s="275"/>
      <c r="B1770" s="78"/>
      <c r="C1770" s="189"/>
      <c r="D1770" s="185"/>
      <c r="E1770" s="186"/>
      <c r="F1770" s="187"/>
    </row>
    <row r="1771" spans="1:6" x14ac:dyDescent="0.2">
      <c r="A1771" s="275"/>
      <c r="B1771" s="78"/>
      <c r="C1771" s="189"/>
      <c r="D1771" s="185"/>
      <c r="E1771" s="186"/>
      <c r="F1771" s="187"/>
    </row>
    <row r="1772" spans="1:6" x14ac:dyDescent="0.2">
      <c r="A1772" s="275"/>
      <c r="B1772" s="78"/>
      <c r="C1772" s="189"/>
      <c r="D1772" s="185"/>
      <c r="E1772" s="186"/>
      <c r="F1772" s="187"/>
    </row>
    <row r="1773" spans="1:6" x14ac:dyDescent="0.2">
      <c r="A1773" s="275"/>
      <c r="B1773" s="78"/>
      <c r="C1773" s="189"/>
      <c r="D1773" s="185"/>
      <c r="E1773" s="186"/>
      <c r="F1773" s="187"/>
    </row>
    <row r="1774" spans="1:6" x14ac:dyDescent="0.2">
      <c r="A1774" s="275"/>
      <c r="B1774" s="78"/>
      <c r="C1774" s="189"/>
      <c r="D1774" s="185"/>
      <c r="E1774" s="186"/>
      <c r="F1774" s="187"/>
    </row>
    <row r="1775" spans="1:6" x14ac:dyDescent="0.2">
      <c r="A1775" s="275"/>
      <c r="B1775" s="78"/>
      <c r="C1775" s="189"/>
      <c r="D1775" s="185"/>
      <c r="E1775" s="186"/>
      <c r="F1775" s="187"/>
    </row>
    <row r="1776" spans="1:6" x14ac:dyDescent="0.2">
      <c r="A1776" s="275"/>
      <c r="B1776" s="78"/>
      <c r="C1776" s="189"/>
      <c r="D1776" s="185"/>
      <c r="E1776" s="186"/>
      <c r="F1776" s="187"/>
    </row>
    <row r="1777" spans="1:6" x14ac:dyDescent="0.2">
      <c r="A1777" s="275"/>
      <c r="B1777" s="78"/>
      <c r="C1777" s="189"/>
      <c r="D1777" s="185"/>
      <c r="E1777" s="186"/>
      <c r="F1777" s="187"/>
    </row>
    <row r="1778" spans="1:6" x14ac:dyDescent="0.2">
      <c r="A1778" s="275"/>
      <c r="B1778" s="78"/>
      <c r="C1778" s="189"/>
      <c r="D1778" s="185"/>
      <c r="E1778" s="186"/>
      <c r="F1778" s="187"/>
    </row>
    <row r="1779" spans="1:6" x14ac:dyDescent="0.2">
      <c r="A1779" s="275"/>
      <c r="B1779" s="78"/>
      <c r="C1779" s="189"/>
      <c r="D1779" s="185"/>
      <c r="E1779" s="186"/>
      <c r="F1779" s="187"/>
    </row>
    <row r="1780" spans="1:6" x14ac:dyDescent="0.2">
      <c r="A1780" s="275"/>
      <c r="B1780" s="78"/>
      <c r="C1780" s="189"/>
      <c r="D1780" s="185"/>
      <c r="E1780" s="186"/>
      <c r="F1780" s="187"/>
    </row>
    <row r="1781" spans="1:6" x14ac:dyDescent="0.2">
      <c r="A1781" s="275"/>
      <c r="B1781" s="78"/>
      <c r="C1781" s="189"/>
      <c r="D1781" s="185"/>
      <c r="E1781" s="186"/>
      <c r="F1781" s="187"/>
    </row>
    <row r="1782" spans="1:6" x14ac:dyDescent="0.2">
      <c r="A1782" s="275"/>
      <c r="B1782" s="78"/>
      <c r="C1782" s="189"/>
      <c r="D1782" s="185"/>
      <c r="E1782" s="186"/>
      <c r="F1782" s="187"/>
    </row>
    <row r="1783" spans="1:6" x14ac:dyDescent="0.2">
      <c r="A1783" s="275"/>
      <c r="B1783" s="78"/>
      <c r="C1783" s="189"/>
      <c r="D1783" s="185"/>
      <c r="E1783" s="186"/>
      <c r="F1783" s="187"/>
    </row>
    <row r="1784" spans="1:6" x14ac:dyDescent="0.2">
      <c r="A1784" s="275"/>
      <c r="B1784" s="78"/>
      <c r="C1784" s="189"/>
      <c r="D1784" s="185"/>
      <c r="E1784" s="186"/>
      <c r="F1784" s="187"/>
    </row>
    <row r="1785" spans="1:6" x14ac:dyDescent="0.2">
      <c r="A1785" s="275"/>
      <c r="B1785" s="78"/>
      <c r="C1785" s="189"/>
      <c r="D1785" s="185"/>
      <c r="E1785" s="186"/>
      <c r="F1785" s="187"/>
    </row>
    <row r="1786" spans="1:6" x14ac:dyDescent="0.2">
      <c r="A1786" s="275"/>
      <c r="B1786" s="78"/>
      <c r="C1786" s="189"/>
      <c r="D1786" s="185"/>
      <c r="E1786" s="186"/>
      <c r="F1786" s="187"/>
    </row>
    <row r="1787" spans="1:6" x14ac:dyDescent="0.2">
      <c r="A1787" s="275"/>
      <c r="B1787" s="78"/>
      <c r="C1787" s="189"/>
      <c r="D1787" s="185"/>
      <c r="E1787" s="186"/>
      <c r="F1787" s="187"/>
    </row>
    <row r="1788" spans="1:6" x14ac:dyDescent="0.2">
      <c r="A1788" s="275"/>
      <c r="B1788" s="78"/>
      <c r="C1788" s="189"/>
      <c r="D1788" s="185"/>
      <c r="E1788" s="186"/>
      <c r="F1788" s="187"/>
    </row>
    <row r="1789" spans="1:6" x14ac:dyDescent="0.2">
      <c r="A1789" s="275"/>
      <c r="B1789" s="78"/>
      <c r="C1789" s="189"/>
      <c r="D1789" s="185"/>
      <c r="E1789" s="186"/>
      <c r="F1789" s="187"/>
    </row>
    <row r="1790" spans="1:6" x14ac:dyDescent="0.2">
      <c r="A1790" s="275"/>
      <c r="B1790" s="78"/>
      <c r="C1790" s="189"/>
      <c r="D1790" s="185"/>
      <c r="E1790" s="186"/>
      <c r="F1790" s="187"/>
    </row>
    <row r="1791" spans="1:6" x14ac:dyDescent="0.2">
      <c r="A1791" s="275"/>
      <c r="B1791" s="78"/>
      <c r="C1791" s="189"/>
      <c r="D1791" s="185"/>
      <c r="E1791" s="186"/>
      <c r="F1791" s="187"/>
    </row>
    <row r="1792" spans="1:6" x14ac:dyDescent="0.2">
      <c r="A1792" s="275"/>
      <c r="B1792" s="78"/>
      <c r="C1792" s="189"/>
      <c r="D1792" s="185"/>
      <c r="E1792" s="186"/>
      <c r="F1792" s="187"/>
    </row>
    <row r="1793" spans="1:6" x14ac:dyDescent="0.2">
      <c r="A1793" s="275"/>
      <c r="B1793" s="78"/>
      <c r="C1793" s="189"/>
      <c r="D1793" s="185"/>
      <c r="E1793" s="186"/>
      <c r="F1793" s="187"/>
    </row>
    <row r="1794" spans="1:6" x14ac:dyDescent="0.2">
      <c r="A1794" s="275"/>
      <c r="B1794" s="78"/>
      <c r="C1794" s="189"/>
      <c r="D1794" s="185"/>
      <c r="E1794" s="186"/>
      <c r="F1794" s="187"/>
    </row>
    <row r="1795" spans="1:6" x14ac:dyDescent="0.2">
      <c r="A1795" s="275"/>
      <c r="B1795" s="78"/>
      <c r="C1795" s="189"/>
      <c r="D1795" s="185"/>
      <c r="E1795" s="186"/>
      <c r="F1795" s="187"/>
    </row>
    <row r="1796" spans="1:6" x14ac:dyDescent="0.2">
      <c r="A1796" s="275"/>
      <c r="B1796" s="78"/>
      <c r="C1796" s="189"/>
      <c r="D1796" s="185"/>
      <c r="E1796" s="186"/>
      <c r="F1796" s="187"/>
    </row>
    <row r="1797" spans="1:6" x14ac:dyDescent="0.2">
      <c r="A1797" s="275"/>
      <c r="B1797" s="78"/>
      <c r="C1797" s="189"/>
      <c r="D1797" s="185"/>
      <c r="E1797" s="186"/>
      <c r="F1797" s="187"/>
    </row>
    <row r="1798" spans="1:6" x14ac:dyDescent="0.2">
      <c r="A1798" s="275"/>
      <c r="B1798" s="78"/>
      <c r="C1798" s="189"/>
      <c r="D1798" s="185"/>
      <c r="E1798" s="186"/>
      <c r="F1798" s="187"/>
    </row>
    <row r="1799" spans="1:6" x14ac:dyDescent="0.2">
      <c r="A1799" s="275"/>
      <c r="B1799" s="78"/>
      <c r="C1799" s="189"/>
      <c r="D1799" s="185"/>
      <c r="E1799" s="186"/>
      <c r="F1799" s="187"/>
    </row>
    <row r="1800" spans="1:6" x14ac:dyDescent="0.2">
      <c r="A1800" s="275"/>
      <c r="B1800" s="78"/>
      <c r="C1800" s="189"/>
      <c r="D1800" s="185"/>
      <c r="E1800" s="186"/>
      <c r="F1800" s="187"/>
    </row>
    <row r="1801" spans="1:6" x14ac:dyDescent="0.2">
      <c r="A1801" s="275"/>
      <c r="B1801" s="78"/>
      <c r="C1801" s="189"/>
      <c r="D1801" s="185"/>
      <c r="E1801" s="186"/>
      <c r="F1801" s="187"/>
    </row>
    <row r="1802" spans="1:6" x14ac:dyDescent="0.2">
      <c r="A1802" s="275"/>
      <c r="B1802" s="78"/>
      <c r="C1802" s="189"/>
      <c r="D1802" s="185"/>
      <c r="E1802" s="186"/>
      <c r="F1802" s="187"/>
    </row>
    <row r="1803" spans="1:6" x14ac:dyDescent="0.2">
      <c r="A1803" s="275"/>
      <c r="B1803" s="78"/>
      <c r="C1803" s="189"/>
      <c r="D1803" s="185"/>
      <c r="E1803" s="186"/>
      <c r="F1803" s="187"/>
    </row>
    <row r="1804" spans="1:6" x14ac:dyDescent="0.2">
      <c r="A1804" s="275"/>
      <c r="B1804" s="78"/>
      <c r="C1804" s="189"/>
      <c r="D1804" s="185"/>
      <c r="E1804" s="186"/>
      <c r="F1804" s="187"/>
    </row>
    <row r="1805" spans="1:6" x14ac:dyDescent="0.2">
      <c r="A1805" s="275"/>
      <c r="B1805" s="78"/>
      <c r="C1805" s="189"/>
      <c r="D1805" s="185"/>
      <c r="E1805" s="186"/>
      <c r="F1805" s="187"/>
    </row>
    <row r="1806" spans="1:6" x14ac:dyDescent="0.2">
      <c r="A1806" s="275"/>
      <c r="B1806" s="78"/>
      <c r="C1806" s="189"/>
      <c r="D1806" s="185"/>
      <c r="E1806" s="186"/>
      <c r="F1806" s="187"/>
    </row>
    <row r="1807" spans="1:6" x14ac:dyDescent="0.2">
      <c r="A1807" s="275"/>
      <c r="B1807" s="78"/>
      <c r="C1807" s="189"/>
      <c r="D1807" s="185"/>
      <c r="E1807" s="186"/>
      <c r="F1807" s="187"/>
    </row>
    <row r="1808" spans="1:6" x14ac:dyDescent="0.2">
      <c r="A1808" s="275"/>
      <c r="B1808" s="78"/>
      <c r="C1808" s="189"/>
      <c r="D1808" s="185"/>
      <c r="E1808" s="186"/>
      <c r="F1808" s="187"/>
    </row>
    <row r="1809" spans="1:6" x14ac:dyDescent="0.2">
      <c r="A1809" s="275"/>
      <c r="B1809" s="78"/>
      <c r="C1809" s="189"/>
      <c r="D1809" s="185"/>
      <c r="E1809" s="186"/>
      <c r="F1809" s="187"/>
    </row>
    <row r="1810" spans="1:6" x14ac:dyDescent="0.2">
      <c r="A1810" s="275"/>
      <c r="B1810" s="78"/>
      <c r="C1810" s="189"/>
      <c r="D1810" s="185"/>
      <c r="E1810" s="186"/>
      <c r="F1810" s="187"/>
    </row>
    <row r="1811" spans="1:6" x14ac:dyDescent="0.2">
      <c r="A1811" s="275"/>
      <c r="B1811" s="78"/>
      <c r="C1811" s="189"/>
      <c r="D1811" s="185"/>
      <c r="E1811" s="186"/>
      <c r="F1811" s="187"/>
    </row>
    <row r="1812" spans="1:6" x14ac:dyDescent="0.2">
      <c r="A1812" s="275"/>
      <c r="B1812" s="78"/>
      <c r="C1812" s="189"/>
      <c r="D1812" s="185"/>
      <c r="E1812" s="186"/>
      <c r="F1812" s="187"/>
    </row>
    <row r="1813" spans="1:6" x14ac:dyDescent="0.2">
      <c r="A1813" s="275"/>
      <c r="B1813" s="78"/>
      <c r="C1813" s="189"/>
      <c r="D1813" s="185"/>
      <c r="E1813" s="186"/>
      <c r="F1813" s="187"/>
    </row>
    <row r="1814" spans="1:6" x14ac:dyDescent="0.2">
      <c r="A1814" s="275"/>
      <c r="B1814" s="78"/>
      <c r="C1814" s="189"/>
      <c r="D1814" s="185"/>
      <c r="E1814" s="186"/>
      <c r="F1814" s="187"/>
    </row>
    <row r="1815" spans="1:6" x14ac:dyDescent="0.2">
      <c r="A1815" s="275"/>
      <c r="B1815" s="78"/>
      <c r="C1815" s="189"/>
      <c r="D1815" s="185"/>
      <c r="E1815" s="186"/>
      <c r="F1815" s="187"/>
    </row>
    <row r="1816" spans="1:6" x14ac:dyDescent="0.2">
      <c r="A1816" s="275"/>
      <c r="B1816" s="78"/>
      <c r="C1816" s="189"/>
      <c r="D1816" s="185"/>
      <c r="E1816" s="186"/>
      <c r="F1816" s="187"/>
    </row>
    <row r="1817" spans="1:6" x14ac:dyDescent="0.2">
      <c r="A1817" s="275"/>
      <c r="B1817" s="78"/>
      <c r="C1817" s="189"/>
      <c r="D1817" s="185"/>
      <c r="E1817" s="186"/>
      <c r="F1817" s="187"/>
    </row>
    <row r="1818" spans="1:6" x14ac:dyDescent="0.2">
      <c r="A1818" s="275"/>
      <c r="B1818" s="78"/>
      <c r="C1818" s="189"/>
      <c r="D1818" s="185"/>
      <c r="E1818" s="186"/>
      <c r="F1818" s="187"/>
    </row>
    <row r="1819" spans="1:6" x14ac:dyDescent="0.2">
      <c r="A1819" s="275"/>
      <c r="B1819" s="78"/>
      <c r="C1819" s="189"/>
      <c r="D1819" s="185"/>
      <c r="E1819" s="186"/>
      <c r="F1819" s="187"/>
    </row>
    <row r="1820" spans="1:6" x14ac:dyDescent="0.2">
      <c r="A1820" s="275"/>
      <c r="B1820" s="78"/>
      <c r="C1820" s="189"/>
      <c r="D1820" s="185"/>
      <c r="E1820" s="186"/>
      <c r="F1820" s="187"/>
    </row>
    <row r="1821" spans="1:6" x14ac:dyDescent="0.2">
      <c r="A1821" s="275"/>
      <c r="B1821" s="78"/>
      <c r="C1821" s="189"/>
      <c r="D1821" s="185"/>
      <c r="E1821" s="186"/>
      <c r="F1821" s="187"/>
    </row>
    <row r="1822" spans="1:6" x14ac:dyDescent="0.2">
      <c r="A1822" s="275"/>
      <c r="B1822" s="78"/>
      <c r="C1822" s="189"/>
      <c r="D1822" s="185"/>
      <c r="E1822" s="186"/>
      <c r="F1822" s="187"/>
    </row>
    <row r="1823" spans="1:6" x14ac:dyDescent="0.2">
      <c r="A1823" s="275"/>
      <c r="B1823" s="78"/>
      <c r="C1823" s="189"/>
      <c r="D1823" s="185"/>
      <c r="E1823" s="186"/>
      <c r="F1823" s="187"/>
    </row>
    <row r="1824" spans="1:6" x14ac:dyDescent="0.2">
      <c r="A1824" s="275"/>
      <c r="B1824" s="78"/>
      <c r="C1824" s="189"/>
      <c r="D1824" s="185"/>
      <c r="E1824" s="186"/>
      <c r="F1824" s="187"/>
    </row>
    <row r="1825" spans="1:6" x14ac:dyDescent="0.2">
      <c r="A1825" s="275"/>
      <c r="B1825" s="78"/>
      <c r="C1825" s="189"/>
      <c r="D1825" s="185"/>
      <c r="E1825" s="186"/>
      <c r="F1825" s="187"/>
    </row>
    <row r="1826" spans="1:6" x14ac:dyDescent="0.2">
      <c r="A1826" s="275"/>
      <c r="B1826" s="78"/>
      <c r="C1826" s="189"/>
      <c r="D1826" s="185"/>
      <c r="E1826" s="186"/>
      <c r="F1826" s="187"/>
    </row>
    <row r="1827" spans="1:6" x14ac:dyDescent="0.2">
      <c r="A1827" s="275"/>
      <c r="B1827" s="78"/>
      <c r="C1827" s="189"/>
      <c r="D1827" s="185"/>
      <c r="E1827" s="186"/>
      <c r="F1827" s="187"/>
    </row>
    <row r="1828" spans="1:6" x14ac:dyDescent="0.2">
      <c r="A1828" s="275"/>
      <c r="B1828" s="78"/>
      <c r="C1828" s="189"/>
      <c r="D1828" s="185"/>
      <c r="E1828" s="186"/>
      <c r="F1828" s="187"/>
    </row>
    <row r="1829" spans="1:6" x14ac:dyDescent="0.2">
      <c r="A1829" s="275"/>
      <c r="B1829" s="78"/>
      <c r="C1829" s="189"/>
      <c r="D1829" s="185"/>
      <c r="E1829" s="186"/>
      <c r="F1829" s="187"/>
    </row>
    <row r="1830" spans="1:6" x14ac:dyDescent="0.2">
      <c r="A1830" s="275"/>
      <c r="B1830" s="78"/>
      <c r="C1830" s="189"/>
      <c r="D1830" s="185"/>
      <c r="E1830" s="186"/>
      <c r="F1830" s="187"/>
    </row>
    <row r="1831" spans="1:6" x14ac:dyDescent="0.2">
      <c r="A1831" s="275"/>
      <c r="B1831" s="78"/>
      <c r="C1831" s="189"/>
      <c r="D1831" s="185"/>
      <c r="E1831" s="186"/>
      <c r="F1831" s="187"/>
    </row>
    <row r="1832" spans="1:6" x14ac:dyDescent="0.2">
      <c r="A1832" s="275"/>
      <c r="B1832" s="78"/>
      <c r="C1832" s="189"/>
      <c r="D1832" s="185"/>
      <c r="E1832" s="186"/>
      <c r="F1832" s="187"/>
    </row>
    <row r="1833" spans="1:6" x14ac:dyDescent="0.2">
      <c r="A1833" s="275"/>
      <c r="B1833" s="78"/>
      <c r="C1833" s="189"/>
      <c r="D1833" s="185"/>
      <c r="E1833" s="186"/>
      <c r="F1833" s="187"/>
    </row>
    <row r="1834" spans="1:6" x14ac:dyDescent="0.2">
      <c r="A1834" s="275"/>
      <c r="B1834" s="78"/>
      <c r="C1834" s="189"/>
      <c r="D1834" s="185"/>
      <c r="E1834" s="186"/>
      <c r="F1834" s="187"/>
    </row>
    <row r="1835" spans="1:6" x14ac:dyDescent="0.2">
      <c r="A1835" s="275"/>
      <c r="B1835" s="78"/>
      <c r="C1835" s="189"/>
      <c r="D1835" s="185"/>
      <c r="E1835" s="186"/>
      <c r="F1835" s="187"/>
    </row>
    <row r="1836" spans="1:6" x14ac:dyDescent="0.2">
      <c r="A1836" s="275"/>
      <c r="B1836" s="78"/>
      <c r="C1836" s="189"/>
      <c r="D1836" s="185"/>
      <c r="E1836" s="186"/>
      <c r="F1836" s="187"/>
    </row>
    <row r="1837" spans="1:6" x14ac:dyDescent="0.2">
      <c r="A1837" s="275"/>
      <c r="B1837" s="78"/>
      <c r="C1837" s="189"/>
      <c r="D1837" s="185"/>
      <c r="E1837" s="186"/>
      <c r="F1837" s="187"/>
    </row>
    <row r="1838" spans="1:6" x14ac:dyDescent="0.2">
      <c r="A1838" s="275"/>
      <c r="B1838" s="78"/>
      <c r="C1838" s="189"/>
      <c r="D1838" s="185"/>
      <c r="E1838" s="186"/>
      <c r="F1838" s="187"/>
    </row>
    <row r="1839" spans="1:6" x14ac:dyDescent="0.2">
      <c r="A1839" s="275"/>
      <c r="B1839" s="78"/>
      <c r="C1839" s="189"/>
      <c r="D1839" s="185"/>
      <c r="E1839" s="186"/>
      <c r="F1839" s="187"/>
    </row>
    <row r="1840" spans="1:6" x14ac:dyDescent="0.2">
      <c r="A1840" s="275"/>
      <c r="B1840" s="78"/>
      <c r="C1840" s="189"/>
      <c r="D1840" s="185"/>
      <c r="E1840" s="186"/>
      <c r="F1840" s="187"/>
    </row>
    <row r="1841" spans="1:6" x14ac:dyDescent="0.2">
      <c r="A1841" s="275"/>
      <c r="B1841" s="78"/>
      <c r="C1841" s="189"/>
      <c r="D1841" s="185"/>
      <c r="E1841" s="186"/>
      <c r="F1841" s="187"/>
    </row>
    <row r="1842" spans="1:6" x14ac:dyDescent="0.2">
      <c r="A1842" s="275"/>
      <c r="B1842" s="78"/>
      <c r="C1842" s="189"/>
      <c r="D1842" s="185"/>
      <c r="E1842" s="186"/>
      <c r="F1842" s="187"/>
    </row>
    <row r="1843" spans="1:6" x14ac:dyDescent="0.2">
      <c r="A1843" s="275"/>
      <c r="B1843" s="78"/>
      <c r="C1843" s="189"/>
      <c r="D1843" s="185"/>
      <c r="E1843" s="186"/>
      <c r="F1843" s="187"/>
    </row>
    <row r="1844" spans="1:6" x14ac:dyDescent="0.2">
      <c r="A1844" s="275"/>
      <c r="B1844" s="78"/>
      <c r="C1844" s="189"/>
      <c r="D1844" s="185"/>
      <c r="E1844" s="186"/>
      <c r="F1844" s="187"/>
    </row>
    <row r="1845" spans="1:6" x14ac:dyDescent="0.2">
      <c r="A1845" s="275"/>
      <c r="B1845" s="78"/>
      <c r="C1845" s="189"/>
      <c r="D1845" s="185"/>
      <c r="E1845" s="186"/>
      <c r="F1845" s="187"/>
    </row>
    <row r="1846" spans="1:6" x14ac:dyDescent="0.2">
      <c r="A1846" s="275"/>
      <c r="B1846" s="78"/>
      <c r="C1846" s="189"/>
      <c r="D1846" s="185"/>
      <c r="E1846" s="186"/>
      <c r="F1846" s="187"/>
    </row>
    <row r="1847" spans="1:6" x14ac:dyDescent="0.2">
      <c r="A1847" s="275"/>
      <c r="B1847" s="78"/>
      <c r="C1847" s="189"/>
      <c r="D1847" s="185"/>
      <c r="E1847" s="186"/>
      <c r="F1847" s="187"/>
    </row>
    <row r="1848" spans="1:6" x14ac:dyDescent="0.2">
      <c r="A1848" s="275"/>
      <c r="B1848" s="78"/>
      <c r="C1848" s="189"/>
      <c r="D1848" s="185"/>
      <c r="E1848" s="186"/>
      <c r="F1848" s="187"/>
    </row>
  </sheetData>
  <sheetProtection algorithmName="SHA-512" hashValue="hzYi+eAQf3s4pJX0bLyWtnzRd5Ft09MOe7TZvNRs5UuioJa+9BNhni4uSSNU5l/K10mNr8Aix+YawfiUJN7ZBw==" saltValue="/R+bc0JSqA57W8Ix+a8Cvw==" spinCount="100000" sheet="1" objects="1" scenarios="1"/>
  <mergeCells count="2">
    <mergeCell ref="B1:F1"/>
    <mergeCell ref="C24:E24"/>
  </mergeCells>
  <dataValidations count="1">
    <dataValidation type="custom" showErrorMessage="1" errorTitle="Nepravilen vnos cene" error="Cena mora biti nenegativno število z največ dvema decimalkama!" sqref="E13:E15 E9:E11 E17:E23">
      <formula1>AND(ISNUMBER(E9),E9&gt;=0,ROUND(E9*100,6)-INT(E9*100)=0,NOT(ISBLANK(E9)))</formula1>
    </dataValidation>
  </dataValidations>
  <printOptions horizontalCentered="1"/>
  <pageMargins left="0.78740157480314965" right="0.39370078740157483" top="0.39370078740157483" bottom="0.98425196850393704" header="0.19685039370078741" footer="0.19685039370078741"/>
  <pageSetup paperSize="9" scale="89" fitToHeight="0" orientation="landscape" r:id="rId1"/>
  <headerFooter>
    <oddHeader>&amp;LRTP 110/20 kV Izola&amp;R&amp;G</oddHeader>
    <oddFooter>&amp;LDZR: Ponudbeni predračun
Datoteka: 4407.6G01.PP.rev1.xlsx&amp;R Stran: &amp;P od &amp;N</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G1848"/>
  <sheetViews>
    <sheetView view="pageBreakPreview" topLeftCell="A20" zoomScale="130" zoomScaleNormal="100" zoomScaleSheetLayoutView="130" workbookViewId="0">
      <selection activeCell="F8" sqref="F8:F23"/>
    </sheetView>
  </sheetViews>
  <sheetFormatPr defaultColWidth="6.7109375" defaultRowHeight="12.75" x14ac:dyDescent="0.2"/>
  <cols>
    <col min="1" max="1" width="7.85546875" style="190" customWidth="1"/>
    <col min="2" max="2" width="99.140625" style="179" customWidth="1"/>
    <col min="3" max="3" width="9" style="191" customWidth="1"/>
    <col min="4" max="4" width="11.42578125" style="192" customWidth="1"/>
    <col min="5" max="5" width="12.7109375" style="193" customWidth="1"/>
    <col min="6" max="6" width="13.5703125" style="194" customWidth="1"/>
    <col min="7" max="16384" width="6.7109375" style="78"/>
  </cols>
  <sheetData>
    <row r="1" spans="1:6" ht="15.95" customHeight="1" thickBot="1" x14ac:dyDescent="0.3">
      <c r="A1" s="7"/>
      <c r="B1" s="329"/>
      <c r="C1" s="329"/>
      <c r="D1" s="329"/>
      <c r="E1" s="329"/>
      <c r="F1" s="329"/>
    </row>
    <row r="2" spans="1:6" ht="32.450000000000003" customHeight="1" x14ac:dyDescent="0.2">
      <c r="A2" s="1" t="s">
        <v>1</v>
      </c>
      <c r="B2" s="2" t="s">
        <v>1741</v>
      </c>
      <c r="C2" s="3" t="s">
        <v>1742</v>
      </c>
      <c r="D2" s="4" t="s">
        <v>1743</v>
      </c>
      <c r="E2" s="5" t="s">
        <v>1744</v>
      </c>
      <c r="F2" s="6" t="s">
        <v>1745</v>
      </c>
    </row>
    <row r="3" spans="1:6" ht="15" x14ac:dyDescent="0.2">
      <c r="A3" s="206" t="s">
        <v>2216</v>
      </c>
      <c r="B3" s="207" t="s">
        <v>2217</v>
      </c>
      <c r="C3" s="23"/>
      <c r="D3" s="24"/>
      <c r="E3" s="25"/>
      <c r="F3" s="26"/>
    </row>
    <row r="4" spans="1:6" ht="42.75" x14ac:dyDescent="0.2">
      <c r="A4" s="270"/>
      <c r="B4" s="208" t="s">
        <v>1747</v>
      </c>
      <c r="C4" s="23"/>
      <c r="D4" s="24"/>
      <c r="E4" s="25"/>
      <c r="F4" s="26"/>
    </row>
    <row r="5" spans="1:6" ht="57" x14ac:dyDescent="0.2">
      <c r="A5" s="21"/>
      <c r="B5" s="17" t="str">
        <f>'2.2'!B5</f>
        <v xml:space="preserve">Vsi odpadki, ki bodo nastali pri izvedbi, bodo naloženi na prevozno sredstvo in odpeljani na stalno gradbeno deponijo nenevarnih odpadkov uradnega zbiralca odpadkov. Upoštevati vsa potrebna dela in stroške v zvezi z deponiranjem. Vsi odpadki, ki bodo ponovno uporabljeni pri izvedbi, bodo naloženi na prevozno sredstvo in pripeljani na gradbišče. </v>
      </c>
      <c r="C5" s="23"/>
      <c r="D5" s="24"/>
      <c r="E5" s="25"/>
      <c r="F5" s="26"/>
    </row>
    <row r="6" spans="1:6" ht="15" x14ac:dyDescent="0.2">
      <c r="A6" s="21"/>
      <c r="B6" s="37"/>
      <c r="C6" s="23"/>
      <c r="D6" s="24"/>
      <c r="E6" s="25"/>
      <c r="F6" s="26"/>
    </row>
    <row r="7" spans="1:6" ht="15" x14ac:dyDescent="0.2">
      <c r="A7" s="21"/>
      <c r="B7" s="37" t="s">
        <v>2218</v>
      </c>
      <c r="C7" s="23"/>
      <c r="D7" s="24"/>
      <c r="E7" s="25"/>
      <c r="F7" s="26"/>
    </row>
    <row r="8" spans="1:6" ht="42.75" x14ac:dyDescent="0.2">
      <c r="A8" s="29" t="s">
        <v>2219</v>
      </c>
      <c r="B8" s="37" t="s">
        <v>2220</v>
      </c>
      <c r="C8" s="15" t="s">
        <v>1756</v>
      </c>
      <c r="D8" s="16">
        <v>4</v>
      </c>
      <c r="E8" s="31">
        <v>0</v>
      </c>
      <c r="F8" s="28">
        <f>ROUND(D8*E8,2)</f>
        <v>0</v>
      </c>
    </row>
    <row r="9" spans="1:6" ht="39" customHeight="1" x14ac:dyDescent="0.2">
      <c r="A9" s="29" t="s">
        <v>2221</v>
      </c>
      <c r="B9" s="37" t="s">
        <v>2119</v>
      </c>
      <c r="C9" s="15" t="s">
        <v>1780</v>
      </c>
      <c r="D9" s="16">
        <f>1*1*2</f>
        <v>2</v>
      </c>
      <c r="E9" s="31">
        <v>0</v>
      </c>
      <c r="F9" s="28">
        <f>ROUND(D9*E9,2)</f>
        <v>0</v>
      </c>
    </row>
    <row r="10" spans="1:6" ht="57" x14ac:dyDescent="0.2">
      <c r="A10" s="29" t="s">
        <v>2222</v>
      </c>
      <c r="B10" s="37" t="s">
        <v>1987</v>
      </c>
      <c r="C10" s="15" t="s">
        <v>1780</v>
      </c>
      <c r="D10" s="16">
        <f>2*5</f>
        <v>10</v>
      </c>
      <c r="E10" s="31">
        <v>0</v>
      </c>
      <c r="F10" s="28">
        <f>ROUND(D10*E10,2)</f>
        <v>0</v>
      </c>
    </row>
    <row r="11" spans="1:6" ht="99.75" x14ac:dyDescent="0.2">
      <c r="A11" s="29" t="s">
        <v>2223</v>
      </c>
      <c r="B11" s="37" t="s">
        <v>2180</v>
      </c>
      <c r="C11" s="15"/>
      <c r="D11" s="16"/>
      <c r="E11" s="25"/>
      <c r="F11" s="26"/>
    </row>
    <row r="12" spans="1:6" ht="42.75" x14ac:dyDescent="0.2">
      <c r="A12" s="29" t="s">
        <v>1761</v>
      </c>
      <c r="B12" s="17" t="s">
        <v>2181</v>
      </c>
      <c r="C12" s="15" t="s">
        <v>1756</v>
      </c>
      <c r="D12" s="16">
        <v>1</v>
      </c>
      <c r="E12" s="31">
        <v>0</v>
      </c>
      <c r="F12" s="28">
        <f>ROUND(D12*E12,2)</f>
        <v>0</v>
      </c>
    </row>
    <row r="13" spans="1:6" ht="28.5" x14ac:dyDescent="0.2">
      <c r="A13" s="29" t="s">
        <v>1774</v>
      </c>
      <c r="B13" s="17" t="s">
        <v>1991</v>
      </c>
      <c r="C13" s="15" t="s">
        <v>1756</v>
      </c>
      <c r="D13" s="39">
        <v>0.5</v>
      </c>
      <c r="E13" s="31">
        <v>0</v>
      </c>
      <c r="F13" s="28">
        <f>ROUND(D13*E13,2)</f>
        <v>0</v>
      </c>
    </row>
    <row r="14" spans="1:6" ht="85.5" x14ac:dyDescent="0.2">
      <c r="A14" s="29" t="s">
        <v>2224</v>
      </c>
      <c r="B14" s="17" t="s">
        <v>2154</v>
      </c>
      <c r="C14" s="15" t="s">
        <v>1756</v>
      </c>
      <c r="D14" s="16">
        <v>2</v>
      </c>
      <c r="E14" s="31">
        <v>0</v>
      </c>
      <c r="F14" s="28">
        <f>ROUND(D14*E14,2)</f>
        <v>0</v>
      </c>
    </row>
    <row r="15" spans="1:6" ht="28.5" x14ac:dyDescent="0.2">
      <c r="A15" s="29" t="s">
        <v>2225</v>
      </c>
      <c r="B15" s="37" t="s">
        <v>2117</v>
      </c>
      <c r="C15" s="15" t="s">
        <v>1756</v>
      </c>
      <c r="D15" s="16">
        <v>1</v>
      </c>
      <c r="E15" s="31">
        <v>0</v>
      </c>
      <c r="F15" s="28">
        <f>ROUND(D15*E15,2)</f>
        <v>0</v>
      </c>
    </row>
    <row r="16" spans="1:6" ht="15" x14ac:dyDescent="0.2">
      <c r="A16" s="29" t="s">
        <v>2226</v>
      </c>
      <c r="B16" s="37" t="s">
        <v>2126</v>
      </c>
      <c r="C16" s="15"/>
      <c r="D16" s="16"/>
      <c r="E16" s="25"/>
      <c r="F16" s="26"/>
    </row>
    <row r="17" spans="1:7" ht="14.25" x14ac:dyDescent="0.2">
      <c r="A17" s="29" t="s">
        <v>1761</v>
      </c>
      <c r="B17" s="37" t="s">
        <v>2127</v>
      </c>
      <c r="C17" s="15" t="s">
        <v>1756</v>
      </c>
      <c r="D17" s="39">
        <v>0.1</v>
      </c>
      <c r="E17" s="31">
        <v>0</v>
      </c>
      <c r="F17" s="28">
        <f>ROUND(D17*E17,2)</f>
        <v>0</v>
      </c>
    </row>
    <row r="18" spans="1:7" ht="28.5" x14ac:dyDescent="0.2">
      <c r="A18" s="29" t="s">
        <v>1774</v>
      </c>
      <c r="B18" s="37" t="s">
        <v>2227</v>
      </c>
      <c r="C18" s="15" t="s">
        <v>1826</v>
      </c>
      <c r="D18" s="16">
        <v>2</v>
      </c>
      <c r="E18" s="31">
        <v>0</v>
      </c>
      <c r="F18" s="28">
        <f t="shared" ref="F18:F23" si="0">ROUND(D18*E18,2)</f>
        <v>0</v>
      </c>
    </row>
    <row r="19" spans="1:7" ht="71.25" x14ac:dyDescent="0.2">
      <c r="A19" s="29" t="s">
        <v>2228</v>
      </c>
      <c r="B19" s="37" t="s">
        <v>2229</v>
      </c>
      <c r="C19" s="15" t="s">
        <v>1800</v>
      </c>
      <c r="D19" s="16">
        <f>35*1.2</f>
        <v>42</v>
      </c>
      <c r="E19" s="31">
        <v>0</v>
      </c>
      <c r="F19" s="28">
        <f t="shared" si="0"/>
        <v>0</v>
      </c>
    </row>
    <row r="20" spans="1:7" ht="28.5" x14ac:dyDescent="0.2">
      <c r="A20" s="29" t="s">
        <v>2230</v>
      </c>
      <c r="B20" s="37" t="s">
        <v>2231</v>
      </c>
      <c r="C20" s="15"/>
      <c r="D20" s="16"/>
      <c r="E20" s="25"/>
      <c r="F20" s="26"/>
    </row>
    <row r="21" spans="1:7" ht="14.25" x14ac:dyDescent="0.2">
      <c r="A21" s="29" t="s">
        <v>1761</v>
      </c>
      <c r="B21" s="37" t="s">
        <v>2232</v>
      </c>
      <c r="C21" s="15" t="s">
        <v>1826</v>
      </c>
      <c r="D21" s="16">
        <v>2</v>
      </c>
      <c r="E21" s="31">
        <v>0</v>
      </c>
      <c r="F21" s="28">
        <f t="shared" si="0"/>
        <v>0</v>
      </c>
    </row>
    <row r="22" spans="1:7" ht="28.5" x14ac:dyDescent="0.2">
      <c r="A22" s="29" t="s">
        <v>2233</v>
      </c>
      <c r="B22" s="37" t="s">
        <v>2234</v>
      </c>
      <c r="C22" s="15"/>
      <c r="D22" s="16"/>
      <c r="E22" s="25"/>
      <c r="F22" s="26"/>
    </row>
    <row r="23" spans="1:7" ht="15" thickBot="1" x14ac:dyDescent="0.25">
      <c r="A23" s="29" t="s">
        <v>1761</v>
      </c>
      <c r="B23" s="37" t="s">
        <v>2083</v>
      </c>
      <c r="C23" s="15" t="s">
        <v>1826</v>
      </c>
      <c r="D23" s="16">
        <v>2</v>
      </c>
      <c r="E23" s="31">
        <v>0</v>
      </c>
      <c r="F23" s="28">
        <f t="shared" si="0"/>
        <v>0</v>
      </c>
    </row>
    <row r="24" spans="1:7" ht="48.75" customHeight="1" thickBot="1" x14ac:dyDescent="0.3">
      <c r="A24" s="267"/>
      <c r="B24" s="269"/>
      <c r="C24" s="336" t="s">
        <v>2235</v>
      </c>
      <c r="D24" s="337"/>
      <c r="E24" s="338"/>
      <c r="F24" s="18">
        <f>SUM(F8:F23)</f>
        <v>0</v>
      </c>
      <c r="G24" s="8"/>
    </row>
    <row r="25" spans="1:7" ht="29.25" customHeight="1" x14ac:dyDescent="0.25">
      <c r="A25" s="182"/>
      <c r="B25" s="183"/>
      <c r="C25" s="184"/>
      <c r="D25" s="185"/>
      <c r="E25" s="186"/>
      <c r="F25" s="187"/>
      <c r="G25" s="8"/>
    </row>
    <row r="26" spans="1:7" ht="18" x14ac:dyDescent="0.25">
      <c r="A26" s="182"/>
      <c r="B26" s="183"/>
      <c r="C26" s="184"/>
      <c r="D26" s="185"/>
      <c r="E26" s="186"/>
      <c r="F26" s="187"/>
      <c r="G26" s="8"/>
    </row>
    <row r="27" spans="1:7" ht="18" x14ac:dyDescent="0.25">
      <c r="A27" s="182"/>
      <c r="B27" s="183"/>
      <c r="C27" s="184"/>
      <c r="D27" s="185"/>
      <c r="E27" s="186"/>
      <c r="F27" s="187"/>
      <c r="G27" s="8"/>
    </row>
    <row r="28" spans="1:7" x14ac:dyDescent="0.2">
      <c r="A28" s="275"/>
      <c r="B28" s="78"/>
      <c r="C28" s="189"/>
      <c r="D28" s="185"/>
      <c r="E28" s="186"/>
      <c r="F28" s="187"/>
    </row>
    <row r="29" spans="1:7" x14ac:dyDescent="0.2">
      <c r="A29" s="275"/>
      <c r="B29" s="78"/>
      <c r="C29" s="189"/>
      <c r="D29" s="185"/>
      <c r="E29" s="186"/>
      <c r="F29" s="187"/>
    </row>
    <row r="30" spans="1:7" x14ac:dyDescent="0.2">
      <c r="A30" s="275"/>
      <c r="B30" s="78"/>
      <c r="C30" s="189"/>
      <c r="D30" s="185"/>
      <c r="E30" s="186"/>
      <c r="F30" s="187"/>
    </row>
    <row r="31" spans="1:7" x14ac:dyDescent="0.2">
      <c r="A31" s="275"/>
      <c r="B31" s="78"/>
      <c r="C31" s="189"/>
      <c r="D31" s="185"/>
      <c r="E31" s="186"/>
      <c r="F31" s="187"/>
    </row>
    <row r="32" spans="1:7" x14ac:dyDescent="0.2">
      <c r="A32" s="275"/>
      <c r="B32" s="78"/>
      <c r="C32" s="189"/>
      <c r="D32" s="185"/>
      <c r="E32" s="186"/>
      <c r="F32" s="187"/>
    </row>
    <row r="33" spans="1:6" x14ac:dyDescent="0.2">
      <c r="A33" s="275"/>
      <c r="B33" s="78"/>
      <c r="C33" s="189"/>
      <c r="D33" s="185"/>
      <c r="E33" s="186"/>
      <c r="F33" s="187"/>
    </row>
    <row r="34" spans="1:6" x14ac:dyDescent="0.2">
      <c r="A34" s="275"/>
      <c r="B34" s="78"/>
      <c r="C34" s="189"/>
      <c r="D34" s="185"/>
      <c r="E34" s="186"/>
      <c r="F34" s="187"/>
    </row>
    <row r="35" spans="1:6" x14ac:dyDescent="0.2">
      <c r="A35" s="275"/>
      <c r="B35" s="78"/>
      <c r="C35" s="189"/>
      <c r="D35" s="185"/>
      <c r="E35" s="186"/>
      <c r="F35" s="187"/>
    </row>
    <row r="36" spans="1:6" x14ac:dyDescent="0.2">
      <c r="A36" s="275"/>
      <c r="B36" s="78"/>
      <c r="C36" s="189"/>
      <c r="D36" s="185"/>
      <c r="E36" s="186"/>
      <c r="F36" s="187"/>
    </row>
    <row r="37" spans="1:6" x14ac:dyDescent="0.2">
      <c r="A37" s="275"/>
      <c r="B37" s="78"/>
      <c r="C37" s="189"/>
      <c r="D37" s="185"/>
      <c r="E37" s="186"/>
      <c r="F37" s="187"/>
    </row>
    <row r="38" spans="1:6" x14ac:dyDescent="0.2">
      <c r="A38" s="275"/>
      <c r="B38" s="78"/>
      <c r="C38" s="189"/>
      <c r="D38" s="185"/>
      <c r="E38" s="186"/>
      <c r="F38" s="187"/>
    </row>
    <row r="39" spans="1:6" x14ac:dyDescent="0.2">
      <c r="A39" s="275"/>
      <c r="B39" s="78"/>
      <c r="C39" s="189"/>
      <c r="D39" s="185"/>
      <c r="E39" s="186"/>
      <c r="F39" s="187"/>
    </row>
    <row r="40" spans="1:6" x14ac:dyDescent="0.2">
      <c r="A40" s="275"/>
      <c r="B40" s="78"/>
      <c r="C40" s="189"/>
      <c r="D40" s="185"/>
      <c r="E40" s="186"/>
      <c r="F40" s="187"/>
    </row>
    <row r="41" spans="1:6" x14ac:dyDescent="0.2">
      <c r="A41" s="275"/>
      <c r="B41" s="78"/>
      <c r="C41" s="189"/>
      <c r="D41" s="185"/>
      <c r="E41" s="186"/>
      <c r="F41" s="187"/>
    </row>
    <row r="42" spans="1:6" x14ac:dyDescent="0.2">
      <c r="A42" s="275"/>
      <c r="B42" s="78"/>
      <c r="C42" s="189"/>
      <c r="D42" s="185"/>
      <c r="E42" s="186"/>
      <c r="F42" s="187"/>
    </row>
    <row r="43" spans="1:6" x14ac:dyDescent="0.2">
      <c r="A43" s="275"/>
      <c r="B43" s="78"/>
      <c r="C43" s="189"/>
      <c r="D43" s="185"/>
      <c r="E43" s="186"/>
      <c r="F43" s="187"/>
    </row>
    <row r="44" spans="1:6" x14ac:dyDescent="0.2">
      <c r="A44" s="275"/>
      <c r="B44" s="78"/>
      <c r="C44" s="189"/>
      <c r="D44" s="185"/>
      <c r="E44" s="186"/>
      <c r="F44" s="187"/>
    </row>
    <row r="45" spans="1:6" x14ac:dyDescent="0.2">
      <c r="A45" s="275"/>
      <c r="B45" s="78"/>
      <c r="C45" s="189"/>
      <c r="D45" s="185"/>
      <c r="E45" s="186"/>
      <c r="F45" s="187"/>
    </row>
    <row r="46" spans="1:6" x14ac:dyDescent="0.2">
      <c r="A46" s="275"/>
      <c r="B46" s="78"/>
      <c r="C46" s="189"/>
      <c r="D46" s="185"/>
      <c r="E46" s="186"/>
      <c r="F46" s="187"/>
    </row>
    <row r="47" spans="1:6" x14ac:dyDescent="0.2">
      <c r="A47" s="275"/>
      <c r="B47" s="78"/>
      <c r="C47" s="189"/>
      <c r="D47" s="185"/>
      <c r="E47" s="186"/>
      <c r="F47" s="187"/>
    </row>
    <row r="48" spans="1:6" x14ac:dyDescent="0.2">
      <c r="A48" s="275"/>
      <c r="B48" s="78"/>
      <c r="C48" s="189"/>
      <c r="D48" s="185"/>
      <c r="E48" s="186"/>
      <c r="F48" s="187"/>
    </row>
    <row r="49" spans="1:6" x14ac:dyDescent="0.2">
      <c r="A49" s="275"/>
      <c r="B49" s="78"/>
      <c r="C49" s="189"/>
      <c r="D49" s="185"/>
      <c r="E49" s="186"/>
      <c r="F49" s="187"/>
    </row>
    <row r="50" spans="1:6" x14ac:dyDescent="0.2">
      <c r="A50" s="275"/>
      <c r="B50" s="78"/>
      <c r="C50" s="189"/>
      <c r="D50" s="185"/>
      <c r="E50" s="186"/>
      <c r="F50" s="187"/>
    </row>
    <row r="51" spans="1:6" x14ac:dyDescent="0.2">
      <c r="A51" s="275"/>
      <c r="B51" s="78"/>
      <c r="C51" s="189"/>
      <c r="D51" s="185"/>
      <c r="E51" s="186"/>
      <c r="F51" s="187"/>
    </row>
    <row r="52" spans="1:6" x14ac:dyDescent="0.2">
      <c r="A52" s="275"/>
      <c r="B52" s="78"/>
      <c r="C52" s="189"/>
      <c r="D52" s="185"/>
      <c r="E52" s="186"/>
      <c r="F52" s="187"/>
    </row>
    <row r="53" spans="1:6" x14ac:dyDescent="0.2">
      <c r="A53" s="275"/>
      <c r="B53" s="78"/>
      <c r="C53" s="189"/>
      <c r="D53" s="185"/>
      <c r="E53" s="186"/>
      <c r="F53" s="187"/>
    </row>
    <row r="54" spans="1:6" x14ac:dyDescent="0.2">
      <c r="A54" s="275"/>
      <c r="B54" s="78"/>
      <c r="C54" s="189"/>
      <c r="D54" s="185"/>
      <c r="E54" s="186"/>
      <c r="F54" s="187"/>
    </row>
    <row r="55" spans="1:6" x14ac:dyDescent="0.2">
      <c r="A55" s="275"/>
      <c r="B55" s="78"/>
      <c r="C55" s="189"/>
      <c r="D55" s="185"/>
      <c r="E55" s="186"/>
      <c r="F55" s="187"/>
    </row>
    <row r="56" spans="1:6" x14ac:dyDescent="0.2">
      <c r="A56" s="275"/>
      <c r="B56" s="78"/>
      <c r="C56" s="189"/>
      <c r="D56" s="185"/>
      <c r="E56" s="186"/>
      <c r="F56" s="187"/>
    </row>
    <row r="57" spans="1:6" x14ac:dyDescent="0.2">
      <c r="A57" s="275"/>
      <c r="B57" s="78"/>
      <c r="C57" s="189"/>
      <c r="D57" s="185"/>
      <c r="E57" s="186"/>
      <c r="F57" s="187"/>
    </row>
    <row r="58" spans="1:6" x14ac:dyDescent="0.2">
      <c r="A58" s="275"/>
      <c r="B58" s="78"/>
      <c r="C58" s="189"/>
      <c r="D58" s="185"/>
      <c r="E58" s="186"/>
      <c r="F58" s="187"/>
    </row>
    <row r="59" spans="1:6" x14ac:dyDescent="0.2">
      <c r="A59" s="275"/>
      <c r="B59" s="78"/>
      <c r="C59" s="189"/>
      <c r="D59" s="185"/>
      <c r="E59" s="186"/>
      <c r="F59" s="187"/>
    </row>
    <row r="60" spans="1:6" x14ac:dyDescent="0.2">
      <c r="A60" s="275"/>
      <c r="B60" s="78"/>
      <c r="C60" s="189"/>
      <c r="D60" s="185"/>
      <c r="E60" s="186"/>
      <c r="F60" s="187"/>
    </row>
    <row r="61" spans="1:6" x14ac:dyDescent="0.2">
      <c r="A61" s="275"/>
      <c r="B61" s="78"/>
      <c r="C61" s="189"/>
      <c r="D61" s="185"/>
      <c r="E61" s="186"/>
      <c r="F61" s="187"/>
    </row>
    <row r="62" spans="1:6" x14ac:dyDescent="0.2">
      <c r="A62" s="275"/>
      <c r="B62" s="78"/>
      <c r="C62" s="189"/>
      <c r="D62" s="185"/>
      <c r="E62" s="186"/>
      <c r="F62" s="187"/>
    </row>
    <row r="63" spans="1:6" x14ac:dyDescent="0.2">
      <c r="A63" s="275"/>
      <c r="B63" s="78"/>
      <c r="C63" s="189"/>
      <c r="D63" s="185"/>
      <c r="E63" s="186"/>
      <c r="F63" s="187"/>
    </row>
    <row r="64" spans="1:6" x14ac:dyDescent="0.2">
      <c r="A64" s="275"/>
      <c r="B64" s="78"/>
      <c r="C64" s="189"/>
      <c r="D64" s="185"/>
      <c r="E64" s="186"/>
      <c r="F64" s="187"/>
    </row>
    <row r="65" spans="1:6" x14ac:dyDescent="0.2">
      <c r="A65" s="275"/>
      <c r="B65" s="78"/>
      <c r="C65" s="189"/>
      <c r="D65" s="185"/>
      <c r="E65" s="186"/>
      <c r="F65" s="187"/>
    </row>
    <row r="66" spans="1:6" x14ac:dyDescent="0.2">
      <c r="A66" s="275"/>
      <c r="B66" s="78"/>
      <c r="C66" s="189"/>
      <c r="D66" s="185"/>
      <c r="E66" s="186"/>
      <c r="F66" s="187"/>
    </row>
    <row r="67" spans="1:6" x14ac:dyDescent="0.2">
      <c r="A67" s="275"/>
      <c r="B67" s="78"/>
      <c r="C67" s="189"/>
      <c r="D67" s="185"/>
      <c r="E67" s="186"/>
      <c r="F67" s="187"/>
    </row>
    <row r="68" spans="1:6" x14ac:dyDescent="0.2">
      <c r="A68" s="275"/>
      <c r="B68" s="78"/>
      <c r="C68" s="189"/>
      <c r="D68" s="185"/>
      <c r="E68" s="186"/>
      <c r="F68" s="187"/>
    </row>
    <row r="69" spans="1:6" x14ac:dyDescent="0.2">
      <c r="A69" s="275"/>
      <c r="B69" s="78"/>
      <c r="C69" s="189"/>
      <c r="D69" s="185"/>
      <c r="E69" s="186"/>
      <c r="F69" s="187"/>
    </row>
    <row r="70" spans="1:6" x14ac:dyDescent="0.2">
      <c r="A70" s="275"/>
      <c r="B70" s="78"/>
      <c r="C70" s="189"/>
      <c r="D70" s="185"/>
      <c r="E70" s="186"/>
      <c r="F70" s="187"/>
    </row>
    <row r="71" spans="1:6" x14ac:dyDescent="0.2">
      <c r="A71" s="275"/>
      <c r="B71" s="78"/>
      <c r="C71" s="189"/>
      <c r="D71" s="185"/>
      <c r="E71" s="186"/>
      <c r="F71" s="187"/>
    </row>
    <row r="72" spans="1:6" x14ac:dyDescent="0.2">
      <c r="A72" s="275"/>
      <c r="B72" s="78"/>
      <c r="C72" s="189"/>
      <c r="D72" s="185"/>
      <c r="E72" s="186"/>
      <c r="F72" s="187"/>
    </row>
    <row r="73" spans="1:6" x14ac:dyDescent="0.2">
      <c r="A73" s="275"/>
      <c r="B73" s="78"/>
      <c r="C73" s="189"/>
      <c r="D73" s="185"/>
      <c r="E73" s="186"/>
      <c r="F73" s="187"/>
    </row>
    <row r="74" spans="1:6" x14ac:dyDescent="0.2">
      <c r="A74" s="275"/>
      <c r="B74" s="78"/>
      <c r="C74" s="189"/>
      <c r="D74" s="185"/>
      <c r="E74" s="186"/>
      <c r="F74" s="187"/>
    </row>
    <row r="75" spans="1:6" x14ac:dyDescent="0.2">
      <c r="A75" s="275"/>
      <c r="B75" s="78"/>
      <c r="C75" s="189"/>
      <c r="D75" s="185"/>
      <c r="E75" s="186"/>
      <c r="F75" s="187"/>
    </row>
    <row r="76" spans="1:6" x14ac:dyDescent="0.2">
      <c r="A76" s="275"/>
      <c r="B76" s="78"/>
      <c r="C76" s="189"/>
      <c r="D76" s="185"/>
      <c r="E76" s="186"/>
      <c r="F76" s="187"/>
    </row>
    <row r="77" spans="1:6" x14ac:dyDescent="0.2">
      <c r="A77" s="275"/>
      <c r="B77" s="78"/>
      <c r="C77" s="189"/>
      <c r="D77" s="185"/>
      <c r="E77" s="186"/>
      <c r="F77" s="187"/>
    </row>
    <row r="78" spans="1:6" x14ac:dyDescent="0.2">
      <c r="A78" s="275"/>
      <c r="B78" s="78"/>
      <c r="C78" s="189"/>
      <c r="D78" s="185"/>
      <c r="E78" s="186"/>
      <c r="F78" s="187"/>
    </row>
    <row r="79" spans="1:6" x14ac:dyDescent="0.2">
      <c r="A79" s="275"/>
      <c r="B79" s="78"/>
      <c r="C79" s="189"/>
      <c r="D79" s="185"/>
      <c r="E79" s="186"/>
      <c r="F79" s="187"/>
    </row>
    <row r="80" spans="1:6" x14ac:dyDescent="0.2">
      <c r="A80" s="275"/>
      <c r="B80" s="78"/>
      <c r="C80" s="189"/>
      <c r="D80" s="185"/>
      <c r="E80" s="186"/>
      <c r="F80" s="187"/>
    </row>
    <row r="81" spans="1:6" x14ac:dyDescent="0.2">
      <c r="A81" s="275"/>
      <c r="B81" s="78"/>
      <c r="C81" s="189"/>
      <c r="D81" s="185"/>
      <c r="E81" s="186"/>
      <c r="F81" s="187"/>
    </row>
    <row r="82" spans="1:6" x14ac:dyDescent="0.2">
      <c r="A82" s="275"/>
      <c r="B82" s="78"/>
      <c r="C82" s="189"/>
      <c r="D82" s="185"/>
      <c r="E82" s="186"/>
      <c r="F82" s="187"/>
    </row>
    <row r="83" spans="1:6" x14ac:dyDescent="0.2">
      <c r="A83" s="275"/>
      <c r="B83" s="78"/>
      <c r="C83" s="189"/>
      <c r="D83" s="185"/>
      <c r="E83" s="186"/>
      <c r="F83" s="187"/>
    </row>
    <row r="84" spans="1:6" x14ac:dyDescent="0.2">
      <c r="A84" s="275"/>
      <c r="B84" s="78"/>
      <c r="C84" s="189"/>
      <c r="D84" s="185"/>
      <c r="E84" s="186"/>
      <c r="F84" s="187"/>
    </row>
    <row r="85" spans="1:6" x14ac:dyDescent="0.2">
      <c r="A85" s="275"/>
      <c r="B85" s="78"/>
      <c r="C85" s="189"/>
      <c r="D85" s="185"/>
      <c r="E85" s="186"/>
      <c r="F85" s="187"/>
    </row>
    <row r="86" spans="1:6" x14ac:dyDescent="0.2">
      <c r="A86" s="275"/>
      <c r="B86" s="78"/>
      <c r="C86" s="189"/>
      <c r="D86" s="185"/>
      <c r="E86" s="186"/>
      <c r="F86" s="187"/>
    </row>
    <row r="87" spans="1:6" x14ac:dyDescent="0.2">
      <c r="A87" s="275"/>
      <c r="B87" s="78"/>
      <c r="C87" s="189"/>
      <c r="D87" s="185"/>
      <c r="E87" s="186"/>
      <c r="F87" s="187"/>
    </row>
    <row r="88" spans="1:6" x14ac:dyDescent="0.2">
      <c r="A88" s="275"/>
      <c r="B88" s="78"/>
      <c r="C88" s="189"/>
      <c r="D88" s="185"/>
      <c r="E88" s="186"/>
      <c r="F88" s="187"/>
    </row>
    <row r="89" spans="1:6" x14ac:dyDescent="0.2">
      <c r="A89" s="275"/>
      <c r="B89" s="78"/>
      <c r="C89" s="189"/>
      <c r="D89" s="185"/>
      <c r="E89" s="186"/>
      <c r="F89" s="187"/>
    </row>
    <row r="90" spans="1:6" x14ac:dyDescent="0.2">
      <c r="A90" s="275"/>
      <c r="B90" s="78"/>
      <c r="C90" s="189"/>
      <c r="D90" s="185"/>
      <c r="E90" s="186"/>
      <c r="F90" s="187"/>
    </row>
    <row r="91" spans="1:6" x14ac:dyDescent="0.2">
      <c r="A91" s="275"/>
      <c r="B91" s="78"/>
      <c r="C91" s="189"/>
      <c r="D91" s="185"/>
      <c r="E91" s="186"/>
      <c r="F91" s="187"/>
    </row>
    <row r="92" spans="1:6" x14ac:dyDescent="0.2">
      <c r="A92" s="275"/>
      <c r="B92" s="78"/>
      <c r="C92" s="189"/>
      <c r="D92" s="185"/>
      <c r="E92" s="186"/>
      <c r="F92" s="187"/>
    </row>
    <row r="93" spans="1:6" x14ac:dyDescent="0.2">
      <c r="A93" s="275"/>
      <c r="B93" s="78"/>
      <c r="C93" s="189"/>
      <c r="D93" s="185"/>
      <c r="E93" s="186"/>
      <c r="F93" s="187"/>
    </row>
    <row r="94" spans="1:6" x14ac:dyDescent="0.2">
      <c r="A94" s="275"/>
      <c r="B94" s="78"/>
      <c r="C94" s="189"/>
      <c r="D94" s="185"/>
      <c r="E94" s="186"/>
      <c r="F94" s="187"/>
    </row>
    <row r="95" spans="1:6" x14ac:dyDescent="0.2">
      <c r="A95" s="275"/>
      <c r="B95" s="78"/>
      <c r="C95" s="189"/>
      <c r="D95" s="185"/>
      <c r="E95" s="186"/>
      <c r="F95" s="187"/>
    </row>
    <row r="96" spans="1:6" x14ac:dyDescent="0.2">
      <c r="A96" s="275"/>
      <c r="B96" s="78"/>
      <c r="C96" s="189"/>
      <c r="D96" s="185"/>
      <c r="E96" s="186"/>
      <c r="F96" s="187"/>
    </row>
    <row r="97" spans="1:6" x14ac:dyDescent="0.2">
      <c r="A97" s="275"/>
      <c r="B97" s="78"/>
      <c r="C97" s="189"/>
      <c r="D97" s="185"/>
      <c r="E97" s="186"/>
      <c r="F97" s="187"/>
    </row>
    <row r="98" spans="1:6" x14ac:dyDescent="0.2">
      <c r="A98" s="275"/>
      <c r="B98" s="78"/>
      <c r="C98" s="189"/>
      <c r="D98" s="185"/>
      <c r="E98" s="186"/>
      <c r="F98" s="187"/>
    </row>
    <row r="99" spans="1:6" x14ac:dyDescent="0.2">
      <c r="A99" s="275"/>
      <c r="B99" s="78"/>
      <c r="C99" s="189"/>
      <c r="D99" s="185"/>
      <c r="E99" s="186"/>
      <c r="F99" s="187"/>
    </row>
    <row r="100" spans="1:6" x14ac:dyDescent="0.2">
      <c r="A100" s="275"/>
      <c r="B100" s="78"/>
      <c r="C100" s="189"/>
      <c r="D100" s="185"/>
      <c r="E100" s="186"/>
      <c r="F100" s="187"/>
    </row>
    <row r="101" spans="1:6" x14ac:dyDescent="0.2">
      <c r="A101" s="275"/>
      <c r="B101" s="78"/>
      <c r="C101" s="189"/>
      <c r="D101" s="185"/>
      <c r="E101" s="186"/>
      <c r="F101" s="187"/>
    </row>
    <row r="102" spans="1:6" x14ac:dyDescent="0.2">
      <c r="A102" s="275"/>
      <c r="B102" s="78"/>
      <c r="C102" s="189"/>
      <c r="D102" s="185"/>
      <c r="E102" s="186"/>
      <c r="F102" s="187"/>
    </row>
    <row r="103" spans="1:6" x14ac:dyDescent="0.2">
      <c r="A103" s="275"/>
      <c r="B103" s="78"/>
      <c r="C103" s="189"/>
      <c r="D103" s="185"/>
      <c r="E103" s="186"/>
      <c r="F103" s="187"/>
    </row>
    <row r="104" spans="1:6" x14ac:dyDescent="0.2">
      <c r="A104" s="275"/>
      <c r="B104" s="78"/>
      <c r="C104" s="189"/>
      <c r="D104" s="185"/>
      <c r="E104" s="186"/>
      <c r="F104" s="187"/>
    </row>
    <row r="105" spans="1:6" x14ac:dyDescent="0.2">
      <c r="A105" s="275"/>
      <c r="B105" s="78"/>
      <c r="C105" s="189"/>
      <c r="D105" s="185"/>
      <c r="E105" s="186"/>
      <c r="F105" s="187"/>
    </row>
    <row r="106" spans="1:6" x14ac:dyDescent="0.2">
      <c r="A106" s="275"/>
      <c r="B106" s="78"/>
      <c r="C106" s="189"/>
      <c r="D106" s="185"/>
      <c r="E106" s="186"/>
      <c r="F106" s="187"/>
    </row>
    <row r="107" spans="1:6" x14ac:dyDescent="0.2">
      <c r="A107" s="275"/>
      <c r="B107" s="78"/>
      <c r="C107" s="189"/>
      <c r="D107" s="185"/>
      <c r="E107" s="186"/>
      <c r="F107" s="187"/>
    </row>
    <row r="108" spans="1:6" x14ac:dyDescent="0.2">
      <c r="A108" s="275"/>
      <c r="B108" s="78"/>
      <c r="C108" s="189"/>
      <c r="D108" s="185"/>
      <c r="E108" s="186"/>
      <c r="F108" s="187"/>
    </row>
    <row r="109" spans="1:6" x14ac:dyDescent="0.2">
      <c r="A109" s="275"/>
      <c r="B109" s="78"/>
      <c r="C109" s="189"/>
      <c r="D109" s="185"/>
      <c r="E109" s="186"/>
      <c r="F109" s="187"/>
    </row>
    <row r="110" spans="1:6" x14ac:dyDescent="0.2">
      <c r="A110" s="275"/>
      <c r="B110" s="78"/>
      <c r="C110" s="189"/>
      <c r="D110" s="185"/>
      <c r="E110" s="186"/>
      <c r="F110" s="187"/>
    </row>
    <row r="111" spans="1:6" x14ac:dyDescent="0.2">
      <c r="A111" s="275"/>
      <c r="B111" s="78"/>
      <c r="C111" s="189"/>
      <c r="D111" s="185"/>
      <c r="E111" s="186"/>
      <c r="F111" s="187"/>
    </row>
    <row r="112" spans="1:6" x14ac:dyDescent="0.2">
      <c r="A112" s="275"/>
      <c r="B112" s="78"/>
      <c r="C112" s="189"/>
      <c r="D112" s="185"/>
      <c r="E112" s="186"/>
      <c r="F112" s="187"/>
    </row>
    <row r="113" spans="1:6" x14ac:dyDescent="0.2">
      <c r="A113" s="275"/>
      <c r="B113" s="78"/>
      <c r="C113" s="189"/>
      <c r="D113" s="185"/>
      <c r="E113" s="186"/>
      <c r="F113" s="187"/>
    </row>
    <row r="114" spans="1:6" x14ac:dyDescent="0.2">
      <c r="A114" s="275"/>
      <c r="B114" s="78"/>
      <c r="C114" s="189"/>
      <c r="D114" s="185"/>
      <c r="E114" s="186"/>
      <c r="F114" s="187"/>
    </row>
    <row r="115" spans="1:6" x14ac:dyDescent="0.2">
      <c r="A115" s="275"/>
      <c r="B115" s="78"/>
      <c r="C115" s="189"/>
      <c r="D115" s="185"/>
      <c r="E115" s="186"/>
      <c r="F115" s="187"/>
    </row>
    <row r="116" spans="1:6" x14ac:dyDescent="0.2">
      <c r="A116" s="275"/>
      <c r="B116" s="78"/>
      <c r="C116" s="189"/>
      <c r="D116" s="185"/>
      <c r="E116" s="186"/>
      <c r="F116" s="187"/>
    </row>
    <row r="117" spans="1:6" x14ac:dyDescent="0.2">
      <c r="A117" s="275"/>
      <c r="B117" s="78"/>
      <c r="C117" s="189"/>
      <c r="D117" s="185"/>
      <c r="E117" s="186"/>
      <c r="F117" s="187"/>
    </row>
    <row r="118" spans="1:6" x14ac:dyDescent="0.2">
      <c r="A118" s="275"/>
      <c r="B118" s="78"/>
      <c r="C118" s="189"/>
      <c r="D118" s="185"/>
      <c r="E118" s="186"/>
      <c r="F118" s="187"/>
    </row>
    <row r="119" spans="1:6" x14ac:dyDescent="0.2">
      <c r="A119" s="275"/>
      <c r="B119" s="78"/>
      <c r="C119" s="189"/>
      <c r="D119" s="185"/>
      <c r="E119" s="186"/>
      <c r="F119" s="187"/>
    </row>
    <row r="120" spans="1:6" x14ac:dyDescent="0.2">
      <c r="A120" s="275"/>
      <c r="B120" s="78"/>
      <c r="C120" s="189"/>
      <c r="D120" s="185"/>
      <c r="E120" s="186"/>
      <c r="F120" s="187"/>
    </row>
    <row r="121" spans="1:6" x14ac:dyDescent="0.2">
      <c r="A121" s="275"/>
      <c r="B121" s="78"/>
      <c r="C121" s="189"/>
      <c r="D121" s="185"/>
      <c r="E121" s="186"/>
      <c r="F121" s="187"/>
    </row>
    <row r="122" spans="1:6" x14ac:dyDescent="0.2">
      <c r="A122" s="275"/>
      <c r="B122" s="78"/>
      <c r="C122" s="189"/>
      <c r="D122" s="185"/>
      <c r="E122" s="186"/>
      <c r="F122" s="187"/>
    </row>
    <row r="123" spans="1:6" x14ac:dyDescent="0.2">
      <c r="A123" s="275"/>
      <c r="B123" s="78"/>
      <c r="C123" s="189"/>
      <c r="D123" s="185"/>
      <c r="E123" s="186"/>
      <c r="F123" s="187"/>
    </row>
    <row r="124" spans="1:6" x14ac:dyDescent="0.2">
      <c r="A124" s="275"/>
      <c r="B124" s="78"/>
      <c r="C124" s="189"/>
      <c r="D124" s="185"/>
      <c r="E124" s="186"/>
      <c r="F124" s="187"/>
    </row>
    <row r="125" spans="1:6" x14ac:dyDescent="0.2">
      <c r="A125" s="275"/>
      <c r="B125" s="78"/>
      <c r="C125" s="189"/>
      <c r="D125" s="185"/>
      <c r="E125" s="186"/>
      <c r="F125" s="187"/>
    </row>
    <row r="126" spans="1:6" x14ac:dyDescent="0.2">
      <c r="A126" s="275"/>
      <c r="B126" s="78"/>
      <c r="C126" s="189"/>
      <c r="D126" s="185"/>
      <c r="E126" s="186"/>
      <c r="F126" s="187"/>
    </row>
    <row r="127" spans="1:6" x14ac:dyDescent="0.2">
      <c r="A127" s="275"/>
      <c r="B127" s="78"/>
      <c r="C127" s="189"/>
      <c r="D127" s="185"/>
      <c r="E127" s="186"/>
      <c r="F127" s="187"/>
    </row>
    <row r="128" spans="1:6" x14ac:dyDescent="0.2">
      <c r="A128" s="275"/>
      <c r="B128" s="78"/>
      <c r="C128" s="189"/>
      <c r="D128" s="185"/>
      <c r="E128" s="186"/>
      <c r="F128" s="187"/>
    </row>
    <row r="129" spans="1:6" x14ac:dyDescent="0.2">
      <c r="A129" s="275"/>
      <c r="B129" s="78"/>
      <c r="C129" s="189"/>
      <c r="D129" s="185"/>
      <c r="E129" s="186"/>
      <c r="F129" s="187"/>
    </row>
    <row r="130" spans="1:6" x14ac:dyDescent="0.2">
      <c r="A130" s="275"/>
      <c r="B130" s="78"/>
      <c r="C130" s="189"/>
      <c r="D130" s="185"/>
      <c r="E130" s="186"/>
      <c r="F130" s="187"/>
    </row>
    <row r="131" spans="1:6" x14ac:dyDescent="0.2">
      <c r="A131" s="275"/>
      <c r="B131" s="78"/>
      <c r="C131" s="189"/>
      <c r="D131" s="185"/>
      <c r="E131" s="186"/>
      <c r="F131" s="187"/>
    </row>
    <row r="132" spans="1:6" x14ac:dyDescent="0.2">
      <c r="A132" s="275"/>
      <c r="B132" s="78"/>
      <c r="C132" s="189"/>
      <c r="D132" s="185"/>
      <c r="E132" s="186"/>
      <c r="F132" s="187"/>
    </row>
    <row r="133" spans="1:6" x14ac:dyDescent="0.2">
      <c r="A133" s="275"/>
      <c r="B133" s="78"/>
      <c r="C133" s="189"/>
      <c r="D133" s="185"/>
      <c r="E133" s="186"/>
      <c r="F133" s="187"/>
    </row>
    <row r="134" spans="1:6" x14ac:dyDescent="0.2">
      <c r="A134" s="275"/>
      <c r="B134" s="78"/>
      <c r="C134" s="189"/>
      <c r="D134" s="185"/>
      <c r="E134" s="186"/>
      <c r="F134" s="187"/>
    </row>
    <row r="135" spans="1:6" x14ac:dyDescent="0.2">
      <c r="A135" s="275"/>
      <c r="B135" s="78"/>
      <c r="C135" s="189"/>
      <c r="D135" s="185"/>
      <c r="E135" s="186"/>
      <c r="F135" s="187"/>
    </row>
    <row r="136" spans="1:6" x14ac:dyDescent="0.2">
      <c r="A136" s="275"/>
      <c r="B136" s="78"/>
      <c r="C136" s="189"/>
      <c r="D136" s="185"/>
      <c r="E136" s="186"/>
      <c r="F136" s="187"/>
    </row>
    <row r="137" spans="1:6" x14ac:dyDescent="0.2">
      <c r="A137" s="275"/>
      <c r="B137" s="78"/>
      <c r="C137" s="189"/>
      <c r="D137" s="185"/>
      <c r="E137" s="186"/>
      <c r="F137" s="187"/>
    </row>
    <row r="138" spans="1:6" x14ac:dyDescent="0.2">
      <c r="A138" s="275"/>
      <c r="B138" s="78"/>
      <c r="C138" s="189"/>
      <c r="D138" s="185"/>
      <c r="E138" s="186"/>
      <c r="F138" s="187"/>
    </row>
    <row r="139" spans="1:6" x14ac:dyDescent="0.2">
      <c r="A139" s="275"/>
      <c r="B139" s="78"/>
      <c r="C139" s="189"/>
      <c r="D139" s="185"/>
      <c r="E139" s="186"/>
      <c r="F139" s="187"/>
    </row>
    <row r="140" spans="1:6" x14ac:dyDescent="0.2">
      <c r="A140" s="275"/>
      <c r="B140" s="78"/>
      <c r="C140" s="189"/>
      <c r="D140" s="185"/>
      <c r="E140" s="186"/>
      <c r="F140" s="187"/>
    </row>
    <row r="141" spans="1:6" x14ac:dyDescent="0.2">
      <c r="A141" s="275"/>
      <c r="B141" s="78"/>
      <c r="C141" s="189"/>
      <c r="D141" s="185"/>
      <c r="E141" s="186"/>
      <c r="F141" s="187"/>
    </row>
    <row r="142" spans="1:6" x14ac:dyDescent="0.2">
      <c r="A142" s="275"/>
      <c r="B142" s="78"/>
      <c r="C142" s="189"/>
      <c r="D142" s="185"/>
      <c r="E142" s="186"/>
      <c r="F142" s="187"/>
    </row>
    <row r="143" spans="1:6" x14ac:dyDescent="0.2">
      <c r="A143" s="275"/>
      <c r="B143" s="78"/>
      <c r="C143" s="189"/>
      <c r="D143" s="185"/>
      <c r="E143" s="186"/>
      <c r="F143" s="187"/>
    </row>
    <row r="144" spans="1:6" x14ac:dyDescent="0.2">
      <c r="A144" s="275"/>
      <c r="B144" s="78"/>
      <c r="C144" s="189"/>
      <c r="D144" s="185"/>
      <c r="E144" s="186"/>
      <c r="F144" s="187"/>
    </row>
    <row r="145" spans="1:6" x14ac:dyDescent="0.2">
      <c r="A145" s="275"/>
      <c r="B145" s="78"/>
      <c r="C145" s="189"/>
      <c r="D145" s="185"/>
      <c r="E145" s="186"/>
      <c r="F145" s="187"/>
    </row>
    <row r="146" spans="1:6" x14ac:dyDescent="0.2">
      <c r="A146" s="275"/>
      <c r="B146" s="78"/>
      <c r="C146" s="189"/>
      <c r="D146" s="185"/>
      <c r="E146" s="186"/>
      <c r="F146" s="187"/>
    </row>
    <row r="147" spans="1:6" x14ac:dyDescent="0.2">
      <c r="A147" s="275"/>
      <c r="B147" s="78"/>
      <c r="C147" s="189"/>
      <c r="D147" s="185"/>
      <c r="E147" s="186"/>
      <c r="F147" s="187"/>
    </row>
    <row r="148" spans="1:6" x14ac:dyDescent="0.2">
      <c r="A148" s="275"/>
      <c r="B148" s="78"/>
      <c r="C148" s="189"/>
      <c r="D148" s="185"/>
      <c r="E148" s="186"/>
      <c r="F148" s="187"/>
    </row>
    <row r="149" spans="1:6" x14ac:dyDescent="0.2">
      <c r="A149" s="275"/>
      <c r="B149" s="78"/>
      <c r="C149" s="189"/>
      <c r="D149" s="185"/>
      <c r="E149" s="186"/>
      <c r="F149" s="187"/>
    </row>
    <row r="150" spans="1:6" x14ac:dyDescent="0.2">
      <c r="A150" s="275"/>
      <c r="B150" s="78"/>
      <c r="C150" s="189"/>
      <c r="D150" s="185"/>
      <c r="E150" s="186"/>
      <c r="F150" s="187"/>
    </row>
    <row r="151" spans="1:6" x14ac:dyDescent="0.2">
      <c r="A151" s="275"/>
      <c r="B151" s="78"/>
      <c r="C151" s="189"/>
      <c r="D151" s="185"/>
      <c r="E151" s="186"/>
      <c r="F151" s="187"/>
    </row>
    <row r="152" spans="1:6" x14ac:dyDescent="0.2">
      <c r="A152" s="275"/>
      <c r="B152" s="78"/>
      <c r="C152" s="189"/>
      <c r="D152" s="185"/>
      <c r="E152" s="186"/>
      <c r="F152" s="187"/>
    </row>
    <row r="153" spans="1:6" x14ac:dyDescent="0.2">
      <c r="A153" s="275"/>
      <c r="B153" s="78"/>
      <c r="C153" s="189"/>
      <c r="D153" s="185"/>
      <c r="E153" s="186"/>
      <c r="F153" s="187"/>
    </row>
    <row r="154" spans="1:6" x14ac:dyDescent="0.2">
      <c r="A154" s="275"/>
      <c r="B154" s="78"/>
      <c r="C154" s="189"/>
      <c r="D154" s="185"/>
      <c r="E154" s="186"/>
      <c r="F154" s="187"/>
    </row>
    <row r="155" spans="1:6" x14ac:dyDescent="0.2">
      <c r="A155" s="275"/>
      <c r="B155" s="78"/>
      <c r="C155" s="189"/>
      <c r="D155" s="185"/>
      <c r="E155" s="186"/>
      <c r="F155" s="187"/>
    </row>
    <row r="156" spans="1:6" x14ac:dyDescent="0.2">
      <c r="A156" s="275"/>
      <c r="B156" s="78"/>
      <c r="C156" s="189"/>
      <c r="D156" s="185"/>
      <c r="E156" s="186"/>
      <c r="F156" s="187"/>
    </row>
    <row r="157" spans="1:6" x14ac:dyDescent="0.2">
      <c r="A157" s="275"/>
      <c r="B157" s="78"/>
      <c r="C157" s="189"/>
      <c r="D157" s="185"/>
      <c r="E157" s="186"/>
      <c r="F157" s="187"/>
    </row>
    <row r="158" spans="1:6" x14ac:dyDescent="0.2">
      <c r="A158" s="275"/>
      <c r="B158" s="78"/>
      <c r="C158" s="189"/>
      <c r="D158" s="185"/>
      <c r="E158" s="186"/>
      <c r="F158" s="187"/>
    </row>
    <row r="159" spans="1:6" x14ac:dyDescent="0.2">
      <c r="A159" s="275"/>
      <c r="B159" s="78"/>
      <c r="C159" s="189"/>
      <c r="D159" s="185"/>
      <c r="E159" s="186"/>
      <c r="F159" s="187"/>
    </row>
    <row r="160" spans="1:6" x14ac:dyDescent="0.2">
      <c r="A160" s="275"/>
      <c r="B160" s="78"/>
      <c r="C160" s="189"/>
      <c r="D160" s="185"/>
      <c r="E160" s="186"/>
      <c r="F160" s="187"/>
    </row>
    <row r="161" spans="1:6" x14ac:dyDescent="0.2">
      <c r="A161" s="275"/>
      <c r="B161" s="78"/>
      <c r="C161" s="189"/>
      <c r="D161" s="185"/>
      <c r="E161" s="186"/>
      <c r="F161" s="187"/>
    </row>
    <row r="162" spans="1:6" x14ac:dyDescent="0.2">
      <c r="A162" s="275"/>
      <c r="B162" s="78"/>
      <c r="C162" s="189"/>
      <c r="D162" s="185"/>
      <c r="E162" s="186"/>
      <c r="F162" s="187"/>
    </row>
    <row r="163" spans="1:6" x14ac:dyDescent="0.2">
      <c r="A163" s="275"/>
      <c r="B163" s="78"/>
      <c r="C163" s="189"/>
      <c r="D163" s="185"/>
      <c r="E163" s="186"/>
      <c r="F163" s="187"/>
    </row>
    <row r="164" spans="1:6" x14ac:dyDescent="0.2">
      <c r="A164" s="275"/>
      <c r="B164" s="78"/>
      <c r="C164" s="189"/>
      <c r="D164" s="185"/>
      <c r="E164" s="186"/>
      <c r="F164" s="187"/>
    </row>
    <row r="165" spans="1:6" x14ac:dyDescent="0.2">
      <c r="A165" s="275"/>
      <c r="B165" s="78"/>
      <c r="C165" s="189"/>
      <c r="D165" s="185"/>
      <c r="E165" s="186"/>
      <c r="F165" s="187"/>
    </row>
    <row r="166" spans="1:6" x14ac:dyDescent="0.2">
      <c r="A166" s="275"/>
      <c r="B166" s="78"/>
      <c r="C166" s="189"/>
      <c r="D166" s="185"/>
      <c r="E166" s="186"/>
      <c r="F166" s="187"/>
    </row>
    <row r="167" spans="1:6" x14ac:dyDescent="0.2">
      <c r="A167" s="275"/>
      <c r="B167" s="78"/>
      <c r="C167" s="189"/>
      <c r="D167" s="185"/>
      <c r="E167" s="186"/>
      <c r="F167" s="187"/>
    </row>
    <row r="168" spans="1:6" x14ac:dyDescent="0.2">
      <c r="A168" s="275"/>
      <c r="B168" s="78"/>
      <c r="C168" s="189"/>
      <c r="D168" s="185"/>
      <c r="E168" s="186"/>
      <c r="F168" s="187"/>
    </row>
    <row r="169" spans="1:6" x14ac:dyDescent="0.2">
      <c r="A169" s="275"/>
      <c r="B169" s="78"/>
      <c r="C169" s="189"/>
      <c r="D169" s="185"/>
      <c r="E169" s="186"/>
      <c r="F169" s="187"/>
    </row>
    <row r="170" spans="1:6" x14ac:dyDescent="0.2">
      <c r="A170" s="275"/>
      <c r="B170" s="78"/>
      <c r="C170" s="189"/>
      <c r="D170" s="185"/>
      <c r="E170" s="186"/>
      <c r="F170" s="187"/>
    </row>
    <row r="171" spans="1:6" x14ac:dyDescent="0.2">
      <c r="A171" s="275"/>
      <c r="B171" s="78"/>
      <c r="C171" s="189"/>
      <c r="D171" s="185"/>
      <c r="E171" s="186"/>
      <c r="F171" s="187"/>
    </row>
    <row r="172" spans="1:6" x14ac:dyDescent="0.2">
      <c r="A172" s="275"/>
      <c r="B172" s="78"/>
      <c r="C172" s="189"/>
      <c r="D172" s="185"/>
      <c r="E172" s="186"/>
      <c r="F172" s="187"/>
    </row>
    <row r="173" spans="1:6" x14ac:dyDescent="0.2">
      <c r="A173" s="275"/>
      <c r="B173" s="78"/>
      <c r="C173" s="189"/>
      <c r="D173" s="185"/>
      <c r="E173" s="186"/>
      <c r="F173" s="187"/>
    </row>
    <row r="174" spans="1:6" x14ac:dyDescent="0.2">
      <c r="A174" s="275"/>
      <c r="B174" s="78"/>
      <c r="C174" s="189"/>
      <c r="D174" s="185"/>
      <c r="E174" s="186"/>
      <c r="F174" s="187"/>
    </row>
    <row r="175" spans="1:6" x14ac:dyDescent="0.2">
      <c r="A175" s="275"/>
      <c r="B175" s="78"/>
      <c r="C175" s="189"/>
      <c r="D175" s="185"/>
      <c r="E175" s="186"/>
      <c r="F175" s="187"/>
    </row>
    <row r="176" spans="1:6" x14ac:dyDescent="0.2">
      <c r="A176" s="275"/>
      <c r="B176" s="78"/>
      <c r="C176" s="189"/>
      <c r="D176" s="185"/>
      <c r="E176" s="186"/>
      <c r="F176" s="187"/>
    </row>
    <row r="177" spans="1:6" x14ac:dyDescent="0.2">
      <c r="A177" s="275"/>
      <c r="B177" s="78"/>
      <c r="C177" s="189"/>
      <c r="D177" s="185"/>
      <c r="E177" s="186"/>
      <c r="F177" s="187"/>
    </row>
    <row r="178" spans="1:6" x14ac:dyDescent="0.2">
      <c r="A178" s="275"/>
      <c r="B178" s="78"/>
      <c r="C178" s="189"/>
      <c r="D178" s="185"/>
      <c r="E178" s="186"/>
      <c r="F178" s="187"/>
    </row>
    <row r="179" spans="1:6" x14ac:dyDescent="0.2">
      <c r="A179" s="275"/>
      <c r="B179" s="78"/>
      <c r="C179" s="189"/>
      <c r="D179" s="185"/>
      <c r="E179" s="186"/>
      <c r="F179" s="187"/>
    </row>
    <row r="180" spans="1:6" x14ac:dyDescent="0.2">
      <c r="A180" s="275"/>
      <c r="B180" s="78"/>
      <c r="C180" s="189"/>
      <c r="D180" s="185"/>
      <c r="E180" s="186"/>
      <c r="F180" s="187"/>
    </row>
    <row r="181" spans="1:6" x14ac:dyDescent="0.2">
      <c r="A181" s="275"/>
      <c r="B181" s="78"/>
      <c r="C181" s="189"/>
      <c r="D181" s="185"/>
      <c r="E181" s="186"/>
      <c r="F181" s="187"/>
    </row>
    <row r="182" spans="1:6" x14ac:dyDescent="0.2">
      <c r="A182" s="275"/>
      <c r="B182" s="78"/>
      <c r="C182" s="189"/>
      <c r="D182" s="185"/>
      <c r="E182" s="186"/>
      <c r="F182" s="187"/>
    </row>
    <row r="183" spans="1:6" x14ac:dyDescent="0.2">
      <c r="A183" s="275"/>
      <c r="B183" s="78"/>
      <c r="C183" s="189"/>
      <c r="D183" s="185"/>
      <c r="E183" s="186"/>
      <c r="F183" s="187"/>
    </row>
    <row r="184" spans="1:6" x14ac:dyDescent="0.2">
      <c r="A184" s="275"/>
      <c r="B184" s="78"/>
      <c r="C184" s="189"/>
      <c r="D184" s="185"/>
      <c r="E184" s="186"/>
      <c r="F184" s="187"/>
    </row>
    <row r="185" spans="1:6" x14ac:dyDescent="0.2">
      <c r="A185" s="275"/>
      <c r="B185" s="78"/>
      <c r="C185" s="189"/>
      <c r="D185" s="185"/>
      <c r="E185" s="186"/>
      <c r="F185" s="187"/>
    </row>
    <row r="186" spans="1:6" x14ac:dyDescent="0.2">
      <c r="A186" s="275"/>
      <c r="B186" s="78"/>
      <c r="C186" s="189"/>
      <c r="D186" s="185"/>
      <c r="E186" s="186"/>
      <c r="F186" s="187"/>
    </row>
    <row r="187" spans="1:6" x14ac:dyDescent="0.2">
      <c r="A187" s="275"/>
      <c r="B187" s="78"/>
      <c r="C187" s="189"/>
      <c r="D187" s="185"/>
      <c r="E187" s="186"/>
      <c r="F187" s="187"/>
    </row>
    <row r="188" spans="1:6" x14ac:dyDescent="0.2">
      <c r="A188" s="275"/>
      <c r="B188" s="78"/>
      <c r="C188" s="189"/>
      <c r="D188" s="185"/>
      <c r="E188" s="186"/>
      <c r="F188" s="187"/>
    </row>
    <row r="189" spans="1:6" x14ac:dyDescent="0.2">
      <c r="A189" s="275"/>
      <c r="B189" s="78"/>
      <c r="C189" s="189"/>
      <c r="D189" s="185"/>
      <c r="E189" s="186"/>
      <c r="F189" s="187"/>
    </row>
    <row r="190" spans="1:6" x14ac:dyDescent="0.2">
      <c r="A190" s="275"/>
      <c r="B190" s="78"/>
      <c r="C190" s="189"/>
      <c r="D190" s="185"/>
      <c r="E190" s="186"/>
      <c r="F190" s="187"/>
    </row>
    <row r="191" spans="1:6" x14ac:dyDescent="0.2">
      <c r="A191" s="275"/>
      <c r="B191" s="78"/>
      <c r="C191" s="189"/>
      <c r="D191" s="185"/>
      <c r="E191" s="186"/>
      <c r="F191" s="187"/>
    </row>
    <row r="192" spans="1:6" x14ac:dyDescent="0.2">
      <c r="A192" s="275"/>
      <c r="B192" s="78"/>
      <c r="C192" s="189"/>
      <c r="D192" s="185"/>
      <c r="E192" s="186"/>
      <c r="F192" s="187"/>
    </row>
    <row r="193" spans="1:6" x14ac:dyDescent="0.2">
      <c r="A193" s="275"/>
      <c r="B193" s="78"/>
      <c r="C193" s="189"/>
      <c r="D193" s="185"/>
      <c r="E193" s="186"/>
      <c r="F193" s="187"/>
    </row>
    <row r="194" spans="1:6" x14ac:dyDescent="0.2">
      <c r="A194" s="275"/>
      <c r="B194" s="78"/>
      <c r="C194" s="189"/>
      <c r="D194" s="185"/>
      <c r="E194" s="186"/>
      <c r="F194" s="187"/>
    </row>
    <row r="195" spans="1:6" x14ac:dyDescent="0.2">
      <c r="A195" s="275"/>
      <c r="B195" s="78"/>
      <c r="C195" s="189"/>
      <c r="D195" s="185"/>
      <c r="E195" s="186"/>
      <c r="F195" s="187"/>
    </row>
    <row r="196" spans="1:6" x14ac:dyDescent="0.2">
      <c r="A196" s="275"/>
      <c r="B196" s="78"/>
      <c r="C196" s="189"/>
      <c r="D196" s="185"/>
      <c r="E196" s="186"/>
      <c r="F196" s="187"/>
    </row>
    <row r="197" spans="1:6" x14ac:dyDescent="0.2">
      <c r="A197" s="275"/>
      <c r="B197" s="78"/>
      <c r="C197" s="189"/>
      <c r="D197" s="185"/>
      <c r="E197" s="186"/>
      <c r="F197" s="187"/>
    </row>
    <row r="198" spans="1:6" x14ac:dyDescent="0.2">
      <c r="A198" s="275"/>
      <c r="B198" s="78"/>
      <c r="C198" s="189"/>
      <c r="D198" s="185"/>
      <c r="E198" s="186"/>
      <c r="F198" s="187"/>
    </row>
    <row r="199" spans="1:6" x14ac:dyDescent="0.2">
      <c r="A199" s="275"/>
      <c r="B199" s="78"/>
      <c r="C199" s="189"/>
      <c r="D199" s="185"/>
      <c r="E199" s="186"/>
      <c r="F199" s="187"/>
    </row>
    <row r="200" spans="1:6" x14ac:dyDescent="0.2">
      <c r="A200" s="275"/>
      <c r="B200" s="78"/>
      <c r="C200" s="189"/>
      <c r="D200" s="185"/>
      <c r="E200" s="186"/>
      <c r="F200" s="187"/>
    </row>
    <row r="201" spans="1:6" x14ac:dyDescent="0.2">
      <c r="A201" s="275"/>
      <c r="B201" s="78"/>
      <c r="C201" s="189"/>
      <c r="D201" s="185"/>
      <c r="E201" s="186"/>
      <c r="F201" s="187"/>
    </row>
    <row r="202" spans="1:6" x14ac:dyDescent="0.2">
      <c r="A202" s="275"/>
      <c r="B202" s="78"/>
      <c r="C202" s="189"/>
      <c r="D202" s="185"/>
      <c r="E202" s="186"/>
      <c r="F202" s="187"/>
    </row>
    <row r="203" spans="1:6" x14ac:dyDescent="0.2">
      <c r="A203" s="275"/>
      <c r="B203" s="78"/>
      <c r="C203" s="189"/>
      <c r="D203" s="185"/>
      <c r="E203" s="186"/>
      <c r="F203" s="187"/>
    </row>
    <row r="204" spans="1:6" x14ac:dyDescent="0.2">
      <c r="A204" s="275"/>
      <c r="B204" s="78"/>
      <c r="C204" s="189"/>
      <c r="D204" s="185"/>
      <c r="E204" s="186"/>
      <c r="F204" s="187"/>
    </row>
    <row r="205" spans="1:6" x14ac:dyDescent="0.2">
      <c r="A205" s="275"/>
      <c r="B205" s="78"/>
      <c r="C205" s="189"/>
      <c r="D205" s="185"/>
      <c r="E205" s="186"/>
      <c r="F205" s="187"/>
    </row>
    <row r="206" spans="1:6" x14ac:dyDescent="0.2">
      <c r="A206" s="275"/>
      <c r="B206" s="78"/>
      <c r="C206" s="189"/>
      <c r="D206" s="185"/>
      <c r="E206" s="186"/>
      <c r="F206" s="187"/>
    </row>
    <row r="207" spans="1:6" x14ac:dyDescent="0.2">
      <c r="A207" s="275"/>
      <c r="B207" s="78"/>
      <c r="C207" s="189"/>
      <c r="D207" s="185"/>
      <c r="E207" s="186"/>
      <c r="F207" s="187"/>
    </row>
    <row r="208" spans="1:6" x14ac:dyDescent="0.2">
      <c r="A208" s="275"/>
      <c r="B208" s="78"/>
      <c r="C208" s="189"/>
      <c r="D208" s="185"/>
      <c r="E208" s="186"/>
      <c r="F208" s="187"/>
    </row>
    <row r="209" spans="1:6" x14ac:dyDescent="0.2">
      <c r="A209" s="275"/>
      <c r="B209" s="78"/>
      <c r="C209" s="189"/>
      <c r="D209" s="185"/>
      <c r="E209" s="186"/>
      <c r="F209" s="187"/>
    </row>
    <row r="210" spans="1:6" x14ac:dyDescent="0.2">
      <c r="A210" s="275"/>
      <c r="B210" s="78"/>
      <c r="C210" s="189"/>
      <c r="D210" s="185"/>
      <c r="E210" s="186"/>
      <c r="F210" s="187"/>
    </row>
    <row r="211" spans="1:6" x14ac:dyDescent="0.2">
      <c r="A211" s="275"/>
      <c r="B211" s="78"/>
      <c r="C211" s="189"/>
      <c r="D211" s="185"/>
      <c r="E211" s="186"/>
      <c r="F211" s="187"/>
    </row>
    <row r="212" spans="1:6" x14ac:dyDescent="0.2">
      <c r="A212" s="275"/>
      <c r="B212" s="78"/>
      <c r="C212" s="189"/>
      <c r="D212" s="185"/>
      <c r="E212" s="186"/>
      <c r="F212" s="187"/>
    </row>
    <row r="213" spans="1:6" x14ac:dyDescent="0.2">
      <c r="A213" s="275"/>
      <c r="B213" s="78"/>
      <c r="C213" s="189"/>
      <c r="D213" s="185"/>
      <c r="E213" s="186"/>
      <c r="F213" s="187"/>
    </row>
    <row r="214" spans="1:6" x14ac:dyDescent="0.2">
      <c r="A214" s="275"/>
      <c r="B214" s="78"/>
      <c r="C214" s="189"/>
      <c r="D214" s="185"/>
      <c r="E214" s="186"/>
      <c r="F214" s="187"/>
    </row>
    <row r="215" spans="1:6" x14ac:dyDescent="0.2">
      <c r="A215" s="275"/>
      <c r="B215" s="78"/>
      <c r="C215" s="189"/>
      <c r="D215" s="185"/>
      <c r="E215" s="186"/>
      <c r="F215" s="187"/>
    </row>
    <row r="216" spans="1:6" x14ac:dyDescent="0.2">
      <c r="A216" s="275"/>
      <c r="B216" s="78"/>
      <c r="C216" s="189"/>
      <c r="D216" s="185"/>
      <c r="E216" s="186"/>
      <c r="F216" s="187"/>
    </row>
    <row r="217" spans="1:6" x14ac:dyDescent="0.2">
      <c r="A217" s="275"/>
      <c r="B217" s="78"/>
      <c r="C217" s="189"/>
      <c r="D217" s="185"/>
      <c r="E217" s="186"/>
      <c r="F217" s="187"/>
    </row>
    <row r="218" spans="1:6" x14ac:dyDescent="0.2">
      <c r="A218" s="275"/>
      <c r="B218" s="78"/>
      <c r="C218" s="189"/>
      <c r="D218" s="185"/>
      <c r="E218" s="186"/>
      <c r="F218" s="187"/>
    </row>
    <row r="219" spans="1:6" x14ac:dyDescent="0.2">
      <c r="A219" s="275"/>
      <c r="B219" s="78"/>
      <c r="C219" s="189"/>
      <c r="D219" s="185"/>
      <c r="E219" s="186"/>
      <c r="F219" s="187"/>
    </row>
    <row r="220" spans="1:6" x14ac:dyDescent="0.2">
      <c r="A220" s="275"/>
      <c r="B220" s="78"/>
      <c r="C220" s="189"/>
      <c r="D220" s="185"/>
      <c r="E220" s="186"/>
      <c r="F220" s="187"/>
    </row>
    <row r="221" spans="1:6" x14ac:dyDescent="0.2">
      <c r="A221" s="275"/>
      <c r="B221" s="78"/>
      <c r="C221" s="189"/>
      <c r="D221" s="185"/>
      <c r="E221" s="186"/>
      <c r="F221" s="187"/>
    </row>
    <row r="222" spans="1:6" x14ac:dyDescent="0.2">
      <c r="A222" s="275"/>
      <c r="B222" s="78"/>
      <c r="C222" s="189"/>
      <c r="D222" s="185"/>
      <c r="E222" s="186"/>
      <c r="F222" s="187"/>
    </row>
    <row r="223" spans="1:6" x14ac:dyDescent="0.2">
      <c r="A223" s="275"/>
      <c r="B223" s="78"/>
      <c r="C223" s="189"/>
      <c r="D223" s="185"/>
      <c r="E223" s="186"/>
      <c r="F223" s="187"/>
    </row>
    <row r="224" spans="1:6" x14ac:dyDescent="0.2">
      <c r="A224" s="275"/>
      <c r="B224" s="78"/>
      <c r="C224" s="189"/>
      <c r="D224" s="185"/>
      <c r="E224" s="186"/>
      <c r="F224" s="187"/>
    </row>
    <row r="225" spans="1:6" x14ac:dyDescent="0.2">
      <c r="A225" s="275"/>
      <c r="B225" s="78"/>
      <c r="C225" s="189"/>
      <c r="D225" s="185"/>
      <c r="E225" s="186"/>
      <c r="F225" s="187"/>
    </row>
    <row r="226" spans="1:6" x14ac:dyDescent="0.2">
      <c r="A226" s="275"/>
      <c r="B226" s="78"/>
      <c r="C226" s="189"/>
      <c r="D226" s="185"/>
      <c r="E226" s="186"/>
      <c r="F226" s="187"/>
    </row>
    <row r="227" spans="1:6" x14ac:dyDescent="0.2">
      <c r="A227" s="275"/>
      <c r="B227" s="78"/>
      <c r="C227" s="189"/>
      <c r="D227" s="185"/>
      <c r="E227" s="186"/>
      <c r="F227" s="187"/>
    </row>
    <row r="228" spans="1:6" x14ac:dyDescent="0.2">
      <c r="A228" s="275"/>
      <c r="B228" s="78"/>
      <c r="C228" s="189"/>
      <c r="D228" s="185"/>
      <c r="E228" s="186"/>
      <c r="F228" s="187"/>
    </row>
    <row r="229" spans="1:6" x14ac:dyDescent="0.2">
      <c r="A229" s="275"/>
      <c r="B229" s="78"/>
      <c r="C229" s="189"/>
      <c r="D229" s="185"/>
      <c r="E229" s="186"/>
      <c r="F229" s="187"/>
    </row>
    <row r="230" spans="1:6" x14ac:dyDescent="0.2">
      <c r="A230" s="275"/>
      <c r="B230" s="78"/>
      <c r="C230" s="189"/>
      <c r="D230" s="185"/>
      <c r="E230" s="186"/>
      <c r="F230" s="187"/>
    </row>
    <row r="231" spans="1:6" x14ac:dyDescent="0.2">
      <c r="A231" s="275"/>
      <c r="B231" s="78"/>
      <c r="C231" s="189"/>
      <c r="D231" s="185"/>
      <c r="E231" s="186"/>
      <c r="F231" s="187"/>
    </row>
    <row r="232" spans="1:6" x14ac:dyDescent="0.2">
      <c r="A232" s="275"/>
      <c r="B232" s="78"/>
      <c r="C232" s="189"/>
      <c r="D232" s="185"/>
      <c r="E232" s="186"/>
      <c r="F232" s="187"/>
    </row>
    <row r="233" spans="1:6" x14ac:dyDescent="0.2">
      <c r="A233" s="275"/>
      <c r="B233" s="78"/>
      <c r="C233" s="189"/>
      <c r="D233" s="185"/>
      <c r="E233" s="186"/>
      <c r="F233" s="187"/>
    </row>
    <row r="234" spans="1:6" x14ac:dyDescent="0.2">
      <c r="A234" s="275"/>
      <c r="B234" s="78"/>
      <c r="C234" s="189"/>
      <c r="D234" s="185"/>
      <c r="E234" s="186"/>
      <c r="F234" s="187"/>
    </row>
    <row r="235" spans="1:6" x14ac:dyDescent="0.2">
      <c r="A235" s="275"/>
      <c r="B235" s="78"/>
      <c r="C235" s="189"/>
      <c r="D235" s="185"/>
      <c r="E235" s="186"/>
      <c r="F235" s="187"/>
    </row>
    <row r="236" spans="1:6" x14ac:dyDescent="0.2">
      <c r="A236" s="275"/>
      <c r="B236" s="78"/>
      <c r="C236" s="189"/>
      <c r="D236" s="185"/>
      <c r="E236" s="186"/>
      <c r="F236" s="187"/>
    </row>
    <row r="237" spans="1:6" x14ac:dyDescent="0.2">
      <c r="A237" s="275"/>
      <c r="B237" s="78"/>
      <c r="C237" s="189"/>
      <c r="D237" s="185"/>
      <c r="E237" s="186"/>
      <c r="F237" s="187"/>
    </row>
    <row r="238" spans="1:6" x14ac:dyDescent="0.2">
      <c r="A238" s="275"/>
      <c r="B238" s="78"/>
      <c r="C238" s="189"/>
      <c r="D238" s="185"/>
      <c r="E238" s="186"/>
      <c r="F238" s="187"/>
    </row>
    <row r="239" spans="1:6" x14ac:dyDescent="0.2">
      <c r="A239" s="275"/>
      <c r="B239" s="78"/>
      <c r="C239" s="189"/>
      <c r="D239" s="185"/>
      <c r="E239" s="186"/>
      <c r="F239" s="187"/>
    </row>
    <row r="240" spans="1:6" x14ac:dyDescent="0.2">
      <c r="A240" s="275"/>
      <c r="B240" s="78"/>
      <c r="C240" s="189"/>
      <c r="D240" s="185"/>
      <c r="E240" s="186"/>
      <c r="F240" s="187"/>
    </row>
    <row r="241" spans="1:6" x14ac:dyDescent="0.2">
      <c r="A241" s="275"/>
      <c r="B241" s="78"/>
      <c r="C241" s="189"/>
      <c r="D241" s="185"/>
      <c r="E241" s="186"/>
      <c r="F241" s="187"/>
    </row>
    <row r="242" spans="1:6" x14ac:dyDescent="0.2">
      <c r="A242" s="275"/>
      <c r="B242" s="78"/>
      <c r="C242" s="189"/>
      <c r="D242" s="185"/>
      <c r="E242" s="186"/>
      <c r="F242" s="187"/>
    </row>
    <row r="243" spans="1:6" x14ac:dyDescent="0.2">
      <c r="A243" s="275"/>
      <c r="B243" s="78"/>
      <c r="C243" s="189"/>
      <c r="D243" s="185"/>
      <c r="E243" s="186"/>
      <c r="F243" s="187"/>
    </row>
    <row r="244" spans="1:6" x14ac:dyDescent="0.2">
      <c r="A244" s="275"/>
      <c r="B244" s="78"/>
      <c r="C244" s="189"/>
      <c r="D244" s="185"/>
      <c r="E244" s="186"/>
      <c r="F244" s="187"/>
    </row>
    <row r="245" spans="1:6" x14ac:dyDescent="0.2">
      <c r="A245" s="275"/>
      <c r="B245" s="78"/>
      <c r="C245" s="189"/>
      <c r="D245" s="185"/>
      <c r="E245" s="186"/>
      <c r="F245" s="187"/>
    </row>
    <row r="246" spans="1:6" x14ac:dyDescent="0.2">
      <c r="A246" s="275"/>
      <c r="B246" s="78"/>
      <c r="C246" s="189"/>
      <c r="D246" s="185"/>
      <c r="E246" s="186"/>
      <c r="F246" s="187"/>
    </row>
    <row r="247" spans="1:6" x14ac:dyDescent="0.2">
      <c r="A247" s="275"/>
      <c r="B247" s="78"/>
      <c r="C247" s="189"/>
      <c r="D247" s="185"/>
      <c r="E247" s="186"/>
      <c r="F247" s="187"/>
    </row>
    <row r="248" spans="1:6" x14ac:dyDescent="0.2">
      <c r="A248" s="275"/>
      <c r="B248" s="78"/>
      <c r="C248" s="189"/>
      <c r="D248" s="185"/>
      <c r="E248" s="186"/>
      <c r="F248" s="187"/>
    </row>
    <row r="249" spans="1:6" x14ac:dyDescent="0.2">
      <c r="A249" s="275"/>
      <c r="B249" s="78"/>
      <c r="C249" s="189"/>
      <c r="D249" s="185"/>
      <c r="E249" s="186"/>
      <c r="F249" s="187"/>
    </row>
    <row r="250" spans="1:6" x14ac:dyDescent="0.2">
      <c r="A250" s="275"/>
      <c r="B250" s="78"/>
      <c r="C250" s="189"/>
      <c r="D250" s="185"/>
      <c r="E250" s="186"/>
      <c r="F250" s="187"/>
    </row>
    <row r="251" spans="1:6" x14ac:dyDescent="0.2">
      <c r="A251" s="275"/>
      <c r="B251" s="78"/>
      <c r="C251" s="189"/>
      <c r="D251" s="185"/>
      <c r="E251" s="186"/>
      <c r="F251" s="187"/>
    </row>
    <row r="252" spans="1:6" x14ac:dyDescent="0.2">
      <c r="A252" s="275"/>
      <c r="B252" s="78"/>
      <c r="C252" s="189"/>
      <c r="D252" s="185"/>
      <c r="E252" s="186"/>
      <c r="F252" s="187"/>
    </row>
    <row r="253" spans="1:6" x14ac:dyDescent="0.2">
      <c r="A253" s="275"/>
      <c r="B253" s="78"/>
      <c r="C253" s="189"/>
      <c r="D253" s="185"/>
      <c r="E253" s="186"/>
      <c r="F253" s="187"/>
    </row>
    <row r="254" spans="1:6" x14ac:dyDescent="0.2">
      <c r="A254" s="275"/>
      <c r="B254" s="78"/>
      <c r="C254" s="189"/>
      <c r="D254" s="185"/>
      <c r="E254" s="186"/>
      <c r="F254" s="187"/>
    </row>
    <row r="255" spans="1:6" x14ac:dyDescent="0.2">
      <c r="A255" s="275"/>
      <c r="B255" s="78"/>
      <c r="C255" s="189"/>
      <c r="D255" s="185"/>
      <c r="E255" s="186"/>
      <c r="F255" s="187"/>
    </row>
    <row r="256" spans="1:6" x14ac:dyDescent="0.2">
      <c r="A256" s="275"/>
      <c r="B256" s="78"/>
      <c r="C256" s="189"/>
      <c r="D256" s="185"/>
      <c r="E256" s="186"/>
      <c r="F256" s="187"/>
    </row>
    <row r="257" spans="1:6" x14ac:dyDescent="0.2">
      <c r="A257" s="275"/>
      <c r="B257" s="78"/>
      <c r="C257" s="189"/>
      <c r="D257" s="185"/>
      <c r="E257" s="186"/>
      <c r="F257" s="187"/>
    </row>
    <row r="258" spans="1:6" x14ac:dyDescent="0.2">
      <c r="A258" s="275"/>
      <c r="B258" s="78"/>
      <c r="C258" s="189"/>
      <c r="D258" s="185"/>
      <c r="E258" s="186"/>
      <c r="F258" s="187"/>
    </row>
    <row r="259" spans="1:6" x14ac:dyDescent="0.2">
      <c r="A259" s="275"/>
      <c r="B259" s="78"/>
      <c r="C259" s="189"/>
      <c r="D259" s="185"/>
      <c r="E259" s="186"/>
      <c r="F259" s="187"/>
    </row>
    <row r="260" spans="1:6" x14ac:dyDescent="0.2">
      <c r="A260" s="275"/>
      <c r="B260" s="78"/>
      <c r="C260" s="189"/>
      <c r="D260" s="185"/>
      <c r="E260" s="186"/>
      <c r="F260" s="187"/>
    </row>
    <row r="261" spans="1:6" x14ac:dyDescent="0.2">
      <c r="A261" s="275"/>
      <c r="B261" s="78"/>
      <c r="C261" s="189"/>
      <c r="D261" s="185"/>
      <c r="E261" s="186"/>
      <c r="F261" s="187"/>
    </row>
    <row r="262" spans="1:6" x14ac:dyDescent="0.2">
      <c r="A262" s="275"/>
      <c r="B262" s="78"/>
      <c r="C262" s="189"/>
      <c r="D262" s="185"/>
      <c r="E262" s="186"/>
      <c r="F262" s="187"/>
    </row>
    <row r="263" spans="1:6" x14ac:dyDescent="0.2">
      <c r="A263" s="275"/>
      <c r="B263" s="78"/>
      <c r="C263" s="189"/>
      <c r="D263" s="185"/>
      <c r="E263" s="186"/>
      <c r="F263" s="187"/>
    </row>
    <row r="264" spans="1:6" x14ac:dyDescent="0.2">
      <c r="A264" s="275"/>
      <c r="B264" s="78"/>
      <c r="C264" s="189"/>
      <c r="D264" s="185"/>
      <c r="E264" s="186"/>
      <c r="F264" s="187"/>
    </row>
    <row r="265" spans="1:6" x14ac:dyDescent="0.2">
      <c r="A265" s="275"/>
      <c r="B265" s="78"/>
      <c r="C265" s="189"/>
      <c r="D265" s="185"/>
      <c r="E265" s="186"/>
      <c r="F265" s="187"/>
    </row>
    <row r="266" spans="1:6" x14ac:dyDescent="0.2">
      <c r="A266" s="275"/>
      <c r="B266" s="78"/>
      <c r="C266" s="189"/>
      <c r="D266" s="185"/>
      <c r="E266" s="186"/>
      <c r="F266" s="187"/>
    </row>
    <row r="267" spans="1:6" x14ac:dyDescent="0.2">
      <c r="A267" s="275"/>
      <c r="B267" s="78"/>
      <c r="C267" s="189"/>
      <c r="D267" s="185"/>
      <c r="E267" s="186"/>
      <c r="F267" s="187"/>
    </row>
    <row r="268" spans="1:6" x14ac:dyDescent="0.2">
      <c r="A268" s="275"/>
      <c r="B268" s="78"/>
      <c r="C268" s="189"/>
      <c r="D268" s="185"/>
      <c r="E268" s="186"/>
      <c r="F268" s="187"/>
    </row>
    <row r="269" spans="1:6" x14ac:dyDescent="0.2">
      <c r="A269" s="275"/>
      <c r="B269" s="78"/>
      <c r="C269" s="189"/>
      <c r="D269" s="185"/>
      <c r="E269" s="186"/>
      <c r="F269" s="187"/>
    </row>
    <row r="270" spans="1:6" x14ac:dyDescent="0.2">
      <c r="A270" s="275"/>
      <c r="B270" s="78"/>
      <c r="C270" s="189"/>
      <c r="D270" s="185"/>
      <c r="E270" s="186"/>
      <c r="F270" s="187"/>
    </row>
    <row r="271" spans="1:6" x14ac:dyDescent="0.2">
      <c r="A271" s="275"/>
      <c r="B271" s="78"/>
      <c r="C271" s="189"/>
      <c r="D271" s="185"/>
      <c r="E271" s="186"/>
      <c r="F271" s="187"/>
    </row>
    <row r="272" spans="1:6" x14ac:dyDescent="0.2">
      <c r="A272" s="275"/>
      <c r="B272" s="78"/>
      <c r="C272" s="189"/>
      <c r="D272" s="185"/>
      <c r="E272" s="186"/>
      <c r="F272" s="187"/>
    </row>
    <row r="273" spans="1:6" x14ac:dyDescent="0.2">
      <c r="A273" s="275"/>
      <c r="B273" s="78"/>
      <c r="C273" s="189"/>
      <c r="D273" s="185"/>
      <c r="E273" s="186"/>
      <c r="F273" s="187"/>
    </row>
    <row r="274" spans="1:6" x14ac:dyDescent="0.2">
      <c r="A274" s="275"/>
      <c r="B274" s="78"/>
      <c r="C274" s="189"/>
      <c r="D274" s="185"/>
      <c r="E274" s="186"/>
      <c r="F274" s="187"/>
    </row>
    <row r="275" spans="1:6" x14ac:dyDescent="0.2">
      <c r="A275" s="275"/>
      <c r="B275" s="78"/>
      <c r="C275" s="189"/>
      <c r="D275" s="185"/>
      <c r="E275" s="186"/>
      <c r="F275" s="187"/>
    </row>
    <row r="276" spans="1:6" x14ac:dyDescent="0.2">
      <c r="A276" s="275"/>
      <c r="B276" s="78"/>
      <c r="C276" s="189"/>
      <c r="D276" s="185"/>
      <c r="E276" s="186"/>
      <c r="F276" s="187"/>
    </row>
    <row r="277" spans="1:6" x14ac:dyDescent="0.2">
      <c r="A277" s="275"/>
      <c r="B277" s="78"/>
      <c r="C277" s="189"/>
      <c r="D277" s="185"/>
      <c r="E277" s="186"/>
      <c r="F277" s="187"/>
    </row>
    <row r="278" spans="1:6" x14ac:dyDescent="0.2">
      <c r="A278" s="275"/>
      <c r="B278" s="78"/>
      <c r="C278" s="189"/>
      <c r="D278" s="185"/>
      <c r="E278" s="186"/>
      <c r="F278" s="187"/>
    </row>
    <row r="279" spans="1:6" x14ac:dyDescent="0.2">
      <c r="A279" s="275"/>
      <c r="B279" s="78"/>
      <c r="C279" s="189"/>
      <c r="D279" s="185"/>
      <c r="E279" s="186"/>
      <c r="F279" s="187"/>
    </row>
    <row r="280" spans="1:6" x14ac:dyDescent="0.2">
      <c r="A280" s="275"/>
      <c r="B280" s="78"/>
      <c r="C280" s="189"/>
      <c r="D280" s="185"/>
      <c r="E280" s="186"/>
      <c r="F280" s="187"/>
    </row>
    <row r="281" spans="1:6" x14ac:dyDescent="0.2">
      <c r="A281" s="275"/>
      <c r="B281" s="78"/>
      <c r="C281" s="189"/>
      <c r="D281" s="185"/>
      <c r="E281" s="186"/>
      <c r="F281" s="187"/>
    </row>
    <row r="282" spans="1:6" x14ac:dyDescent="0.2">
      <c r="A282" s="275"/>
      <c r="B282" s="78"/>
      <c r="C282" s="189"/>
      <c r="D282" s="185"/>
      <c r="E282" s="186"/>
      <c r="F282" s="187"/>
    </row>
    <row r="283" spans="1:6" x14ac:dyDescent="0.2">
      <c r="A283" s="275"/>
      <c r="B283" s="78"/>
      <c r="C283" s="189"/>
      <c r="D283" s="185"/>
      <c r="E283" s="186"/>
      <c r="F283" s="187"/>
    </row>
    <row r="284" spans="1:6" x14ac:dyDescent="0.2">
      <c r="A284" s="275"/>
      <c r="B284" s="78"/>
      <c r="C284" s="189"/>
      <c r="D284" s="185"/>
      <c r="E284" s="186"/>
      <c r="F284" s="187"/>
    </row>
    <row r="285" spans="1:6" x14ac:dyDescent="0.2">
      <c r="A285" s="275"/>
      <c r="B285" s="78"/>
      <c r="C285" s="189"/>
      <c r="D285" s="185"/>
      <c r="E285" s="186"/>
      <c r="F285" s="187"/>
    </row>
    <row r="286" spans="1:6" x14ac:dyDescent="0.2">
      <c r="A286" s="275"/>
      <c r="B286" s="78"/>
      <c r="C286" s="189"/>
      <c r="D286" s="185"/>
      <c r="E286" s="186"/>
      <c r="F286" s="187"/>
    </row>
    <row r="287" spans="1:6" x14ac:dyDescent="0.2">
      <c r="A287" s="275"/>
      <c r="B287" s="78"/>
      <c r="C287" s="189"/>
      <c r="D287" s="185"/>
      <c r="E287" s="186"/>
      <c r="F287" s="187"/>
    </row>
    <row r="288" spans="1:6" x14ac:dyDescent="0.2">
      <c r="A288" s="275"/>
      <c r="B288" s="78"/>
      <c r="C288" s="189"/>
      <c r="D288" s="185"/>
      <c r="E288" s="186"/>
      <c r="F288" s="187"/>
    </row>
    <row r="289" spans="1:6" x14ac:dyDescent="0.2">
      <c r="A289" s="275"/>
      <c r="B289" s="78"/>
      <c r="C289" s="189"/>
      <c r="D289" s="185"/>
      <c r="E289" s="186"/>
      <c r="F289" s="187"/>
    </row>
    <row r="290" spans="1:6" x14ac:dyDescent="0.2">
      <c r="A290" s="275"/>
      <c r="B290" s="78"/>
      <c r="C290" s="189"/>
      <c r="D290" s="185"/>
      <c r="E290" s="186"/>
      <c r="F290" s="187"/>
    </row>
    <row r="291" spans="1:6" x14ac:dyDescent="0.2">
      <c r="A291" s="275"/>
      <c r="B291" s="78"/>
      <c r="C291" s="189"/>
      <c r="D291" s="185"/>
      <c r="E291" s="186"/>
      <c r="F291" s="187"/>
    </row>
    <row r="292" spans="1:6" x14ac:dyDescent="0.2">
      <c r="A292" s="275"/>
      <c r="B292" s="78"/>
      <c r="C292" s="189"/>
      <c r="D292" s="185"/>
      <c r="E292" s="186"/>
      <c r="F292" s="187"/>
    </row>
    <row r="293" spans="1:6" x14ac:dyDescent="0.2">
      <c r="A293" s="275"/>
      <c r="B293" s="78"/>
      <c r="C293" s="189"/>
      <c r="D293" s="185"/>
      <c r="E293" s="186"/>
      <c r="F293" s="187"/>
    </row>
    <row r="294" spans="1:6" x14ac:dyDescent="0.2">
      <c r="A294" s="275"/>
      <c r="B294" s="78"/>
      <c r="C294" s="189"/>
      <c r="D294" s="185"/>
      <c r="E294" s="186"/>
      <c r="F294" s="187"/>
    </row>
    <row r="295" spans="1:6" x14ac:dyDescent="0.2">
      <c r="A295" s="275"/>
      <c r="B295" s="78"/>
      <c r="C295" s="189"/>
      <c r="D295" s="185"/>
      <c r="E295" s="186"/>
      <c r="F295" s="187"/>
    </row>
    <row r="296" spans="1:6" x14ac:dyDescent="0.2">
      <c r="A296" s="275"/>
      <c r="B296" s="78"/>
      <c r="C296" s="189"/>
      <c r="D296" s="185"/>
      <c r="E296" s="186"/>
      <c r="F296" s="187"/>
    </row>
    <row r="297" spans="1:6" x14ac:dyDescent="0.2">
      <c r="A297" s="275"/>
      <c r="B297" s="78"/>
      <c r="C297" s="189"/>
      <c r="D297" s="185"/>
      <c r="E297" s="186"/>
      <c r="F297" s="187"/>
    </row>
    <row r="298" spans="1:6" x14ac:dyDescent="0.2">
      <c r="A298" s="275"/>
      <c r="B298" s="78"/>
      <c r="C298" s="189"/>
      <c r="D298" s="185"/>
      <c r="E298" s="186"/>
      <c r="F298" s="187"/>
    </row>
    <row r="299" spans="1:6" x14ac:dyDescent="0.2">
      <c r="A299" s="275"/>
      <c r="B299" s="78"/>
      <c r="C299" s="189"/>
      <c r="D299" s="185"/>
      <c r="E299" s="186"/>
      <c r="F299" s="187"/>
    </row>
    <row r="300" spans="1:6" x14ac:dyDescent="0.2">
      <c r="A300" s="275"/>
      <c r="B300" s="78"/>
      <c r="C300" s="189"/>
      <c r="D300" s="185"/>
      <c r="E300" s="186"/>
      <c r="F300" s="187"/>
    </row>
    <row r="301" spans="1:6" x14ac:dyDescent="0.2">
      <c r="A301" s="275"/>
      <c r="B301" s="78"/>
      <c r="C301" s="189"/>
      <c r="D301" s="185"/>
      <c r="E301" s="186"/>
      <c r="F301" s="187"/>
    </row>
    <row r="302" spans="1:6" x14ac:dyDescent="0.2">
      <c r="A302" s="275"/>
      <c r="B302" s="78"/>
      <c r="C302" s="189"/>
      <c r="D302" s="185"/>
      <c r="E302" s="186"/>
      <c r="F302" s="187"/>
    </row>
    <row r="303" spans="1:6" x14ac:dyDescent="0.2">
      <c r="A303" s="275"/>
      <c r="B303" s="78"/>
      <c r="C303" s="189"/>
      <c r="D303" s="185"/>
      <c r="E303" s="186"/>
      <c r="F303" s="187"/>
    </row>
    <row r="304" spans="1:6" x14ac:dyDescent="0.2">
      <c r="A304" s="275"/>
      <c r="B304" s="78"/>
      <c r="C304" s="189"/>
      <c r="D304" s="185"/>
      <c r="E304" s="186"/>
      <c r="F304" s="187"/>
    </row>
    <row r="305" spans="1:6" x14ac:dyDescent="0.2">
      <c r="A305" s="275"/>
      <c r="B305" s="78"/>
      <c r="C305" s="189"/>
      <c r="D305" s="185"/>
      <c r="E305" s="186"/>
      <c r="F305" s="187"/>
    </row>
    <row r="306" spans="1:6" x14ac:dyDescent="0.2">
      <c r="A306" s="275"/>
      <c r="B306" s="78"/>
      <c r="C306" s="189"/>
      <c r="D306" s="185"/>
      <c r="E306" s="186"/>
      <c r="F306" s="187"/>
    </row>
    <row r="307" spans="1:6" x14ac:dyDescent="0.2">
      <c r="A307" s="275"/>
      <c r="B307" s="78"/>
      <c r="C307" s="189"/>
      <c r="D307" s="185"/>
      <c r="E307" s="186"/>
      <c r="F307" s="187"/>
    </row>
    <row r="308" spans="1:6" x14ac:dyDescent="0.2">
      <c r="A308" s="275"/>
      <c r="B308" s="78"/>
      <c r="C308" s="189"/>
      <c r="D308" s="185"/>
      <c r="E308" s="186"/>
      <c r="F308" s="187"/>
    </row>
    <row r="309" spans="1:6" x14ac:dyDescent="0.2">
      <c r="A309" s="275"/>
      <c r="B309" s="78"/>
      <c r="C309" s="189"/>
      <c r="D309" s="185"/>
      <c r="E309" s="186"/>
      <c r="F309" s="187"/>
    </row>
    <row r="310" spans="1:6" x14ac:dyDescent="0.2">
      <c r="A310" s="275"/>
      <c r="B310" s="78"/>
      <c r="C310" s="189"/>
      <c r="D310" s="185"/>
      <c r="E310" s="186"/>
      <c r="F310" s="187"/>
    </row>
    <row r="311" spans="1:6" x14ac:dyDescent="0.2">
      <c r="A311" s="275"/>
      <c r="B311" s="78"/>
      <c r="C311" s="189"/>
      <c r="D311" s="185"/>
      <c r="E311" s="186"/>
      <c r="F311" s="187"/>
    </row>
    <row r="312" spans="1:6" x14ac:dyDescent="0.2">
      <c r="A312" s="275"/>
      <c r="B312" s="78"/>
      <c r="C312" s="189"/>
      <c r="D312" s="185"/>
      <c r="E312" s="186"/>
      <c r="F312" s="187"/>
    </row>
    <row r="313" spans="1:6" x14ac:dyDescent="0.2">
      <c r="A313" s="275"/>
      <c r="B313" s="78"/>
      <c r="C313" s="189"/>
      <c r="D313" s="185"/>
      <c r="E313" s="186"/>
      <c r="F313" s="187"/>
    </row>
    <row r="314" spans="1:6" x14ac:dyDescent="0.2">
      <c r="A314" s="275"/>
      <c r="B314" s="78"/>
      <c r="C314" s="189"/>
      <c r="D314" s="185"/>
      <c r="E314" s="186"/>
      <c r="F314" s="187"/>
    </row>
    <row r="315" spans="1:6" x14ac:dyDescent="0.2">
      <c r="A315" s="275"/>
      <c r="B315" s="78"/>
      <c r="C315" s="189"/>
      <c r="D315" s="185"/>
      <c r="E315" s="186"/>
      <c r="F315" s="187"/>
    </row>
    <row r="316" spans="1:6" x14ac:dyDescent="0.2">
      <c r="A316" s="275"/>
      <c r="B316" s="78"/>
      <c r="C316" s="189"/>
      <c r="D316" s="185"/>
      <c r="E316" s="186"/>
      <c r="F316" s="187"/>
    </row>
    <row r="317" spans="1:6" x14ac:dyDescent="0.2">
      <c r="A317" s="275"/>
      <c r="B317" s="78"/>
      <c r="C317" s="189"/>
      <c r="D317" s="185"/>
      <c r="E317" s="186"/>
      <c r="F317" s="187"/>
    </row>
    <row r="318" spans="1:6" x14ac:dyDescent="0.2">
      <c r="A318" s="275"/>
      <c r="B318" s="78"/>
      <c r="C318" s="189"/>
      <c r="D318" s="185"/>
      <c r="E318" s="186"/>
      <c r="F318" s="187"/>
    </row>
    <row r="319" spans="1:6" x14ac:dyDescent="0.2">
      <c r="A319" s="275"/>
      <c r="B319" s="78"/>
      <c r="C319" s="189"/>
      <c r="D319" s="185"/>
      <c r="E319" s="186"/>
      <c r="F319" s="187"/>
    </row>
    <row r="320" spans="1:6" x14ac:dyDescent="0.2">
      <c r="A320" s="275"/>
      <c r="B320" s="78"/>
      <c r="C320" s="189"/>
      <c r="D320" s="185"/>
      <c r="E320" s="186"/>
      <c r="F320" s="187"/>
    </row>
    <row r="321" spans="1:6" x14ac:dyDescent="0.2">
      <c r="A321" s="275"/>
      <c r="B321" s="78"/>
      <c r="C321" s="189"/>
      <c r="D321" s="185"/>
      <c r="E321" s="186"/>
      <c r="F321" s="187"/>
    </row>
    <row r="322" spans="1:6" x14ac:dyDescent="0.2">
      <c r="A322" s="275"/>
      <c r="B322" s="78"/>
      <c r="C322" s="189"/>
      <c r="D322" s="185"/>
      <c r="E322" s="186"/>
      <c r="F322" s="187"/>
    </row>
    <row r="323" spans="1:6" x14ac:dyDescent="0.2">
      <c r="A323" s="275"/>
      <c r="B323" s="78"/>
      <c r="C323" s="189"/>
      <c r="D323" s="185"/>
      <c r="E323" s="186"/>
      <c r="F323" s="187"/>
    </row>
    <row r="324" spans="1:6" x14ac:dyDescent="0.2">
      <c r="A324" s="275"/>
      <c r="B324" s="78"/>
      <c r="C324" s="189"/>
      <c r="D324" s="185"/>
      <c r="E324" s="186"/>
      <c r="F324" s="187"/>
    </row>
    <row r="325" spans="1:6" x14ac:dyDescent="0.2">
      <c r="A325" s="275"/>
      <c r="B325" s="78"/>
      <c r="C325" s="189"/>
      <c r="D325" s="185"/>
      <c r="E325" s="186"/>
      <c r="F325" s="187"/>
    </row>
    <row r="326" spans="1:6" x14ac:dyDescent="0.2">
      <c r="A326" s="275"/>
      <c r="B326" s="78"/>
      <c r="C326" s="189"/>
      <c r="D326" s="185"/>
      <c r="E326" s="186"/>
      <c r="F326" s="187"/>
    </row>
    <row r="327" spans="1:6" x14ac:dyDescent="0.2">
      <c r="A327" s="275"/>
      <c r="B327" s="78"/>
      <c r="C327" s="189"/>
      <c r="D327" s="185"/>
      <c r="E327" s="186"/>
      <c r="F327" s="187"/>
    </row>
    <row r="328" spans="1:6" x14ac:dyDescent="0.2">
      <c r="A328" s="275"/>
      <c r="B328" s="78"/>
      <c r="C328" s="189"/>
      <c r="D328" s="185"/>
      <c r="E328" s="186"/>
      <c r="F328" s="187"/>
    </row>
    <row r="329" spans="1:6" x14ac:dyDescent="0.2">
      <c r="A329" s="275"/>
      <c r="B329" s="78"/>
      <c r="C329" s="189"/>
      <c r="D329" s="185"/>
      <c r="E329" s="186"/>
      <c r="F329" s="187"/>
    </row>
    <row r="330" spans="1:6" x14ac:dyDescent="0.2">
      <c r="A330" s="275"/>
      <c r="B330" s="78"/>
      <c r="C330" s="189"/>
      <c r="D330" s="185"/>
      <c r="E330" s="186"/>
      <c r="F330" s="187"/>
    </row>
    <row r="331" spans="1:6" x14ac:dyDescent="0.2">
      <c r="A331" s="275"/>
      <c r="B331" s="78"/>
      <c r="C331" s="189"/>
      <c r="D331" s="185"/>
      <c r="E331" s="186"/>
      <c r="F331" s="187"/>
    </row>
    <row r="332" spans="1:6" x14ac:dyDescent="0.2">
      <c r="A332" s="275"/>
      <c r="B332" s="78"/>
      <c r="C332" s="189"/>
      <c r="D332" s="185"/>
      <c r="E332" s="186"/>
      <c r="F332" s="187"/>
    </row>
    <row r="333" spans="1:6" x14ac:dyDescent="0.2">
      <c r="A333" s="275"/>
      <c r="B333" s="78"/>
      <c r="C333" s="189"/>
      <c r="D333" s="185"/>
      <c r="E333" s="186"/>
      <c r="F333" s="187"/>
    </row>
    <row r="334" spans="1:6" x14ac:dyDescent="0.2">
      <c r="A334" s="275"/>
      <c r="B334" s="78"/>
      <c r="C334" s="189"/>
      <c r="D334" s="185"/>
      <c r="E334" s="186"/>
      <c r="F334" s="187"/>
    </row>
    <row r="335" spans="1:6" x14ac:dyDescent="0.2">
      <c r="A335" s="275"/>
      <c r="B335" s="78"/>
      <c r="C335" s="189"/>
      <c r="D335" s="185"/>
      <c r="E335" s="186"/>
      <c r="F335" s="187"/>
    </row>
    <row r="336" spans="1:6" x14ac:dyDescent="0.2">
      <c r="A336" s="275"/>
      <c r="B336" s="78"/>
      <c r="C336" s="189"/>
      <c r="D336" s="185"/>
      <c r="E336" s="186"/>
      <c r="F336" s="187"/>
    </row>
    <row r="337" spans="1:6" x14ac:dyDescent="0.2">
      <c r="A337" s="275"/>
      <c r="B337" s="78"/>
      <c r="C337" s="189"/>
      <c r="D337" s="185"/>
      <c r="E337" s="186"/>
      <c r="F337" s="187"/>
    </row>
    <row r="338" spans="1:6" x14ac:dyDescent="0.2">
      <c r="A338" s="275"/>
      <c r="B338" s="78"/>
      <c r="C338" s="189"/>
      <c r="D338" s="185"/>
      <c r="E338" s="186"/>
      <c r="F338" s="187"/>
    </row>
    <row r="339" spans="1:6" x14ac:dyDescent="0.2">
      <c r="A339" s="275"/>
      <c r="B339" s="78"/>
      <c r="C339" s="189"/>
      <c r="D339" s="185"/>
      <c r="E339" s="186"/>
      <c r="F339" s="187"/>
    </row>
    <row r="340" spans="1:6" x14ac:dyDescent="0.2">
      <c r="A340" s="275"/>
      <c r="B340" s="78"/>
      <c r="C340" s="189"/>
      <c r="D340" s="185"/>
      <c r="E340" s="186"/>
      <c r="F340" s="187"/>
    </row>
    <row r="341" spans="1:6" x14ac:dyDescent="0.2">
      <c r="A341" s="275"/>
      <c r="B341" s="78"/>
      <c r="C341" s="189"/>
      <c r="D341" s="185"/>
      <c r="E341" s="186"/>
      <c r="F341" s="187"/>
    </row>
    <row r="342" spans="1:6" x14ac:dyDescent="0.2">
      <c r="A342" s="275"/>
      <c r="B342" s="78"/>
      <c r="C342" s="189"/>
      <c r="D342" s="185"/>
      <c r="E342" s="186"/>
      <c r="F342" s="187"/>
    </row>
    <row r="343" spans="1:6" x14ac:dyDescent="0.2">
      <c r="A343" s="275"/>
      <c r="B343" s="78"/>
      <c r="C343" s="189"/>
      <c r="D343" s="185"/>
      <c r="E343" s="186"/>
      <c r="F343" s="187"/>
    </row>
    <row r="344" spans="1:6" x14ac:dyDescent="0.2">
      <c r="A344" s="275"/>
      <c r="B344" s="78"/>
      <c r="C344" s="189"/>
      <c r="D344" s="185"/>
      <c r="E344" s="186"/>
      <c r="F344" s="187"/>
    </row>
    <row r="345" spans="1:6" x14ac:dyDescent="0.2">
      <c r="A345" s="275"/>
      <c r="B345" s="78"/>
      <c r="C345" s="189"/>
      <c r="D345" s="185"/>
      <c r="E345" s="186"/>
      <c r="F345" s="187"/>
    </row>
    <row r="346" spans="1:6" x14ac:dyDescent="0.2">
      <c r="A346" s="275"/>
      <c r="B346" s="78"/>
      <c r="C346" s="189"/>
      <c r="D346" s="185"/>
      <c r="E346" s="186"/>
      <c r="F346" s="187"/>
    </row>
    <row r="347" spans="1:6" x14ac:dyDescent="0.2">
      <c r="A347" s="275"/>
      <c r="B347" s="78"/>
      <c r="C347" s="189"/>
      <c r="D347" s="185"/>
      <c r="E347" s="186"/>
      <c r="F347" s="187"/>
    </row>
    <row r="348" spans="1:6" x14ac:dyDescent="0.2">
      <c r="A348" s="275"/>
      <c r="B348" s="78"/>
      <c r="C348" s="189"/>
      <c r="D348" s="185"/>
      <c r="E348" s="186"/>
      <c r="F348" s="187"/>
    </row>
    <row r="349" spans="1:6" x14ac:dyDescent="0.2">
      <c r="A349" s="275"/>
      <c r="B349" s="78"/>
      <c r="C349" s="189"/>
      <c r="D349" s="185"/>
      <c r="E349" s="186"/>
      <c r="F349" s="187"/>
    </row>
    <row r="350" spans="1:6" x14ac:dyDescent="0.2">
      <c r="A350" s="275"/>
      <c r="B350" s="78"/>
      <c r="C350" s="189"/>
      <c r="D350" s="185"/>
      <c r="E350" s="186"/>
      <c r="F350" s="187"/>
    </row>
    <row r="351" spans="1:6" x14ac:dyDescent="0.2">
      <c r="A351" s="275"/>
      <c r="B351" s="78"/>
      <c r="C351" s="189"/>
      <c r="D351" s="185"/>
      <c r="E351" s="186"/>
      <c r="F351" s="187"/>
    </row>
    <row r="352" spans="1:6" x14ac:dyDescent="0.2">
      <c r="A352" s="275"/>
      <c r="B352" s="78"/>
      <c r="C352" s="189"/>
      <c r="D352" s="185"/>
      <c r="E352" s="186"/>
      <c r="F352" s="187"/>
    </row>
    <row r="353" spans="1:6" x14ac:dyDescent="0.2">
      <c r="A353" s="275"/>
      <c r="B353" s="78"/>
      <c r="C353" s="189"/>
      <c r="D353" s="185"/>
      <c r="E353" s="186"/>
      <c r="F353" s="187"/>
    </row>
    <row r="354" spans="1:6" x14ac:dyDescent="0.2">
      <c r="A354" s="275"/>
      <c r="B354" s="78"/>
      <c r="C354" s="189"/>
      <c r="D354" s="185"/>
      <c r="E354" s="186"/>
      <c r="F354" s="187"/>
    </row>
    <row r="355" spans="1:6" x14ac:dyDescent="0.2">
      <c r="A355" s="275"/>
      <c r="B355" s="78"/>
      <c r="C355" s="189"/>
      <c r="D355" s="185"/>
      <c r="E355" s="186"/>
      <c r="F355" s="187"/>
    </row>
    <row r="356" spans="1:6" x14ac:dyDescent="0.2">
      <c r="A356" s="275"/>
      <c r="B356" s="78"/>
      <c r="C356" s="189"/>
      <c r="D356" s="185"/>
      <c r="E356" s="186"/>
      <c r="F356" s="187"/>
    </row>
    <row r="357" spans="1:6" x14ac:dyDescent="0.2">
      <c r="A357" s="275"/>
      <c r="B357" s="78"/>
      <c r="C357" s="189"/>
      <c r="D357" s="185"/>
      <c r="E357" s="186"/>
      <c r="F357" s="187"/>
    </row>
    <row r="358" spans="1:6" x14ac:dyDescent="0.2">
      <c r="A358" s="275"/>
      <c r="B358" s="78"/>
      <c r="C358" s="189"/>
      <c r="D358" s="185"/>
      <c r="E358" s="186"/>
      <c r="F358" s="187"/>
    </row>
    <row r="359" spans="1:6" x14ac:dyDescent="0.2">
      <c r="A359" s="275"/>
      <c r="B359" s="78"/>
      <c r="C359" s="189"/>
      <c r="D359" s="185"/>
      <c r="E359" s="186"/>
      <c r="F359" s="187"/>
    </row>
    <row r="360" spans="1:6" x14ac:dyDescent="0.2">
      <c r="A360" s="275"/>
      <c r="B360" s="78"/>
      <c r="C360" s="189"/>
      <c r="D360" s="185"/>
      <c r="E360" s="186"/>
      <c r="F360" s="187"/>
    </row>
    <row r="361" spans="1:6" x14ac:dyDescent="0.2">
      <c r="A361" s="275"/>
      <c r="B361" s="78"/>
      <c r="C361" s="189"/>
      <c r="D361" s="185"/>
      <c r="E361" s="186"/>
      <c r="F361" s="187"/>
    </row>
    <row r="362" spans="1:6" x14ac:dyDescent="0.2">
      <c r="A362" s="275"/>
      <c r="B362" s="78"/>
      <c r="C362" s="189"/>
      <c r="D362" s="185"/>
      <c r="E362" s="186"/>
      <c r="F362" s="187"/>
    </row>
    <row r="363" spans="1:6" x14ac:dyDescent="0.2">
      <c r="A363" s="275"/>
      <c r="B363" s="78"/>
      <c r="C363" s="189"/>
      <c r="D363" s="185"/>
      <c r="E363" s="186"/>
      <c r="F363" s="187"/>
    </row>
    <row r="364" spans="1:6" x14ac:dyDescent="0.2">
      <c r="A364" s="275"/>
      <c r="B364" s="78"/>
      <c r="C364" s="189"/>
      <c r="D364" s="185"/>
      <c r="E364" s="186"/>
      <c r="F364" s="187"/>
    </row>
    <row r="365" spans="1:6" x14ac:dyDescent="0.2">
      <c r="A365" s="275"/>
      <c r="B365" s="78"/>
      <c r="C365" s="189"/>
      <c r="D365" s="185"/>
      <c r="E365" s="186"/>
      <c r="F365" s="187"/>
    </row>
    <row r="366" spans="1:6" x14ac:dyDescent="0.2">
      <c r="A366" s="275"/>
      <c r="B366" s="78"/>
      <c r="C366" s="189"/>
      <c r="D366" s="185"/>
      <c r="E366" s="186"/>
      <c r="F366" s="187"/>
    </row>
    <row r="367" spans="1:6" x14ac:dyDescent="0.2">
      <c r="A367" s="275"/>
      <c r="B367" s="78"/>
      <c r="C367" s="189"/>
      <c r="D367" s="185"/>
      <c r="E367" s="186"/>
      <c r="F367" s="187"/>
    </row>
    <row r="368" spans="1:6" x14ac:dyDescent="0.2">
      <c r="A368" s="275"/>
      <c r="B368" s="78"/>
      <c r="C368" s="189"/>
      <c r="D368" s="185"/>
      <c r="E368" s="186"/>
      <c r="F368" s="187"/>
    </row>
    <row r="369" spans="1:6" x14ac:dyDescent="0.2">
      <c r="A369" s="275"/>
      <c r="B369" s="78"/>
      <c r="C369" s="189"/>
      <c r="D369" s="185"/>
      <c r="E369" s="186"/>
      <c r="F369" s="187"/>
    </row>
    <row r="370" spans="1:6" x14ac:dyDescent="0.2">
      <c r="A370" s="275"/>
      <c r="B370" s="78"/>
      <c r="C370" s="189"/>
      <c r="D370" s="185"/>
      <c r="E370" s="186"/>
      <c r="F370" s="187"/>
    </row>
    <row r="371" spans="1:6" x14ac:dyDescent="0.2">
      <c r="A371" s="275"/>
      <c r="B371" s="78"/>
      <c r="C371" s="189"/>
      <c r="D371" s="185"/>
      <c r="E371" s="186"/>
      <c r="F371" s="187"/>
    </row>
    <row r="372" spans="1:6" x14ac:dyDescent="0.2">
      <c r="A372" s="275"/>
      <c r="B372" s="78"/>
      <c r="C372" s="189"/>
      <c r="D372" s="185"/>
      <c r="E372" s="186"/>
      <c r="F372" s="187"/>
    </row>
    <row r="373" spans="1:6" x14ac:dyDescent="0.2">
      <c r="A373" s="275"/>
      <c r="B373" s="78"/>
      <c r="C373" s="189"/>
      <c r="D373" s="185"/>
      <c r="E373" s="186"/>
      <c r="F373" s="187"/>
    </row>
    <row r="374" spans="1:6" x14ac:dyDescent="0.2">
      <c r="A374" s="275"/>
      <c r="B374" s="78"/>
      <c r="C374" s="189"/>
      <c r="D374" s="185"/>
      <c r="E374" s="186"/>
      <c r="F374" s="187"/>
    </row>
    <row r="375" spans="1:6" x14ac:dyDescent="0.2">
      <c r="A375" s="275"/>
      <c r="B375" s="78"/>
      <c r="C375" s="189"/>
      <c r="D375" s="185"/>
      <c r="E375" s="186"/>
      <c r="F375" s="187"/>
    </row>
    <row r="376" spans="1:6" x14ac:dyDescent="0.2">
      <c r="A376" s="275"/>
      <c r="B376" s="78"/>
      <c r="C376" s="189"/>
      <c r="D376" s="185"/>
      <c r="E376" s="186"/>
      <c r="F376" s="187"/>
    </row>
    <row r="377" spans="1:6" x14ac:dyDescent="0.2">
      <c r="A377" s="275"/>
      <c r="B377" s="78"/>
      <c r="C377" s="189"/>
      <c r="D377" s="185"/>
      <c r="E377" s="186"/>
      <c r="F377" s="187"/>
    </row>
    <row r="378" spans="1:6" x14ac:dyDescent="0.2">
      <c r="A378" s="275"/>
      <c r="B378" s="78"/>
      <c r="C378" s="189"/>
      <c r="D378" s="185"/>
      <c r="E378" s="186"/>
      <c r="F378" s="187"/>
    </row>
    <row r="379" spans="1:6" x14ac:dyDescent="0.2">
      <c r="A379" s="275"/>
      <c r="B379" s="78"/>
      <c r="C379" s="189"/>
      <c r="D379" s="185"/>
      <c r="E379" s="186"/>
      <c r="F379" s="187"/>
    </row>
    <row r="380" spans="1:6" x14ac:dyDescent="0.2">
      <c r="A380" s="275"/>
      <c r="B380" s="78"/>
      <c r="C380" s="189"/>
      <c r="D380" s="185"/>
      <c r="E380" s="186"/>
      <c r="F380" s="187"/>
    </row>
    <row r="381" spans="1:6" x14ac:dyDescent="0.2">
      <c r="A381" s="275"/>
      <c r="B381" s="78"/>
      <c r="C381" s="189"/>
      <c r="D381" s="185"/>
      <c r="E381" s="186"/>
      <c r="F381" s="187"/>
    </row>
    <row r="382" spans="1:6" x14ac:dyDescent="0.2">
      <c r="A382" s="275"/>
      <c r="B382" s="78"/>
      <c r="C382" s="189"/>
      <c r="D382" s="185"/>
      <c r="E382" s="186"/>
      <c r="F382" s="187"/>
    </row>
    <row r="383" spans="1:6" x14ac:dyDescent="0.2">
      <c r="A383" s="275"/>
      <c r="B383" s="78"/>
      <c r="C383" s="189"/>
      <c r="D383" s="185"/>
      <c r="E383" s="186"/>
      <c r="F383" s="187"/>
    </row>
    <row r="384" spans="1:6" x14ac:dyDescent="0.2">
      <c r="A384" s="275"/>
      <c r="B384" s="78"/>
      <c r="C384" s="189"/>
      <c r="D384" s="185"/>
      <c r="E384" s="186"/>
      <c r="F384" s="187"/>
    </row>
    <row r="385" spans="1:6" x14ac:dyDescent="0.2">
      <c r="A385" s="275"/>
      <c r="B385" s="78"/>
      <c r="C385" s="189"/>
      <c r="D385" s="185"/>
      <c r="E385" s="186"/>
      <c r="F385" s="187"/>
    </row>
    <row r="386" spans="1:6" x14ac:dyDescent="0.2">
      <c r="A386" s="275"/>
      <c r="B386" s="78"/>
      <c r="C386" s="189"/>
      <c r="D386" s="185"/>
      <c r="E386" s="186"/>
      <c r="F386" s="187"/>
    </row>
    <row r="387" spans="1:6" x14ac:dyDescent="0.2">
      <c r="A387" s="275"/>
      <c r="B387" s="78"/>
      <c r="C387" s="189"/>
      <c r="D387" s="185"/>
      <c r="E387" s="186"/>
      <c r="F387" s="187"/>
    </row>
    <row r="388" spans="1:6" x14ac:dyDescent="0.2">
      <c r="A388" s="275"/>
      <c r="B388" s="78"/>
      <c r="C388" s="189"/>
      <c r="D388" s="185"/>
      <c r="E388" s="186"/>
      <c r="F388" s="187"/>
    </row>
    <row r="389" spans="1:6" x14ac:dyDescent="0.2">
      <c r="A389" s="275"/>
      <c r="B389" s="78"/>
      <c r="C389" s="189"/>
      <c r="D389" s="185"/>
      <c r="E389" s="186"/>
      <c r="F389" s="187"/>
    </row>
    <row r="390" spans="1:6" x14ac:dyDescent="0.2">
      <c r="A390" s="275"/>
      <c r="B390" s="78"/>
      <c r="C390" s="189"/>
      <c r="D390" s="185"/>
      <c r="E390" s="186"/>
      <c r="F390" s="187"/>
    </row>
    <row r="391" spans="1:6" x14ac:dyDescent="0.2">
      <c r="A391" s="275"/>
      <c r="B391" s="78"/>
      <c r="C391" s="189"/>
      <c r="D391" s="185"/>
      <c r="E391" s="186"/>
      <c r="F391" s="187"/>
    </row>
    <row r="392" spans="1:6" x14ac:dyDescent="0.2">
      <c r="A392" s="275"/>
      <c r="B392" s="78"/>
      <c r="C392" s="189"/>
      <c r="D392" s="185"/>
      <c r="E392" s="186"/>
      <c r="F392" s="187"/>
    </row>
    <row r="393" spans="1:6" x14ac:dyDescent="0.2">
      <c r="A393" s="275"/>
      <c r="B393" s="78"/>
      <c r="C393" s="189"/>
      <c r="D393" s="185"/>
      <c r="E393" s="186"/>
      <c r="F393" s="187"/>
    </row>
    <row r="394" spans="1:6" x14ac:dyDescent="0.2">
      <c r="A394" s="275"/>
      <c r="B394" s="78"/>
      <c r="C394" s="189"/>
      <c r="D394" s="185"/>
      <c r="E394" s="186"/>
      <c r="F394" s="187"/>
    </row>
    <row r="395" spans="1:6" x14ac:dyDescent="0.2">
      <c r="A395" s="275"/>
      <c r="B395" s="78"/>
      <c r="C395" s="189"/>
      <c r="D395" s="185"/>
      <c r="E395" s="186"/>
      <c r="F395" s="187"/>
    </row>
    <row r="396" spans="1:6" x14ac:dyDescent="0.2">
      <c r="A396" s="275"/>
      <c r="B396" s="78"/>
      <c r="C396" s="189"/>
      <c r="D396" s="185"/>
      <c r="E396" s="186"/>
      <c r="F396" s="187"/>
    </row>
    <row r="397" spans="1:6" x14ac:dyDescent="0.2">
      <c r="A397" s="275"/>
      <c r="B397" s="78"/>
      <c r="C397" s="189"/>
      <c r="D397" s="185"/>
      <c r="E397" s="186"/>
      <c r="F397" s="187"/>
    </row>
    <row r="398" spans="1:6" x14ac:dyDescent="0.2">
      <c r="A398" s="275"/>
      <c r="B398" s="78"/>
      <c r="C398" s="189"/>
      <c r="D398" s="185"/>
      <c r="E398" s="186"/>
      <c r="F398" s="187"/>
    </row>
    <row r="399" spans="1:6" x14ac:dyDescent="0.2">
      <c r="A399" s="275"/>
      <c r="B399" s="78"/>
      <c r="C399" s="189"/>
      <c r="D399" s="185"/>
      <c r="E399" s="186"/>
      <c r="F399" s="187"/>
    </row>
    <row r="400" spans="1:6" x14ac:dyDescent="0.2">
      <c r="A400" s="275"/>
      <c r="B400" s="78"/>
      <c r="C400" s="189"/>
      <c r="D400" s="185"/>
      <c r="E400" s="186"/>
      <c r="F400" s="187"/>
    </row>
    <row r="401" spans="1:6" x14ac:dyDescent="0.2">
      <c r="A401" s="275"/>
      <c r="B401" s="78"/>
      <c r="C401" s="189"/>
      <c r="D401" s="185"/>
      <c r="E401" s="186"/>
      <c r="F401" s="187"/>
    </row>
    <row r="402" spans="1:6" x14ac:dyDescent="0.2">
      <c r="A402" s="275"/>
      <c r="B402" s="78"/>
      <c r="C402" s="189"/>
      <c r="D402" s="185"/>
      <c r="E402" s="186"/>
      <c r="F402" s="187"/>
    </row>
    <row r="403" spans="1:6" x14ac:dyDescent="0.2">
      <c r="A403" s="275"/>
      <c r="B403" s="78"/>
      <c r="C403" s="189"/>
      <c r="D403" s="185"/>
      <c r="E403" s="186"/>
      <c r="F403" s="187"/>
    </row>
    <row r="404" spans="1:6" x14ac:dyDescent="0.2">
      <c r="A404" s="275"/>
      <c r="B404" s="78"/>
      <c r="C404" s="189"/>
      <c r="D404" s="185"/>
      <c r="E404" s="186"/>
      <c r="F404" s="187"/>
    </row>
    <row r="405" spans="1:6" x14ac:dyDescent="0.2">
      <c r="A405" s="275"/>
      <c r="B405" s="78"/>
      <c r="C405" s="189"/>
      <c r="D405" s="185"/>
      <c r="E405" s="186"/>
      <c r="F405" s="187"/>
    </row>
    <row r="406" spans="1:6" x14ac:dyDescent="0.2">
      <c r="A406" s="275"/>
      <c r="B406" s="78"/>
      <c r="C406" s="189"/>
      <c r="D406" s="185"/>
      <c r="E406" s="186"/>
      <c r="F406" s="187"/>
    </row>
    <row r="407" spans="1:6" x14ac:dyDescent="0.2">
      <c r="A407" s="275"/>
      <c r="B407" s="78"/>
      <c r="C407" s="189"/>
      <c r="D407" s="185"/>
      <c r="E407" s="186"/>
      <c r="F407" s="187"/>
    </row>
    <row r="408" spans="1:6" x14ac:dyDescent="0.2">
      <c r="A408" s="275"/>
      <c r="B408" s="78"/>
      <c r="C408" s="189"/>
      <c r="D408" s="185"/>
      <c r="E408" s="186"/>
      <c r="F408" s="187"/>
    </row>
    <row r="409" spans="1:6" x14ac:dyDescent="0.2">
      <c r="A409" s="275"/>
      <c r="B409" s="78"/>
      <c r="C409" s="189"/>
      <c r="D409" s="185"/>
      <c r="E409" s="186"/>
      <c r="F409" s="187"/>
    </row>
    <row r="410" spans="1:6" x14ac:dyDescent="0.2">
      <c r="A410" s="275"/>
      <c r="B410" s="78"/>
      <c r="C410" s="189"/>
      <c r="D410" s="185"/>
      <c r="E410" s="186"/>
      <c r="F410" s="187"/>
    </row>
    <row r="411" spans="1:6" x14ac:dyDescent="0.2">
      <c r="A411" s="275"/>
      <c r="B411" s="78"/>
      <c r="C411" s="189"/>
      <c r="D411" s="185"/>
      <c r="E411" s="186"/>
      <c r="F411" s="187"/>
    </row>
    <row r="412" spans="1:6" x14ac:dyDescent="0.2">
      <c r="A412" s="275"/>
      <c r="B412" s="78"/>
      <c r="C412" s="189"/>
      <c r="D412" s="185"/>
      <c r="E412" s="186"/>
      <c r="F412" s="187"/>
    </row>
    <row r="413" spans="1:6" x14ac:dyDescent="0.2">
      <c r="A413" s="275"/>
      <c r="B413" s="78"/>
      <c r="C413" s="189"/>
      <c r="D413" s="185"/>
      <c r="E413" s="186"/>
      <c r="F413" s="187"/>
    </row>
    <row r="414" spans="1:6" x14ac:dyDescent="0.2">
      <c r="A414" s="275"/>
      <c r="B414" s="78"/>
      <c r="C414" s="189"/>
      <c r="D414" s="185"/>
      <c r="E414" s="186"/>
      <c r="F414" s="187"/>
    </row>
    <row r="415" spans="1:6" x14ac:dyDescent="0.2">
      <c r="A415" s="275"/>
      <c r="B415" s="78"/>
      <c r="C415" s="189"/>
      <c r="D415" s="185"/>
      <c r="E415" s="186"/>
      <c r="F415" s="187"/>
    </row>
    <row r="416" spans="1:6" x14ac:dyDescent="0.2">
      <c r="A416" s="275"/>
      <c r="B416" s="78"/>
      <c r="C416" s="189"/>
      <c r="D416" s="185"/>
      <c r="E416" s="186"/>
      <c r="F416" s="187"/>
    </row>
    <row r="417" spans="1:6" x14ac:dyDescent="0.2">
      <c r="A417" s="275"/>
      <c r="B417" s="78"/>
      <c r="C417" s="189"/>
      <c r="D417" s="185"/>
      <c r="E417" s="186"/>
      <c r="F417" s="187"/>
    </row>
    <row r="418" spans="1:6" x14ac:dyDescent="0.2">
      <c r="A418" s="275"/>
      <c r="B418" s="78"/>
      <c r="C418" s="189"/>
      <c r="D418" s="185"/>
      <c r="E418" s="186"/>
      <c r="F418" s="187"/>
    </row>
    <row r="419" spans="1:6" x14ac:dyDescent="0.2">
      <c r="A419" s="275"/>
      <c r="B419" s="78"/>
      <c r="C419" s="189"/>
      <c r="D419" s="185"/>
      <c r="E419" s="186"/>
      <c r="F419" s="187"/>
    </row>
    <row r="420" spans="1:6" x14ac:dyDescent="0.2">
      <c r="A420" s="275"/>
      <c r="B420" s="78"/>
      <c r="C420" s="189"/>
      <c r="D420" s="185"/>
      <c r="E420" s="186"/>
      <c r="F420" s="187"/>
    </row>
    <row r="421" spans="1:6" x14ac:dyDescent="0.2">
      <c r="A421" s="275"/>
      <c r="B421" s="78"/>
      <c r="C421" s="189"/>
      <c r="D421" s="185"/>
      <c r="E421" s="186"/>
      <c r="F421" s="187"/>
    </row>
    <row r="422" spans="1:6" x14ac:dyDescent="0.2">
      <c r="A422" s="275"/>
      <c r="B422" s="78"/>
      <c r="C422" s="189"/>
      <c r="D422" s="185"/>
      <c r="E422" s="186"/>
      <c r="F422" s="187"/>
    </row>
    <row r="423" spans="1:6" x14ac:dyDescent="0.2">
      <c r="A423" s="275"/>
      <c r="B423" s="78"/>
      <c r="C423" s="189"/>
      <c r="D423" s="185"/>
      <c r="E423" s="186"/>
      <c r="F423" s="187"/>
    </row>
    <row r="424" spans="1:6" x14ac:dyDescent="0.2">
      <c r="A424" s="275"/>
      <c r="B424" s="78"/>
      <c r="C424" s="189"/>
      <c r="D424" s="185"/>
      <c r="E424" s="186"/>
      <c r="F424" s="187"/>
    </row>
    <row r="425" spans="1:6" x14ac:dyDescent="0.2">
      <c r="A425" s="275"/>
      <c r="B425" s="78"/>
      <c r="C425" s="189"/>
      <c r="D425" s="185"/>
      <c r="E425" s="186"/>
      <c r="F425" s="187"/>
    </row>
    <row r="426" spans="1:6" x14ac:dyDescent="0.2">
      <c r="A426" s="275"/>
      <c r="B426" s="78"/>
      <c r="C426" s="189"/>
      <c r="D426" s="185"/>
      <c r="E426" s="186"/>
      <c r="F426" s="187"/>
    </row>
    <row r="427" spans="1:6" x14ac:dyDescent="0.2">
      <c r="A427" s="275"/>
      <c r="B427" s="78"/>
      <c r="C427" s="189"/>
      <c r="D427" s="185"/>
      <c r="E427" s="186"/>
      <c r="F427" s="187"/>
    </row>
    <row r="428" spans="1:6" x14ac:dyDescent="0.2">
      <c r="A428" s="275"/>
      <c r="B428" s="78"/>
      <c r="C428" s="189"/>
      <c r="D428" s="185"/>
      <c r="E428" s="186"/>
      <c r="F428" s="187"/>
    </row>
    <row r="429" spans="1:6" x14ac:dyDescent="0.2">
      <c r="A429" s="275"/>
      <c r="B429" s="78"/>
      <c r="C429" s="189"/>
      <c r="D429" s="185"/>
      <c r="E429" s="186"/>
      <c r="F429" s="187"/>
    </row>
    <row r="430" spans="1:6" x14ac:dyDescent="0.2">
      <c r="A430" s="275"/>
      <c r="B430" s="78"/>
      <c r="C430" s="189"/>
      <c r="D430" s="185"/>
      <c r="E430" s="186"/>
      <c r="F430" s="187"/>
    </row>
    <row r="431" spans="1:6" x14ac:dyDescent="0.2">
      <c r="A431" s="275"/>
      <c r="B431" s="78"/>
      <c r="C431" s="189"/>
      <c r="D431" s="185"/>
      <c r="E431" s="186"/>
      <c r="F431" s="187"/>
    </row>
    <row r="432" spans="1:6" x14ac:dyDescent="0.2">
      <c r="A432" s="275"/>
      <c r="B432" s="78"/>
      <c r="C432" s="189"/>
      <c r="D432" s="185"/>
      <c r="E432" s="186"/>
      <c r="F432" s="187"/>
    </row>
    <row r="433" spans="1:6" x14ac:dyDescent="0.2">
      <c r="A433" s="275"/>
      <c r="B433" s="78"/>
      <c r="C433" s="189"/>
      <c r="D433" s="185"/>
      <c r="E433" s="186"/>
      <c r="F433" s="187"/>
    </row>
    <row r="434" spans="1:6" x14ac:dyDescent="0.2">
      <c r="A434" s="275"/>
      <c r="B434" s="78"/>
      <c r="C434" s="189"/>
      <c r="D434" s="185"/>
      <c r="E434" s="186"/>
      <c r="F434" s="187"/>
    </row>
    <row r="435" spans="1:6" x14ac:dyDescent="0.2">
      <c r="A435" s="275"/>
      <c r="B435" s="78"/>
      <c r="C435" s="189"/>
      <c r="D435" s="185"/>
      <c r="E435" s="186"/>
      <c r="F435" s="187"/>
    </row>
    <row r="436" spans="1:6" x14ac:dyDescent="0.2">
      <c r="A436" s="275"/>
      <c r="B436" s="78"/>
      <c r="C436" s="189"/>
      <c r="D436" s="185"/>
      <c r="E436" s="186"/>
      <c r="F436" s="187"/>
    </row>
    <row r="437" spans="1:6" x14ac:dyDescent="0.2">
      <c r="A437" s="275"/>
      <c r="B437" s="78"/>
      <c r="C437" s="189"/>
      <c r="D437" s="185"/>
      <c r="E437" s="186"/>
      <c r="F437" s="187"/>
    </row>
    <row r="438" spans="1:6" x14ac:dyDescent="0.2">
      <c r="A438" s="275"/>
      <c r="B438" s="78"/>
      <c r="C438" s="189"/>
      <c r="D438" s="185"/>
      <c r="E438" s="186"/>
      <c r="F438" s="187"/>
    </row>
    <row r="439" spans="1:6" x14ac:dyDescent="0.2">
      <c r="A439" s="275"/>
      <c r="B439" s="78"/>
      <c r="C439" s="189"/>
      <c r="D439" s="185"/>
      <c r="E439" s="186"/>
      <c r="F439" s="187"/>
    </row>
    <row r="440" spans="1:6" x14ac:dyDescent="0.2">
      <c r="A440" s="275"/>
      <c r="B440" s="78"/>
      <c r="C440" s="189"/>
      <c r="D440" s="185"/>
      <c r="E440" s="186"/>
      <c r="F440" s="187"/>
    </row>
    <row r="441" spans="1:6" x14ac:dyDescent="0.2">
      <c r="A441" s="275"/>
      <c r="B441" s="78"/>
      <c r="C441" s="189"/>
      <c r="D441" s="185"/>
      <c r="E441" s="186"/>
      <c r="F441" s="187"/>
    </row>
    <row r="442" spans="1:6" x14ac:dyDescent="0.2">
      <c r="A442" s="275"/>
      <c r="B442" s="78"/>
      <c r="C442" s="189"/>
      <c r="D442" s="185"/>
      <c r="E442" s="186"/>
      <c r="F442" s="187"/>
    </row>
    <row r="443" spans="1:6" x14ac:dyDescent="0.2">
      <c r="A443" s="275"/>
      <c r="B443" s="78"/>
      <c r="C443" s="189"/>
      <c r="D443" s="185"/>
      <c r="E443" s="186"/>
      <c r="F443" s="187"/>
    </row>
    <row r="444" spans="1:6" x14ac:dyDescent="0.2">
      <c r="A444" s="275"/>
      <c r="B444" s="78"/>
      <c r="C444" s="189"/>
      <c r="D444" s="185"/>
      <c r="E444" s="186"/>
      <c r="F444" s="187"/>
    </row>
    <row r="445" spans="1:6" x14ac:dyDescent="0.2">
      <c r="A445" s="275"/>
      <c r="B445" s="78"/>
      <c r="C445" s="189"/>
      <c r="D445" s="185"/>
      <c r="E445" s="186"/>
      <c r="F445" s="187"/>
    </row>
    <row r="446" spans="1:6" x14ac:dyDescent="0.2">
      <c r="A446" s="275"/>
      <c r="B446" s="78"/>
      <c r="C446" s="189"/>
      <c r="D446" s="185"/>
      <c r="E446" s="186"/>
      <c r="F446" s="187"/>
    </row>
    <row r="447" spans="1:6" x14ac:dyDescent="0.2">
      <c r="A447" s="275"/>
      <c r="B447" s="78"/>
      <c r="C447" s="189"/>
      <c r="D447" s="185"/>
      <c r="E447" s="186"/>
      <c r="F447" s="187"/>
    </row>
    <row r="448" spans="1:6" x14ac:dyDescent="0.2">
      <c r="A448" s="275"/>
      <c r="B448" s="78"/>
      <c r="C448" s="189"/>
      <c r="D448" s="185"/>
      <c r="E448" s="186"/>
      <c r="F448" s="187"/>
    </row>
    <row r="449" spans="1:6" x14ac:dyDescent="0.2">
      <c r="A449" s="275"/>
      <c r="B449" s="78"/>
      <c r="C449" s="189"/>
      <c r="D449" s="185"/>
      <c r="E449" s="186"/>
      <c r="F449" s="187"/>
    </row>
    <row r="450" spans="1:6" x14ac:dyDescent="0.2">
      <c r="A450" s="275"/>
      <c r="B450" s="78"/>
      <c r="C450" s="189"/>
      <c r="D450" s="185"/>
      <c r="E450" s="186"/>
      <c r="F450" s="187"/>
    </row>
    <row r="451" spans="1:6" x14ac:dyDescent="0.2">
      <c r="A451" s="275"/>
      <c r="B451" s="78"/>
      <c r="C451" s="189"/>
      <c r="D451" s="185"/>
      <c r="E451" s="186"/>
      <c r="F451" s="187"/>
    </row>
    <row r="452" spans="1:6" x14ac:dyDescent="0.2">
      <c r="A452" s="275"/>
      <c r="B452" s="78"/>
      <c r="C452" s="189"/>
      <c r="D452" s="185"/>
      <c r="E452" s="186"/>
      <c r="F452" s="187"/>
    </row>
    <row r="453" spans="1:6" x14ac:dyDescent="0.2">
      <c r="A453" s="275"/>
      <c r="B453" s="78"/>
      <c r="C453" s="189"/>
      <c r="D453" s="185"/>
      <c r="E453" s="186"/>
      <c r="F453" s="187"/>
    </row>
    <row r="454" spans="1:6" x14ac:dyDescent="0.2">
      <c r="A454" s="275"/>
      <c r="B454" s="78"/>
      <c r="C454" s="189"/>
      <c r="D454" s="185"/>
      <c r="E454" s="186"/>
      <c r="F454" s="187"/>
    </row>
    <row r="455" spans="1:6" x14ac:dyDescent="0.2">
      <c r="A455" s="275"/>
      <c r="B455" s="78"/>
      <c r="C455" s="189"/>
      <c r="D455" s="185"/>
      <c r="E455" s="186"/>
      <c r="F455" s="187"/>
    </row>
    <row r="456" spans="1:6" x14ac:dyDescent="0.2">
      <c r="A456" s="275"/>
      <c r="B456" s="78"/>
      <c r="C456" s="189"/>
      <c r="D456" s="185"/>
      <c r="E456" s="186"/>
      <c r="F456" s="187"/>
    </row>
    <row r="457" spans="1:6" x14ac:dyDescent="0.2">
      <c r="A457" s="275"/>
      <c r="B457" s="78"/>
      <c r="C457" s="189"/>
      <c r="D457" s="185"/>
      <c r="E457" s="186"/>
      <c r="F457" s="187"/>
    </row>
    <row r="458" spans="1:6" x14ac:dyDescent="0.2">
      <c r="A458" s="275"/>
      <c r="B458" s="78"/>
      <c r="C458" s="189"/>
      <c r="D458" s="185"/>
      <c r="E458" s="186"/>
      <c r="F458" s="187"/>
    </row>
    <row r="459" spans="1:6" x14ac:dyDescent="0.2">
      <c r="A459" s="275"/>
      <c r="B459" s="78"/>
      <c r="C459" s="189"/>
      <c r="D459" s="185"/>
      <c r="E459" s="186"/>
      <c r="F459" s="187"/>
    </row>
    <row r="460" spans="1:6" x14ac:dyDescent="0.2">
      <c r="A460" s="275"/>
      <c r="B460" s="78"/>
      <c r="C460" s="189"/>
      <c r="D460" s="185"/>
      <c r="E460" s="186"/>
      <c r="F460" s="187"/>
    </row>
    <row r="461" spans="1:6" x14ac:dyDescent="0.2">
      <c r="A461" s="275"/>
      <c r="B461" s="78"/>
      <c r="C461" s="189"/>
      <c r="D461" s="185"/>
      <c r="E461" s="186"/>
      <c r="F461" s="187"/>
    </row>
    <row r="462" spans="1:6" x14ac:dyDescent="0.2">
      <c r="A462" s="275"/>
      <c r="B462" s="78"/>
      <c r="C462" s="189"/>
      <c r="D462" s="185"/>
      <c r="E462" s="186"/>
      <c r="F462" s="187"/>
    </row>
    <row r="463" spans="1:6" x14ac:dyDescent="0.2">
      <c r="A463" s="275"/>
      <c r="B463" s="78"/>
      <c r="C463" s="189"/>
      <c r="D463" s="185"/>
      <c r="E463" s="186"/>
      <c r="F463" s="187"/>
    </row>
    <row r="464" spans="1:6" x14ac:dyDescent="0.2">
      <c r="A464" s="275"/>
      <c r="B464" s="78"/>
      <c r="C464" s="189"/>
      <c r="D464" s="185"/>
      <c r="E464" s="186"/>
      <c r="F464" s="187"/>
    </row>
    <row r="465" spans="1:6" x14ac:dyDescent="0.2">
      <c r="A465" s="275"/>
      <c r="B465" s="78"/>
      <c r="C465" s="189"/>
      <c r="D465" s="185"/>
      <c r="E465" s="186"/>
      <c r="F465" s="187"/>
    </row>
    <row r="466" spans="1:6" x14ac:dyDescent="0.2">
      <c r="A466" s="275"/>
      <c r="B466" s="78"/>
      <c r="C466" s="189"/>
      <c r="D466" s="185"/>
      <c r="E466" s="186"/>
      <c r="F466" s="187"/>
    </row>
    <row r="467" spans="1:6" x14ac:dyDescent="0.2">
      <c r="A467" s="275"/>
      <c r="B467" s="78"/>
      <c r="C467" s="189"/>
      <c r="D467" s="185"/>
      <c r="E467" s="186"/>
      <c r="F467" s="187"/>
    </row>
    <row r="468" spans="1:6" x14ac:dyDescent="0.2">
      <c r="A468" s="275"/>
      <c r="B468" s="78"/>
      <c r="C468" s="189"/>
      <c r="D468" s="185"/>
      <c r="E468" s="186"/>
      <c r="F468" s="187"/>
    </row>
    <row r="469" spans="1:6" x14ac:dyDescent="0.2">
      <c r="A469" s="275"/>
      <c r="B469" s="78"/>
      <c r="C469" s="189"/>
      <c r="D469" s="185"/>
      <c r="E469" s="186"/>
      <c r="F469" s="187"/>
    </row>
    <row r="470" spans="1:6" x14ac:dyDescent="0.2">
      <c r="A470" s="275"/>
      <c r="B470" s="78"/>
      <c r="C470" s="189"/>
      <c r="D470" s="185"/>
      <c r="E470" s="186"/>
      <c r="F470" s="187"/>
    </row>
    <row r="471" spans="1:6" x14ac:dyDescent="0.2">
      <c r="A471" s="275"/>
      <c r="B471" s="78"/>
      <c r="C471" s="189"/>
      <c r="D471" s="185"/>
      <c r="E471" s="186"/>
      <c r="F471" s="187"/>
    </row>
    <row r="472" spans="1:6" x14ac:dyDescent="0.2">
      <c r="A472" s="275"/>
      <c r="B472" s="78"/>
      <c r="C472" s="189"/>
      <c r="D472" s="185"/>
      <c r="E472" s="186"/>
      <c r="F472" s="187"/>
    </row>
    <row r="473" spans="1:6" x14ac:dyDescent="0.2">
      <c r="A473" s="275"/>
      <c r="B473" s="78"/>
      <c r="C473" s="189"/>
      <c r="D473" s="185"/>
      <c r="E473" s="186"/>
      <c r="F473" s="187"/>
    </row>
    <row r="474" spans="1:6" x14ac:dyDescent="0.2">
      <c r="A474" s="275"/>
      <c r="B474" s="78"/>
      <c r="C474" s="189"/>
      <c r="D474" s="185"/>
      <c r="E474" s="186"/>
      <c r="F474" s="187"/>
    </row>
    <row r="475" spans="1:6" x14ac:dyDescent="0.2">
      <c r="A475" s="275"/>
      <c r="B475" s="78"/>
      <c r="C475" s="189"/>
      <c r="D475" s="185"/>
      <c r="E475" s="186"/>
      <c r="F475" s="187"/>
    </row>
    <row r="476" spans="1:6" x14ac:dyDescent="0.2">
      <c r="A476" s="275"/>
      <c r="B476" s="78"/>
      <c r="C476" s="189"/>
      <c r="D476" s="185"/>
      <c r="E476" s="186"/>
      <c r="F476" s="187"/>
    </row>
    <row r="477" spans="1:6" x14ac:dyDescent="0.2">
      <c r="A477" s="275"/>
      <c r="B477" s="78"/>
      <c r="C477" s="189"/>
      <c r="D477" s="185"/>
      <c r="E477" s="186"/>
      <c r="F477" s="187"/>
    </row>
    <row r="478" spans="1:6" x14ac:dyDescent="0.2">
      <c r="A478" s="275"/>
      <c r="B478" s="78"/>
      <c r="C478" s="189"/>
      <c r="D478" s="185"/>
      <c r="E478" s="186"/>
      <c r="F478" s="187"/>
    </row>
    <row r="479" spans="1:6" x14ac:dyDescent="0.2">
      <c r="A479" s="275"/>
      <c r="B479" s="78"/>
      <c r="C479" s="189"/>
      <c r="D479" s="185"/>
      <c r="E479" s="186"/>
      <c r="F479" s="187"/>
    </row>
    <row r="480" spans="1:6" x14ac:dyDescent="0.2">
      <c r="A480" s="275"/>
      <c r="B480" s="78"/>
      <c r="C480" s="189"/>
      <c r="D480" s="185"/>
      <c r="E480" s="186"/>
      <c r="F480" s="187"/>
    </row>
    <row r="481" spans="1:6" x14ac:dyDescent="0.2">
      <c r="A481" s="275"/>
      <c r="B481" s="78"/>
      <c r="C481" s="189"/>
      <c r="D481" s="185"/>
      <c r="E481" s="186"/>
      <c r="F481" s="187"/>
    </row>
    <row r="482" spans="1:6" x14ac:dyDescent="0.2">
      <c r="A482" s="275"/>
      <c r="B482" s="78"/>
      <c r="C482" s="189"/>
      <c r="D482" s="185"/>
      <c r="E482" s="186"/>
      <c r="F482" s="187"/>
    </row>
    <row r="483" spans="1:6" x14ac:dyDescent="0.2">
      <c r="A483" s="275"/>
      <c r="B483" s="78"/>
      <c r="C483" s="189"/>
      <c r="D483" s="185"/>
      <c r="E483" s="186"/>
      <c r="F483" s="187"/>
    </row>
    <row r="484" spans="1:6" x14ac:dyDescent="0.2">
      <c r="A484" s="275"/>
      <c r="B484" s="78"/>
      <c r="C484" s="189"/>
      <c r="D484" s="185"/>
      <c r="E484" s="186"/>
      <c r="F484" s="187"/>
    </row>
    <row r="485" spans="1:6" x14ac:dyDescent="0.2">
      <c r="A485" s="275"/>
      <c r="B485" s="78"/>
      <c r="C485" s="189"/>
      <c r="D485" s="185"/>
      <c r="E485" s="186"/>
      <c r="F485" s="187"/>
    </row>
    <row r="486" spans="1:6" x14ac:dyDescent="0.2">
      <c r="A486" s="275"/>
      <c r="B486" s="78"/>
      <c r="C486" s="189"/>
      <c r="D486" s="185"/>
      <c r="E486" s="186"/>
      <c r="F486" s="187"/>
    </row>
    <row r="487" spans="1:6" x14ac:dyDescent="0.2">
      <c r="A487" s="275"/>
      <c r="B487" s="78"/>
      <c r="C487" s="189"/>
      <c r="D487" s="185"/>
      <c r="E487" s="186"/>
      <c r="F487" s="187"/>
    </row>
    <row r="488" spans="1:6" x14ac:dyDescent="0.2">
      <c r="A488" s="275"/>
      <c r="B488" s="78"/>
      <c r="C488" s="189"/>
      <c r="D488" s="185"/>
      <c r="E488" s="186"/>
      <c r="F488" s="187"/>
    </row>
    <row r="489" spans="1:6" x14ac:dyDescent="0.2">
      <c r="A489" s="275"/>
      <c r="B489" s="78"/>
      <c r="C489" s="189"/>
      <c r="D489" s="185"/>
      <c r="E489" s="186"/>
      <c r="F489" s="187"/>
    </row>
    <row r="490" spans="1:6" x14ac:dyDescent="0.2">
      <c r="A490" s="275"/>
      <c r="B490" s="78"/>
      <c r="C490" s="189"/>
      <c r="D490" s="185"/>
      <c r="E490" s="186"/>
      <c r="F490" s="187"/>
    </row>
    <row r="491" spans="1:6" x14ac:dyDescent="0.2">
      <c r="A491" s="275"/>
      <c r="B491" s="78"/>
      <c r="C491" s="189"/>
      <c r="D491" s="185"/>
      <c r="E491" s="186"/>
      <c r="F491" s="187"/>
    </row>
    <row r="492" spans="1:6" x14ac:dyDescent="0.2">
      <c r="A492" s="275"/>
      <c r="B492" s="78"/>
      <c r="C492" s="189"/>
      <c r="D492" s="185"/>
      <c r="E492" s="186"/>
      <c r="F492" s="187"/>
    </row>
    <row r="493" spans="1:6" x14ac:dyDescent="0.2">
      <c r="A493" s="275"/>
      <c r="B493" s="78"/>
      <c r="C493" s="189"/>
      <c r="D493" s="185"/>
      <c r="E493" s="186"/>
      <c r="F493" s="187"/>
    </row>
    <row r="494" spans="1:6" x14ac:dyDescent="0.2">
      <c r="A494" s="275"/>
      <c r="B494" s="78"/>
      <c r="C494" s="189"/>
      <c r="D494" s="185"/>
      <c r="E494" s="186"/>
      <c r="F494" s="187"/>
    </row>
    <row r="495" spans="1:6" x14ac:dyDescent="0.2">
      <c r="A495" s="275"/>
      <c r="B495" s="78"/>
      <c r="C495" s="189"/>
      <c r="D495" s="185"/>
      <c r="E495" s="186"/>
      <c r="F495" s="187"/>
    </row>
    <row r="496" spans="1:6" x14ac:dyDescent="0.2">
      <c r="A496" s="275"/>
      <c r="B496" s="78"/>
      <c r="C496" s="189"/>
      <c r="D496" s="185"/>
      <c r="E496" s="186"/>
      <c r="F496" s="187"/>
    </row>
    <row r="497" spans="1:6" x14ac:dyDescent="0.2">
      <c r="A497" s="275"/>
      <c r="B497" s="78"/>
      <c r="C497" s="189"/>
      <c r="D497" s="185"/>
      <c r="E497" s="186"/>
      <c r="F497" s="187"/>
    </row>
    <row r="498" spans="1:6" x14ac:dyDescent="0.2">
      <c r="A498" s="275"/>
      <c r="B498" s="78"/>
      <c r="C498" s="189"/>
      <c r="D498" s="185"/>
      <c r="E498" s="186"/>
      <c r="F498" s="187"/>
    </row>
    <row r="499" spans="1:6" x14ac:dyDescent="0.2">
      <c r="A499" s="275"/>
      <c r="B499" s="78"/>
      <c r="C499" s="189"/>
      <c r="D499" s="185"/>
      <c r="E499" s="186"/>
      <c r="F499" s="187"/>
    </row>
    <row r="500" spans="1:6" x14ac:dyDescent="0.2">
      <c r="A500" s="275"/>
      <c r="B500" s="78"/>
      <c r="C500" s="189"/>
      <c r="D500" s="185"/>
      <c r="E500" s="186"/>
      <c r="F500" s="187"/>
    </row>
    <row r="501" spans="1:6" x14ac:dyDescent="0.2">
      <c r="A501" s="275"/>
      <c r="B501" s="78"/>
      <c r="C501" s="189"/>
      <c r="D501" s="185"/>
      <c r="E501" s="186"/>
      <c r="F501" s="187"/>
    </row>
    <row r="502" spans="1:6" x14ac:dyDescent="0.2">
      <c r="A502" s="275"/>
      <c r="B502" s="78"/>
      <c r="C502" s="189"/>
      <c r="D502" s="185"/>
      <c r="E502" s="186"/>
      <c r="F502" s="187"/>
    </row>
    <row r="503" spans="1:6" x14ac:dyDescent="0.2">
      <c r="A503" s="275"/>
      <c r="B503" s="78"/>
      <c r="C503" s="189"/>
      <c r="D503" s="185"/>
      <c r="E503" s="186"/>
      <c r="F503" s="187"/>
    </row>
    <row r="504" spans="1:6" x14ac:dyDescent="0.2">
      <c r="A504" s="275"/>
      <c r="B504" s="78"/>
      <c r="C504" s="189"/>
      <c r="D504" s="185"/>
      <c r="E504" s="186"/>
      <c r="F504" s="187"/>
    </row>
    <row r="505" spans="1:6" x14ac:dyDescent="0.2">
      <c r="A505" s="275"/>
      <c r="B505" s="78"/>
      <c r="C505" s="189"/>
      <c r="D505" s="185"/>
      <c r="E505" s="186"/>
      <c r="F505" s="187"/>
    </row>
    <row r="506" spans="1:6" x14ac:dyDescent="0.2">
      <c r="A506" s="275"/>
      <c r="B506" s="78"/>
      <c r="C506" s="189"/>
      <c r="D506" s="185"/>
      <c r="E506" s="186"/>
      <c r="F506" s="187"/>
    </row>
    <row r="507" spans="1:6" x14ac:dyDescent="0.2">
      <c r="A507" s="275"/>
      <c r="B507" s="78"/>
      <c r="C507" s="189"/>
      <c r="D507" s="185"/>
      <c r="E507" s="186"/>
      <c r="F507" s="187"/>
    </row>
    <row r="508" spans="1:6" x14ac:dyDescent="0.2">
      <c r="A508" s="275"/>
      <c r="B508" s="78"/>
      <c r="C508" s="189"/>
      <c r="D508" s="185"/>
      <c r="E508" s="186"/>
      <c r="F508" s="187"/>
    </row>
    <row r="509" spans="1:6" x14ac:dyDescent="0.2">
      <c r="A509" s="275"/>
      <c r="B509" s="78"/>
      <c r="C509" s="189"/>
      <c r="D509" s="185"/>
      <c r="E509" s="186"/>
      <c r="F509" s="187"/>
    </row>
    <row r="510" spans="1:6" x14ac:dyDescent="0.2">
      <c r="A510" s="275"/>
      <c r="B510" s="78"/>
      <c r="C510" s="189"/>
      <c r="D510" s="185"/>
      <c r="E510" s="186"/>
      <c r="F510" s="187"/>
    </row>
    <row r="511" spans="1:6" x14ac:dyDescent="0.2">
      <c r="A511" s="275"/>
      <c r="B511" s="78"/>
      <c r="C511" s="189"/>
      <c r="D511" s="185"/>
      <c r="E511" s="186"/>
      <c r="F511" s="187"/>
    </row>
    <row r="512" spans="1:6" x14ac:dyDescent="0.2">
      <c r="A512" s="275"/>
      <c r="B512" s="78"/>
      <c r="C512" s="189"/>
      <c r="D512" s="185"/>
      <c r="E512" s="186"/>
      <c r="F512" s="187"/>
    </row>
    <row r="513" spans="1:6" x14ac:dyDescent="0.2">
      <c r="A513" s="275"/>
      <c r="B513" s="78"/>
      <c r="C513" s="189"/>
      <c r="D513" s="185"/>
      <c r="E513" s="186"/>
      <c r="F513" s="187"/>
    </row>
    <row r="514" spans="1:6" x14ac:dyDescent="0.2">
      <c r="A514" s="275"/>
      <c r="B514" s="78"/>
      <c r="C514" s="189"/>
      <c r="D514" s="185"/>
      <c r="E514" s="186"/>
      <c r="F514" s="187"/>
    </row>
    <row r="515" spans="1:6" x14ac:dyDescent="0.2">
      <c r="A515" s="275"/>
      <c r="B515" s="78"/>
      <c r="C515" s="189"/>
      <c r="D515" s="185"/>
      <c r="E515" s="186"/>
      <c r="F515" s="187"/>
    </row>
    <row r="516" spans="1:6" x14ac:dyDescent="0.2">
      <c r="A516" s="275"/>
      <c r="B516" s="78"/>
      <c r="C516" s="189"/>
      <c r="D516" s="185"/>
      <c r="E516" s="186"/>
      <c r="F516" s="187"/>
    </row>
    <row r="517" spans="1:6" x14ac:dyDescent="0.2">
      <c r="A517" s="275"/>
      <c r="B517" s="78"/>
      <c r="C517" s="189"/>
      <c r="D517" s="185"/>
      <c r="E517" s="186"/>
      <c r="F517" s="187"/>
    </row>
    <row r="518" spans="1:6" x14ac:dyDescent="0.2">
      <c r="A518" s="275"/>
      <c r="B518" s="78"/>
      <c r="C518" s="189"/>
      <c r="D518" s="185"/>
      <c r="E518" s="186"/>
      <c r="F518" s="187"/>
    </row>
    <row r="519" spans="1:6" x14ac:dyDescent="0.2">
      <c r="A519" s="275"/>
      <c r="B519" s="78"/>
      <c r="C519" s="189"/>
      <c r="D519" s="185"/>
      <c r="E519" s="186"/>
      <c r="F519" s="187"/>
    </row>
    <row r="520" spans="1:6" x14ac:dyDescent="0.2">
      <c r="A520" s="275"/>
      <c r="B520" s="78"/>
      <c r="C520" s="189"/>
      <c r="D520" s="185"/>
      <c r="E520" s="186"/>
      <c r="F520" s="187"/>
    </row>
    <row r="521" spans="1:6" x14ac:dyDescent="0.2">
      <c r="A521" s="275"/>
      <c r="B521" s="78"/>
      <c r="C521" s="189"/>
      <c r="D521" s="185"/>
      <c r="E521" s="186"/>
      <c r="F521" s="187"/>
    </row>
    <row r="522" spans="1:6" x14ac:dyDescent="0.2">
      <c r="A522" s="275"/>
      <c r="B522" s="78"/>
      <c r="C522" s="189"/>
      <c r="D522" s="185"/>
      <c r="E522" s="186"/>
      <c r="F522" s="187"/>
    </row>
    <row r="523" spans="1:6" x14ac:dyDescent="0.2">
      <c r="A523" s="275"/>
      <c r="B523" s="78"/>
      <c r="C523" s="189"/>
      <c r="D523" s="185"/>
      <c r="E523" s="186"/>
      <c r="F523" s="187"/>
    </row>
    <row r="524" spans="1:6" x14ac:dyDescent="0.2">
      <c r="A524" s="275"/>
      <c r="B524" s="78"/>
      <c r="C524" s="189"/>
      <c r="D524" s="185"/>
      <c r="E524" s="186"/>
      <c r="F524" s="187"/>
    </row>
    <row r="525" spans="1:6" x14ac:dyDescent="0.2">
      <c r="A525" s="275"/>
      <c r="B525" s="78"/>
      <c r="C525" s="189"/>
      <c r="D525" s="185"/>
      <c r="E525" s="186"/>
      <c r="F525" s="187"/>
    </row>
    <row r="526" spans="1:6" x14ac:dyDescent="0.2">
      <c r="A526" s="275"/>
      <c r="B526" s="78"/>
      <c r="C526" s="189"/>
      <c r="D526" s="185"/>
      <c r="E526" s="186"/>
      <c r="F526" s="187"/>
    </row>
    <row r="527" spans="1:6" x14ac:dyDescent="0.2">
      <c r="A527" s="275"/>
      <c r="B527" s="78"/>
      <c r="C527" s="189"/>
      <c r="D527" s="185"/>
      <c r="E527" s="186"/>
      <c r="F527" s="187"/>
    </row>
    <row r="528" spans="1:6" x14ac:dyDescent="0.2">
      <c r="A528" s="275"/>
      <c r="B528" s="78"/>
      <c r="C528" s="189"/>
      <c r="D528" s="185"/>
      <c r="E528" s="186"/>
      <c r="F528" s="187"/>
    </row>
    <row r="529" spans="1:6" x14ac:dyDescent="0.2">
      <c r="A529" s="275"/>
      <c r="B529" s="78"/>
      <c r="C529" s="189"/>
      <c r="D529" s="185"/>
      <c r="E529" s="186"/>
      <c r="F529" s="187"/>
    </row>
    <row r="530" spans="1:6" x14ac:dyDescent="0.2">
      <c r="A530" s="275"/>
      <c r="B530" s="78"/>
      <c r="C530" s="189"/>
      <c r="D530" s="185"/>
      <c r="E530" s="186"/>
      <c r="F530" s="187"/>
    </row>
    <row r="531" spans="1:6" x14ac:dyDescent="0.2">
      <c r="A531" s="275"/>
      <c r="B531" s="78"/>
      <c r="C531" s="189"/>
      <c r="D531" s="185"/>
      <c r="E531" s="186"/>
      <c r="F531" s="187"/>
    </row>
    <row r="532" spans="1:6" x14ac:dyDescent="0.2">
      <c r="A532" s="275"/>
      <c r="B532" s="78"/>
      <c r="C532" s="189"/>
      <c r="D532" s="185"/>
      <c r="E532" s="186"/>
      <c r="F532" s="187"/>
    </row>
    <row r="533" spans="1:6" x14ac:dyDescent="0.2">
      <c r="A533" s="275"/>
      <c r="B533" s="78"/>
      <c r="C533" s="189"/>
      <c r="D533" s="185"/>
      <c r="E533" s="186"/>
      <c r="F533" s="187"/>
    </row>
    <row r="534" spans="1:6" x14ac:dyDescent="0.2">
      <c r="A534" s="275"/>
      <c r="B534" s="78"/>
      <c r="C534" s="189"/>
      <c r="D534" s="185"/>
      <c r="E534" s="186"/>
      <c r="F534" s="187"/>
    </row>
    <row r="535" spans="1:6" x14ac:dyDescent="0.2">
      <c r="A535" s="275"/>
      <c r="B535" s="78"/>
      <c r="C535" s="189"/>
      <c r="D535" s="185"/>
      <c r="E535" s="186"/>
      <c r="F535" s="187"/>
    </row>
    <row r="536" spans="1:6" x14ac:dyDescent="0.2">
      <c r="A536" s="275"/>
      <c r="B536" s="78"/>
      <c r="C536" s="189"/>
      <c r="D536" s="185"/>
      <c r="E536" s="186"/>
      <c r="F536" s="187"/>
    </row>
    <row r="537" spans="1:6" x14ac:dyDescent="0.2">
      <c r="A537" s="275"/>
      <c r="B537" s="78"/>
      <c r="C537" s="189"/>
      <c r="D537" s="185"/>
      <c r="E537" s="186"/>
      <c r="F537" s="187"/>
    </row>
    <row r="538" spans="1:6" x14ac:dyDescent="0.2">
      <c r="A538" s="275"/>
      <c r="B538" s="78"/>
      <c r="C538" s="189"/>
      <c r="D538" s="185"/>
      <c r="E538" s="186"/>
      <c r="F538" s="187"/>
    </row>
    <row r="539" spans="1:6" x14ac:dyDescent="0.2">
      <c r="A539" s="275"/>
      <c r="B539" s="78"/>
      <c r="C539" s="189"/>
      <c r="D539" s="185"/>
      <c r="E539" s="186"/>
      <c r="F539" s="187"/>
    </row>
    <row r="540" spans="1:6" x14ac:dyDescent="0.2">
      <c r="A540" s="275"/>
      <c r="B540" s="78"/>
      <c r="C540" s="189"/>
      <c r="D540" s="185"/>
      <c r="E540" s="186"/>
      <c r="F540" s="187"/>
    </row>
    <row r="541" spans="1:6" x14ac:dyDescent="0.2">
      <c r="A541" s="275"/>
      <c r="B541" s="78"/>
      <c r="C541" s="189"/>
      <c r="D541" s="185"/>
      <c r="E541" s="186"/>
      <c r="F541" s="187"/>
    </row>
    <row r="542" spans="1:6" x14ac:dyDescent="0.2">
      <c r="A542" s="275"/>
      <c r="B542" s="78"/>
      <c r="C542" s="189"/>
      <c r="D542" s="185"/>
      <c r="E542" s="186"/>
      <c r="F542" s="187"/>
    </row>
    <row r="543" spans="1:6" x14ac:dyDescent="0.2">
      <c r="A543" s="275"/>
      <c r="B543" s="78"/>
      <c r="C543" s="189"/>
      <c r="D543" s="185"/>
      <c r="E543" s="186"/>
      <c r="F543" s="187"/>
    </row>
    <row r="544" spans="1:6" x14ac:dyDescent="0.2">
      <c r="A544" s="275"/>
      <c r="B544" s="78"/>
      <c r="C544" s="189"/>
      <c r="D544" s="185"/>
      <c r="E544" s="186"/>
      <c r="F544" s="187"/>
    </row>
    <row r="545" spans="1:6" x14ac:dyDescent="0.2">
      <c r="A545" s="275"/>
      <c r="B545" s="78"/>
      <c r="C545" s="189"/>
      <c r="D545" s="185"/>
      <c r="E545" s="186"/>
      <c r="F545" s="187"/>
    </row>
    <row r="546" spans="1:6" x14ac:dyDescent="0.2">
      <c r="A546" s="275"/>
      <c r="B546" s="78"/>
      <c r="C546" s="189"/>
      <c r="D546" s="185"/>
      <c r="E546" s="186"/>
      <c r="F546" s="187"/>
    </row>
    <row r="547" spans="1:6" x14ac:dyDescent="0.2">
      <c r="A547" s="275"/>
      <c r="B547" s="78"/>
      <c r="C547" s="189"/>
      <c r="D547" s="185"/>
      <c r="E547" s="186"/>
      <c r="F547" s="187"/>
    </row>
    <row r="548" spans="1:6" x14ac:dyDescent="0.2">
      <c r="A548" s="275"/>
      <c r="B548" s="78"/>
      <c r="C548" s="189"/>
      <c r="D548" s="185"/>
      <c r="E548" s="186"/>
      <c r="F548" s="187"/>
    </row>
    <row r="549" spans="1:6" x14ac:dyDescent="0.2">
      <c r="A549" s="275"/>
      <c r="B549" s="78"/>
      <c r="C549" s="189"/>
      <c r="D549" s="185"/>
      <c r="E549" s="186"/>
      <c r="F549" s="187"/>
    </row>
    <row r="550" spans="1:6" x14ac:dyDescent="0.2">
      <c r="A550" s="275"/>
      <c r="B550" s="78"/>
      <c r="C550" s="189"/>
      <c r="D550" s="185"/>
      <c r="E550" s="186"/>
      <c r="F550" s="187"/>
    </row>
    <row r="551" spans="1:6" x14ac:dyDescent="0.2">
      <c r="A551" s="275"/>
      <c r="B551" s="78"/>
      <c r="C551" s="189"/>
      <c r="D551" s="185"/>
      <c r="E551" s="186"/>
      <c r="F551" s="187"/>
    </row>
    <row r="552" spans="1:6" x14ac:dyDescent="0.2">
      <c r="A552" s="275"/>
      <c r="B552" s="78"/>
      <c r="C552" s="189"/>
      <c r="D552" s="185"/>
      <c r="E552" s="186"/>
      <c r="F552" s="187"/>
    </row>
    <row r="553" spans="1:6" x14ac:dyDescent="0.2">
      <c r="A553" s="275"/>
      <c r="B553" s="78"/>
      <c r="C553" s="189"/>
      <c r="D553" s="185"/>
      <c r="E553" s="186"/>
      <c r="F553" s="187"/>
    </row>
    <row r="554" spans="1:6" x14ac:dyDescent="0.2">
      <c r="A554" s="275"/>
      <c r="B554" s="78"/>
      <c r="C554" s="189"/>
      <c r="D554" s="185"/>
      <c r="E554" s="186"/>
      <c r="F554" s="187"/>
    </row>
    <row r="555" spans="1:6" x14ac:dyDescent="0.2">
      <c r="A555" s="275"/>
      <c r="B555" s="78"/>
      <c r="C555" s="189"/>
      <c r="D555" s="185"/>
      <c r="E555" s="186"/>
      <c r="F555" s="187"/>
    </row>
    <row r="556" spans="1:6" x14ac:dyDescent="0.2">
      <c r="A556" s="275"/>
      <c r="B556" s="78"/>
      <c r="C556" s="189"/>
      <c r="D556" s="185"/>
      <c r="E556" s="186"/>
      <c r="F556" s="187"/>
    </row>
    <row r="557" spans="1:6" x14ac:dyDescent="0.2">
      <c r="A557" s="275"/>
      <c r="B557" s="78"/>
      <c r="C557" s="189"/>
      <c r="D557" s="185"/>
      <c r="E557" s="186"/>
      <c r="F557" s="187"/>
    </row>
    <row r="558" spans="1:6" x14ac:dyDescent="0.2">
      <c r="A558" s="275"/>
      <c r="B558" s="78"/>
      <c r="C558" s="189"/>
      <c r="D558" s="185"/>
      <c r="E558" s="186"/>
      <c r="F558" s="187"/>
    </row>
    <row r="559" spans="1:6" x14ac:dyDescent="0.2">
      <c r="A559" s="275"/>
      <c r="B559" s="78"/>
      <c r="C559" s="189"/>
      <c r="D559" s="185"/>
      <c r="E559" s="186"/>
      <c r="F559" s="187"/>
    </row>
    <row r="560" spans="1:6" x14ac:dyDescent="0.2">
      <c r="A560" s="275"/>
      <c r="B560" s="78"/>
      <c r="C560" s="189"/>
      <c r="D560" s="185"/>
      <c r="E560" s="186"/>
      <c r="F560" s="187"/>
    </row>
    <row r="561" spans="1:6" x14ac:dyDescent="0.2">
      <c r="A561" s="275"/>
      <c r="B561" s="78"/>
      <c r="C561" s="189"/>
      <c r="D561" s="185"/>
      <c r="E561" s="186"/>
      <c r="F561" s="187"/>
    </row>
    <row r="562" spans="1:6" x14ac:dyDescent="0.2">
      <c r="A562" s="275"/>
      <c r="B562" s="78"/>
      <c r="C562" s="189"/>
      <c r="D562" s="185"/>
      <c r="E562" s="186"/>
      <c r="F562" s="187"/>
    </row>
    <row r="563" spans="1:6" x14ac:dyDescent="0.2">
      <c r="A563" s="275"/>
      <c r="B563" s="78"/>
      <c r="C563" s="189"/>
      <c r="D563" s="185"/>
      <c r="E563" s="186"/>
      <c r="F563" s="187"/>
    </row>
    <row r="564" spans="1:6" x14ac:dyDescent="0.2">
      <c r="A564" s="275"/>
      <c r="B564" s="78"/>
      <c r="C564" s="189"/>
      <c r="D564" s="185"/>
      <c r="E564" s="186"/>
      <c r="F564" s="187"/>
    </row>
    <row r="565" spans="1:6" x14ac:dyDescent="0.2">
      <c r="A565" s="275"/>
      <c r="B565" s="78"/>
      <c r="C565" s="189"/>
      <c r="D565" s="185"/>
      <c r="E565" s="186"/>
      <c r="F565" s="187"/>
    </row>
    <row r="566" spans="1:6" x14ac:dyDescent="0.2">
      <c r="A566" s="275"/>
      <c r="B566" s="78"/>
      <c r="C566" s="189"/>
      <c r="D566" s="185"/>
      <c r="E566" s="186"/>
      <c r="F566" s="187"/>
    </row>
    <row r="567" spans="1:6" x14ac:dyDescent="0.2">
      <c r="A567" s="275"/>
      <c r="B567" s="78"/>
      <c r="C567" s="189"/>
      <c r="D567" s="185"/>
      <c r="E567" s="186"/>
      <c r="F567" s="187"/>
    </row>
    <row r="568" spans="1:6" x14ac:dyDescent="0.2">
      <c r="A568" s="275"/>
      <c r="B568" s="78"/>
      <c r="C568" s="189"/>
      <c r="D568" s="185"/>
      <c r="E568" s="186"/>
      <c r="F568" s="187"/>
    </row>
    <row r="569" spans="1:6" x14ac:dyDescent="0.2">
      <c r="A569" s="275"/>
      <c r="B569" s="78"/>
      <c r="C569" s="189"/>
      <c r="D569" s="185"/>
      <c r="E569" s="186"/>
      <c r="F569" s="187"/>
    </row>
    <row r="570" spans="1:6" x14ac:dyDescent="0.2">
      <c r="A570" s="275"/>
      <c r="B570" s="78"/>
      <c r="C570" s="189"/>
      <c r="D570" s="185"/>
      <c r="E570" s="186"/>
      <c r="F570" s="187"/>
    </row>
    <row r="571" spans="1:6" x14ac:dyDescent="0.2">
      <c r="A571" s="275"/>
      <c r="B571" s="78"/>
      <c r="C571" s="189"/>
      <c r="D571" s="185"/>
      <c r="E571" s="186"/>
      <c r="F571" s="187"/>
    </row>
    <row r="572" spans="1:6" x14ac:dyDescent="0.2">
      <c r="A572" s="275"/>
      <c r="B572" s="78"/>
      <c r="C572" s="189"/>
      <c r="D572" s="185"/>
      <c r="E572" s="186"/>
      <c r="F572" s="187"/>
    </row>
    <row r="573" spans="1:6" x14ac:dyDescent="0.2">
      <c r="A573" s="275"/>
      <c r="B573" s="78"/>
      <c r="C573" s="189"/>
      <c r="D573" s="185"/>
      <c r="E573" s="186"/>
      <c r="F573" s="187"/>
    </row>
    <row r="574" spans="1:6" x14ac:dyDescent="0.2">
      <c r="A574" s="275"/>
      <c r="B574" s="78"/>
      <c r="C574" s="189"/>
      <c r="D574" s="185"/>
      <c r="E574" s="186"/>
      <c r="F574" s="187"/>
    </row>
    <row r="575" spans="1:6" x14ac:dyDescent="0.2">
      <c r="A575" s="275"/>
      <c r="B575" s="78"/>
      <c r="C575" s="189"/>
      <c r="D575" s="185"/>
      <c r="E575" s="186"/>
      <c r="F575" s="187"/>
    </row>
    <row r="576" spans="1:6" x14ac:dyDescent="0.2">
      <c r="A576" s="275"/>
      <c r="B576" s="78"/>
      <c r="C576" s="189"/>
      <c r="D576" s="185"/>
      <c r="E576" s="186"/>
      <c r="F576" s="187"/>
    </row>
    <row r="577" spans="1:6" x14ac:dyDescent="0.2">
      <c r="A577" s="275"/>
      <c r="B577" s="78"/>
      <c r="C577" s="189"/>
      <c r="D577" s="185"/>
      <c r="E577" s="186"/>
      <c r="F577" s="187"/>
    </row>
    <row r="578" spans="1:6" x14ac:dyDescent="0.2">
      <c r="A578" s="275"/>
      <c r="B578" s="78"/>
      <c r="C578" s="189"/>
      <c r="D578" s="185"/>
      <c r="E578" s="186"/>
      <c r="F578" s="187"/>
    </row>
    <row r="579" spans="1:6" x14ac:dyDescent="0.2">
      <c r="A579" s="275"/>
      <c r="B579" s="78"/>
      <c r="C579" s="189"/>
      <c r="D579" s="185"/>
      <c r="E579" s="186"/>
      <c r="F579" s="187"/>
    </row>
    <row r="580" spans="1:6" x14ac:dyDescent="0.2">
      <c r="A580" s="275"/>
      <c r="B580" s="78"/>
      <c r="C580" s="189"/>
      <c r="D580" s="185"/>
      <c r="E580" s="186"/>
      <c r="F580" s="187"/>
    </row>
    <row r="581" spans="1:6" x14ac:dyDescent="0.2">
      <c r="A581" s="275"/>
      <c r="B581" s="78"/>
      <c r="C581" s="189"/>
      <c r="D581" s="185"/>
      <c r="E581" s="186"/>
      <c r="F581" s="187"/>
    </row>
    <row r="582" spans="1:6" x14ac:dyDescent="0.2">
      <c r="A582" s="275"/>
      <c r="B582" s="78"/>
      <c r="C582" s="189"/>
      <c r="D582" s="185"/>
      <c r="E582" s="186"/>
      <c r="F582" s="187"/>
    </row>
    <row r="583" spans="1:6" x14ac:dyDescent="0.2">
      <c r="A583" s="275"/>
      <c r="B583" s="78"/>
      <c r="C583" s="189"/>
      <c r="D583" s="185"/>
      <c r="E583" s="186"/>
      <c r="F583" s="187"/>
    </row>
    <row r="584" spans="1:6" x14ac:dyDescent="0.2">
      <c r="A584" s="275"/>
      <c r="B584" s="78"/>
      <c r="C584" s="189"/>
      <c r="D584" s="185"/>
      <c r="E584" s="186"/>
      <c r="F584" s="187"/>
    </row>
    <row r="585" spans="1:6" x14ac:dyDescent="0.2">
      <c r="A585" s="275"/>
      <c r="B585" s="78"/>
      <c r="C585" s="189"/>
      <c r="D585" s="185"/>
      <c r="E585" s="186"/>
      <c r="F585" s="187"/>
    </row>
    <row r="586" spans="1:6" x14ac:dyDescent="0.2">
      <c r="A586" s="275"/>
      <c r="B586" s="78"/>
      <c r="C586" s="189"/>
      <c r="D586" s="185"/>
      <c r="E586" s="186"/>
      <c r="F586" s="187"/>
    </row>
    <row r="587" spans="1:6" x14ac:dyDescent="0.2">
      <c r="A587" s="275"/>
      <c r="B587" s="78"/>
      <c r="C587" s="189"/>
      <c r="D587" s="185"/>
      <c r="E587" s="186"/>
      <c r="F587" s="187"/>
    </row>
    <row r="588" spans="1:6" x14ac:dyDescent="0.2">
      <c r="A588" s="275"/>
      <c r="B588" s="78"/>
      <c r="C588" s="189"/>
      <c r="D588" s="185"/>
      <c r="E588" s="186"/>
      <c r="F588" s="187"/>
    </row>
    <row r="589" spans="1:6" x14ac:dyDescent="0.2">
      <c r="A589" s="275"/>
      <c r="B589" s="78"/>
      <c r="C589" s="189"/>
      <c r="D589" s="185"/>
      <c r="E589" s="186"/>
      <c r="F589" s="187"/>
    </row>
    <row r="590" spans="1:6" x14ac:dyDescent="0.2">
      <c r="A590" s="275"/>
      <c r="B590" s="78"/>
      <c r="C590" s="189"/>
      <c r="D590" s="185"/>
      <c r="E590" s="186"/>
      <c r="F590" s="187"/>
    </row>
    <row r="591" spans="1:6" x14ac:dyDescent="0.2">
      <c r="A591" s="275"/>
      <c r="B591" s="78"/>
      <c r="C591" s="189"/>
      <c r="D591" s="185"/>
      <c r="E591" s="186"/>
      <c r="F591" s="187"/>
    </row>
    <row r="592" spans="1:6" x14ac:dyDescent="0.2">
      <c r="A592" s="275"/>
      <c r="B592" s="78"/>
      <c r="C592" s="189"/>
      <c r="D592" s="185"/>
      <c r="E592" s="186"/>
      <c r="F592" s="187"/>
    </row>
    <row r="593" spans="1:6" x14ac:dyDescent="0.2">
      <c r="A593" s="275"/>
      <c r="B593" s="78"/>
      <c r="C593" s="189"/>
      <c r="D593" s="185"/>
      <c r="E593" s="186"/>
      <c r="F593" s="187"/>
    </row>
    <row r="594" spans="1:6" x14ac:dyDescent="0.2">
      <c r="A594" s="275"/>
      <c r="B594" s="78"/>
      <c r="C594" s="189"/>
      <c r="D594" s="185"/>
      <c r="E594" s="186"/>
      <c r="F594" s="187"/>
    </row>
    <row r="595" spans="1:6" x14ac:dyDescent="0.2">
      <c r="A595" s="275"/>
      <c r="B595" s="78"/>
      <c r="C595" s="189"/>
      <c r="D595" s="185"/>
      <c r="E595" s="186"/>
      <c r="F595" s="187"/>
    </row>
    <row r="596" spans="1:6" x14ac:dyDescent="0.2">
      <c r="A596" s="275"/>
      <c r="B596" s="78"/>
      <c r="C596" s="189"/>
      <c r="D596" s="185"/>
      <c r="E596" s="186"/>
      <c r="F596" s="187"/>
    </row>
    <row r="597" spans="1:6" x14ac:dyDescent="0.2">
      <c r="A597" s="275"/>
      <c r="B597" s="78"/>
      <c r="C597" s="189"/>
      <c r="D597" s="185"/>
      <c r="E597" s="186"/>
      <c r="F597" s="187"/>
    </row>
    <row r="598" spans="1:6" x14ac:dyDescent="0.2">
      <c r="A598" s="275"/>
      <c r="B598" s="78"/>
      <c r="C598" s="189"/>
      <c r="D598" s="185"/>
      <c r="E598" s="186"/>
      <c r="F598" s="187"/>
    </row>
    <row r="599" spans="1:6" x14ac:dyDescent="0.2">
      <c r="A599" s="275"/>
      <c r="B599" s="78"/>
      <c r="C599" s="189"/>
      <c r="D599" s="185"/>
      <c r="E599" s="186"/>
      <c r="F599" s="187"/>
    </row>
    <row r="600" spans="1:6" x14ac:dyDescent="0.2">
      <c r="A600" s="275"/>
      <c r="B600" s="78"/>
      <c r="C600" s="189"/>
      <c r="D600" s="185"/>
      <c r="E600" s="186"/>
      <c r="F600" s="187"/>
    </row>
    <row r="601" spans="1:6" x14ac:dyDescent="0.2">
      <c r="A601" s="275"/>
      <c r="B601" s="78"/>
      <c r="C601" s="189"/>
      <c r="D601" s="185"/>
      <c r="E601" s="186"/>
      <c r="F601" s="187"/>
    </row>
    <row r="602" spans="1:6" x14ac:dyDescent="0.2">
      <c r="A602" s="275"/>
      <c r="B602" s="78"/>
      <c r="C602" s="189"/>
      <c r="D602" s="185"/>
      <c r="E602" s="186"/>
      <c r="F602" s="187"/>
    </row>
    <row r="603" spans="1:6" x14ac:dyDescent="0.2">
      <c r="A603" s="275"/>
      <c r="B603" s="78"/>
      <c r="C603" s="189"/>
      <c r="D603" s="185"/>
      <c r="E603" s="186"/>
      <c r="F603" s="187"/>
    </row>
    <row r="604" spans="1:6" x14ac:dyDescent="0.2">
      <c r="A604" s="275"/>
      <c r="B604" s="78"/>
      <c r="C604" s="189"/>
      <c r="D604" s="185"/>
      <c r="E604" s="186"/>
      <c r="F604" s="187"/>
    </row>
    <row r="605" spans="1:6" x14ac:dyDescent="0.2">
      <c r="A605" s="275"/>
      <c r="B605" s="78"/>
      <c r="C605" s="189"/>
      <c r="D605" s="185"/>
      <c r="E605" s="186"/>
      <c r="F605" s="187"/>
    </row>
    <row r="606" spans="1:6" x14ac:dyDescent="0.2">
      <c r="A606" s="275"/>
      <c r="B606" s="78"/>
      <c r="C606" s="189"/>
      <c r="D606" s="185"/>
      <c r="E606" s="186"/>
      <c r="F606" s="187"/>
    </row>
    <row r="607" spans="1:6" x14ac:dyDescent="0.2">
      <c r="A607" s="275"/>
      <c r="B607" s="78"/>
      <c r="C607" s="189"/>
      <c r="D607" s="185"/>
      <c r="E607" s="186"/>
      <c r="F607" s="187"/>
    </row>
    <row r="608" spans="1:6" x14ac:dyDescent="0.2">
      <c r="A608" s="275"/>
      <c r="B608" s="78"/>
      <c r="C608" s="189"/>
      <c r="D608" s="185"/>
      <c r="E608" s="186"/>
      <c r="F608" s="187"/>
    </row>
    <row r="609" spans="1:6" x14ac:dyDescent="0.2">
      <c r="A609" s="275"/>
      <c r="B609" s="78"/>
      <c r="C609" s="189"/>
      <c r="D609" s="185"/>
      <c r="E609" s="186"/>
      <c r="F609" s="187"/>
    </row>
    <row r="610" spans="1:6" x14ac:dyDescent="0.2">
      <c r="A610" s="275"/>
      <c r="B610" s="78"/>
      <c r="C610" s="189"/>
      <c r="D610" s="185"/>
      <c r="E610" s="186"/>
      <c r="F610" s="187"/>
    </row>
    <row r="611" spans="1:6" x14ac:dyDescent="0.2">
      <c r="A611" s="275"/>
      <c r="B611" s="78"/>
      <c r="C611" s="189"/>
      <c r="D611" s="185"/>
      <c r="E611" s="186"/>
      <c r="F611" s="187"/>
    </row>
    <row r="612" spans="1:6" x14ac:dyDescent="0.2">
      <c r="A612" s="275"/>
      <c r="B612" s="78"/>
      <c r="C612" s="189"/>
      <c r="D612" s="185"/>
      <c r="E612" s="186"/>
      <c r="F612" s="187"/>
    </row>
    <row r="613" spans="1:6" x14ac:dyDescent="0.2">
      <c r="A613" s="275"/>
      <c r="B613" s="78"/>
      <c r="C613" s="189"/>
      <c r="D613" s="185"/>
      <c r="E613" s="186"/>
      <c r="F613" s="187"/>
    </row>
    <row r="614" spans="1:6" x14ac:dyDescent="0.2">
      <c r="A614" s="275"/>
      <c r="B614" s="78"/>
      <c r="C614" s="189"/>
      <c r="D614" s="185"/>
      <c r="E614" s="186"/>
      <c r="F614" s="187"/>
    </row>
    <row r="615" spans="1:6" x14ac:dyDescent="0.2">
      <c r="A615" s="275"/>
      <c r="B615" s="78"/>
      <c r="C615" s="189"/>
      <c r="D615" s="185"/>
      <c r="E615" s="186"/>
      <c r="F615" s="187"/>
    </row>
    <row r="616" spans="1:6" x14ac:dyDescent="0.2">
      <c r="A616" s="275"/>
      <c r="B616" s="78"/>
      <c r="C616" s="189"/>
      <c r="D616" s="185"/>
      <c r="E616" s="186"/>
      <c r="F616" s="187"/>
    </row>
    <row r="617" spans="1:6" x14ac:dyDescent="0.2">
      <c r="A617" s="275"/>
      <c r="B617" s="78"/>
      <c r="C617" s="189"/>
      <c r="D617" s="185"/>
      <c r="E617" s="186"/>
      <c r="F617" s="187"/>
    </row>
    <row r="618" spans="1:6" x14ac:dyDescent="0.2">
      <c r="A618" s="275"/>
      <c r="B618" s="78"/>
      <c r="C618" s="189"/>
      <c r="D618" s="185"/>
      <c r="E618" s="186"/>
      <c r="F618" s="187"/>
    </row>
    <row r="619" spans="1:6" x14ac:dyDescent="0.2">
      <c r="A619" s="275"/>
      <c r="B619" s="78"/>
      <c r="C619" s="189"/>
      <c r="D619" s="185"/>
      <c r="E619" s="186"/>
      <c r="F619" s="187"/>
    </row>
    <row r="620" spans="1:6" x14ac:dyDescent="0.2">
      <c r="A620" s="275"/>
      <c r="B620" s="78"/>
      <c r="C620" s="189"/>
      <c r="D620" s="185"/>
      <c r="E620" s="186"/>
      <c r="F620" s="187"/>
    </row>
    <row r="621" spans="1:6" x14ac:dyDescent="0.2">
      <c r="A621" s="275"/>
      <c r="B621" s="78"/>
      <c r="C621" s="189"/>
      <c r="D621" s="185"/>
      <c r="E621" s="186"/>
      <c r="F621" s="187"/>
    </row>
    <row r="622" spans="1:6" x14ac:dyDescent="0.2">
      <c r="A622" s="275"/>
      <c r="B622" s="78"/>
      <c r="C622" s="189"/>
      <c r="D622" s="185"/>
      <c r="E622" s="186"/>
      <c r="F622" s="187"/>
    </row>
    <row r="623" spans="1:6" x14ac:dyDescent="0.2">
      <c r="A623" s="275"/>
      <c r="B623" s="78"/>
      <c r="C623" s="189"/>
      <c r="D623" s="185"/>
      <c r="E623" s="186"/>
      <c r="F623" s="187"/>
    </row>
    <row r="624" spans="1:6" x14ac:dyDescent="0.2">
      <c r="A624" s="275"/>
      <c r="B624" s="78"/>
      <c r="C624" s="189"/>
      <c r="D624" s="185"/>
      <c r="E624" s="186"/>
      <c r="F624" s="187"/>
    </row>
    <row r="625" spans="1:6" x14ac:dyDescent="0.2">
      <c r="A625" s="275"/>
      <c r="B625" s="78"/>
      <c r="C625" s="189"/>
      <c r="D625" s="185"/>
      <c r="E625" s="186"/>
      <c r="F625" s="187"/>
    </row>
    <row r="626" spans="1:6" x14ac:dyDescent="0.2">
      <c r="A626" s="275"/>
      <c r="B626" s="78"/>
      <c r="C626" s="189"/>
      <c r="D626" s="185"/>
      <c r="E626" s="186"/>
      <c r="F626" s="187"/>
    </row>
    <row r="627" spans="1:6" x14ac:dyDescent="0.2">
      <c r="A627" s="275"/>
      <c r="B627" s="78"/>
      <c r="C627" s="189"/>
      <c r="D627" s="185"/>
      <c r="E627" s="186"/>
      <c r="F627" s="187"/>
    </row>
    <row r="628" spans="1:6" x14ac:dyDescent="0.2">
      <c r="A628" s="275"/>
      <c r="B628" s="78"/>
      <c r="C628" s="189"/>
      <c r="D628" s="185"/>
      <c r="E628" s="186"/>
      <c r="F628" s="187"/>
    </row>
    <row r="629" spans="1:6" x14ac:dyDescent="0.2">
      <c r="A629" s="275"/>
      <c r="B629" s="78"/>
      <c r="C629" s="189"/>
      <c r="D629" s="185"/>
      <c r="E629" s="186"/>
      <c r="F629" s="187"/>
    </row>
    <row r="630" spans="1:6" x14ac:dyDescent="0.2">
      <c r="A630" s="275"/>
      <c r="B630" s="78"/>
      <c r="C630" s="189"/>
      <c r="D630" s="185"/>
      <c r="E630" s="186"/>
      <c r="F630" s="187"/>
    </row>
    <row r="631" spans="1:6" x14ac:dyDescent="0.2">
      <c r="A631" s="275"/>
      <c r="B631" s="78"/>
      <c r="C631" s="189"/>
      <c r="D631" s="185"/>
      <c r="E631" s="186"/>
      <c r="F631" s="187"/>
    </row>
    <row r="632" spans="1:6" x14ac:dyDescent="0.2">
      <c r="A632" s="275"/>
      <c r="B632" s="78"/>
      <c r="C632" s="189"/>
      <c r="D632" s="185"/>
      <c r="E632" s="186"/>
      <c r="F632" s="187"/>
    </row>
    <row r="633" spans="1:6" x14ac:dyDescent="0.2">
      <c r="A633" s="275"/>
      <c r="B633" s="78"/>
      <c r="C633" s="189"/>
      <c r="D633" s="185"/>
      <c r="E633" s="186"/>
      <c r="F633" s="187"/>
    </row>
    <row r="634" spans="1:6" x14ac:dyDescent="0.2">
      <c r="A634" s="275"/>
      <c r="B634" s="78"/>
      <c r="C634" s="189"/>
      <c r="D634" s="185"/>
      <c r="E634" s="186"/>
      <c r="F634" s="187"/>
    </row>
    <row r="635" spans="1:6" x14ac:dyDescent="0.2">
      <c r="A635" s="275"/>
      <c r="B635" s="78"/>
      <c r="C635" s="189"/>
      <c r="D635" s="185"/>
      <c r="E635" s="186"/>
      <c r="F635" s="187"/>
    </row>
    <row r="636" spans="1:6" x14ac:dyDescent="0.2">
      <c r="A636" s="275"/>
      <c r="B636" s="78"/>
      <c r="C636" s="189"/>
      <c r="D636" s="185"/>
      <c r="E636" s="186"/>
      <c r="F636" s="187"/>
    </row>
    <row r="637" spans="1:6" x14ac:dyDescent="0.2">
      <c r="A637" s="275"/>
      <c r="B637" s="78"/>
      <c r="C637" s="189"/>
      <c r="D637" s="185"/>
      <c r="E637" s="186"/>
      <c r="F637" s="187"/>
    </row>
    <row r="638" spans="1:6" x14ac:dyDescent="0.2">
      <c r="A638" s="275"/>
      <c r="B638" s="78"/>
      <c r="C638" s="189"/>
      <c r="D638" s="185"/>
      <c r="E638" s="186"/>
      <c r="F638" s="187"/>
    </row>
    <row r="639" spans="1:6" x14ac:dyDescent="0.2">
      <c r="A639" s="275"/>
      <c r="B639" s="78"/>
      <c r="C639" s="189"/>
      <c r="D639" s="185"/>
      <c r="E639" s="186"/>
      <c r="F639" s="187"/>
    </row>
    <row r="640" spans="1:6" x14ac:dyDescent="0.2">
      <c r="A640" s="275"/>
      <c r="B640" s="78"/>
      <c r="C640" s="189"/>
      <c r="D640" s="185"/>
      <c r="E640" s="186"/>
      <c r="F640" s="187"/>
    </row>
    <row r="641" spans="1:6" x14ac:dyDescent="0.2">
      <c r="A641" s="275"/>
      <c r="B641" s="78"/>
      <c r="C641" s="189"/>
      <c r="D641" s="185"/>
      <c r="E641" s="186"/>
      <c r="F641" s="187"/>
    </row>
    <row r="642" spans="1:6" x14ac:dyDescent="0.2">
      <c r="A642" s="275"/>
      <c r="B642" s="78"/>
      <c r="C642" s="189"/>
      <c r="D642" s="185"/>
      <c r="E642" s="186"/>
      <c r="F642" s="187"/>
    </row>
    <row r="643" spans="1:6" x14ac:dyDescent="0.2">
      <c r="A643" s="275"/>
      <c r="B643" s="78"/>
      <c r="C643" s="189"/>
      <c r="D643" s="185"/>
      <c r="E643" s="186"/>
      <c r="F643" s="187"/>
    </row>
    <row r="644" spans="1:6" x14ac:dyDescent="0.2">
      <c r="A644" s="275"/>
      <c r="B644" s="78"/>
      <c r="C644" s="189"/>
      <c r="D644" s="185"/>
      <c r="E644" s="186"/>
      <c r="F644" s="187"/>
    </row>
    <row r="645" spans="1:6" x14ac:dyDescent="0.2">
      <c r="A645" s="275"/>
      <c r="B645" s="78"/>
      <c r="C645" s="189"/>
      <c r="D645" s="185"/>
      <c r="E645" s="186"/>
      <c r="F645" s="187"/>
    </row>
    <row r="646" spans="1:6" x14ac:dyDescent="0.2">
      <c r="A646" s="275"/>
      <c r="B646" s="78"/>
      <c r="C646" s="189"/>
      <c r="D646" s="185"/>
      <c r="E646" s="186"/>
      <c r="F646" s="187"/>
    </row>
    <row r="647" spans="1:6" x14ac:dyDescent="0.2">
      <c r="A647" s="275"/>
      <c r="B647" s="78"/>
      <c r="C647" s="189"/>
      <c r="D647" s="185"/>
      <c r="E647" s="186"/>
      <c r="F647" s="187"/>
    </row>
    <row r="648" spans="1:6" x14ac:dyDescent="0.2">
      <c r="A648" s="275"/>
      <c r="B648" s="78"/>
      <c r="C648" s="189"/>
      <c r="D648" s="185"/>
      <c r="E648" s="186"/>
      <c r="F648" s="187"/>
    </row>
    <row r="649" spans="1:6" x14ac:dyDescent="0.2">
      <c r="A649" s="275"/>
      <c r="B649" s="78"/>
      <c r="C649" s="189"/>
      <c r="D649" s="185"/>
      <c r="E649" s="186"/>
      <c r="F649" s="187"/>
    </row>
    <row r="650" spans="1:6" x14ac:dyDescent="0.2">
      <c r="A650" s="275"/>
      <c r="B650" s="78"/>
      <c r="C650" s="189"/>
      <c r="D650" s="185"/>
      <c r="E650" s="186"/>
      <c r="F650" s="187"/>
    </row>
    <row r="651" spans="1:6" x14ac:dyDescent="0.2">
      <c r="A651" s="275"/>
      <c r="B651" s="78"/>
      <c r="C651" s="189"/>
      <c r="D651" s="185"/>
      <c r="E651" s="186"/>
      <c r="F651" s="187"/>
    </row>
    <row r="652" spans="1:6" x14ac:dyDescent="0.2">
      <c r="A652" s="275"/>
      <c r="B652" s="78"/>
      <c r="C652" s="189"/>
      <c r="D652" s="185"/>
      <c r="E652" s="186"/>
      <c r="F652" s="187"/>
    </row>
    <row r="653" spans="1:6" x14ac:dyDescent="0.2">
      <c r="A653" s="275"/>
      <c r="B653" s="78"/>
      <c r="C653" s="189"/>
      <c r="D653" s="185"/>
      <c r="E653" s="186"/>
      <c r="F653" s="187"/>
    </row>
    <row r="654" spans="1:6" x14ac:dyDescent="0.2">
      <c r="A654" s="275"/>
      <c r="B654" s="78"/>
      <c r="C654" s="189"/>
      <c r="D654" s="185"/>
      <c r="E654" s="186"/>
      <c r="F654" s="187"/>
    </row>
    <row r="655" spans="1:6" x14ac:dyDescent="0.2">
      <c r="A655" s="275"/>
      <c r="B655" s="78"/>
      <c r="C655" s="189"/>
      <c r="D655" s="185"/>
      <c r="E655" s="186"/>
      <c r="F655" s="187"/>
    </row>
    <row r="656" spans="1:6" x14ac:dyDescent="0.2">
      <c r="A656" s="275"/>
      <c r="B656" s="78"/>
      <c r="C656" s="189"/>
      <c r="D656" s="185"/>
      <c r="E656" s="186"/>
      <c r="F656" s="187"/>
    </row>
    <row r="657" spans="1:6" x14ac:dyDescent="0.2">
      <c r="A657" s="275"/>
      <c r="B657" s="78"/>
      <c r="C657" s="189"/>
      <c r="D657" s="185"/>
      <c r="E657" s="186"/>
      <c r="F657" s="187"/>
    </row>
    <row r="658" spans="1:6" x14ac:dyDescent="0.2">
      <c r="A658" s="275"/>
      <c r="B658" s="78"/>
      <c r="C658" s="189"/>
      <c r="D658" s="185"/>
      <c r="E658" s="186"/>
      <c r="F658" s="187"/>
    </row>
    <row r="659" spans="1:6" x14ac:dyDescent="0.2">
      <c r="A659" s="275"/>
      <c r="B659" s="78"/>
      <c r="C659" s="189"/>
      <c r="D659" s="185"/>
      <c r="E659" s="186"/>
      <c r="F659" s="187"/>
    </row>
    <row r="660" spans="1:6" x14ac:dyDescent="0.2">
      <c r="A660" s="275"/>
      <c r="B660" s="78"/>
      <c r="C660" s="189"/>
      <c r="D660" s="185"/>
      <c r="E660" s="186"/>
      <c r="F660" s="187"/>
    </row>
    <row r="661" spans="1:6" x14ac:dyDescent="0.2">
      <c r="A661" s="275"/>
      <c r="B661" s="78"/>
      <c r="C661" s="189"/>
      <c r="D661" s="185"/>
      <c r="E661" s="186"/>
      <c r="F661" s="187"/>
    </row>
    <row r="662" spans="1:6" x14ac:dyDescent="0.2">
      <c r="A662" s="275"/>
      <c r="B662" s="78"/>
      <c r="C662" s="189"/>
      <c r="D662" s="185"/>
      <c r="E662" s="186"/>
      <c r="F662" s="187"/>
    </row>
    <row r="663" spans="1:6" x14ac:dyDescent="0.2">
      <c r="A663" s="275"/>
      <c r="B663" s="78"/>
      <c r="C663" s="189"/>
      <c r="D663" s="185"/>
      <c r="E663" s="186"/>
      <c r="F663" s="187"/>
    </row>
    <row r="664" spans="1:6" x14ac:dyDescent="0.2">
      <c r="A664" s="275"/>
      <c r="B664" s="78"/>
      <c r="C664" s="189"/>
      <c r="D664" s="185"/>
      <c r="E664" s="186"/>
      <c r="F664" s="187"/>
    </row>
    <row r="665" spans="1:6" x14ac:dyDescent="0.2">
      <c r="A665" s="275"/>
      <c r="B665" s="78"/>
      <c r="C665" s="189"/>
      <c r="D665" s="185"/>
      <c r="E665" s="186"/>
      <c r="F665" s="187"/>
    </row>
    <row r="666" spans="1:6" x14ac:dyDescent="0.2">
      <c r="A666" s="275"/>
      <c r="B666" s="78"/>
      <c r="C666" s="189"/>
      <c r="D666" s="185"/>
      <c r="E666" s="186"/>
      <c r="F666" s="187"/>
    </row>
    <row r="667" spans="1:6" x14ac:dyDescent="0.2">
      <c r="A667" s="275"/>
      <c r="B667" s="78"/>
      <c r="C667" s="189"/>
      <c r="D667" s="185"/>
      <c r="E667" s="186"/>
      <c r="F667" s="187"/>
    </row>
    <row r="668" spans="1:6" x14ac:dyDescent="0.2">
      <c r="A668" s="275"/>
      <c r="B668" s="78"/>
      <c r="C668" s="189"/>
      <c r="D668" s="185"/>
      <c r="E668" s="186"/>
      <c r="F668" s="187"/>
    </row>
    <row r="669" spans="1:6" x14ac:dyDescent="0.2">
      <c r="A669" s="275"/>
      <c r="B669" s="78"/>
      <c r="C669" s="189"/>
      <c r="D669" s="185"/>
      <c r="E669" s="186"/>
      <c r="F669" s="187"/>
    </row>
    <row r="670" spans="1:6" x14ac:dyDescent="0.2">
      <c r="A670" s="275"/>
      <c r="B670" s="78"/>
      <c r="C670" s="189"/>
      <c r="D670" s="185"/>
      <c r="E670" s="186"/>
      <c r="F670" s="187"/>
    </row>
    <row r="671" spans="1:6" x14ac:dyDescent="0.2">
      <c r="A671" s="275"/>
      <c r="B671" s="78"/>
      <c r="C671" s="189"/>
      <c r="D671" s="185"/>
      <c r="E671" s="186"/>
      <c r="F671" s="187"/>
    </row>
    <row r="672" spans="1:6" x14ac:dyDescent="0.2">
      <c r="A672" s="275"/>
      <c r="B672" s="78"/>
      <c r="C672" s="189"/>
      <c r="D672" s="185"/>
      <c r="E672" s="186"/>
      <c r="F672" s="187"/>
    </row>
    <row r="673" spans="1:6" x14ac:dyDescent="0.2">
      <c r="A673" s="275"/>
      <c r="B673" s="78"/>
      <c r="C673" s="189"/>
      <c r="D673" s="185"/>
      <c r="E673" s="186"/>
      <c r="F673" s="187"/>
    </row>
    <row r="674" spans="1:6" x14ac:dyDescent="0.2">
      <c r="A674" s="275"/>
      <c r="B674" s="78"/>
      <c r="C674" s="189"/>
      <c r="D674" s="185"/>
      <c r="E674" s="186"/>
      <c r="F674" s="187"/>
    </row>
    <row r="675" spans="1:6" x14ac:dyDescent="0.2">
      <c r="A675" s="275"/>
      <c r="B675" s="78"/>
      <c r="C675" s="189"/>
      <c r="D675" s="185"/>
      <c r="E675" s="186"/>
      <c r="F675" s="187"/>
    </row>
    <row r="676" spans="1:6" x14ac:dyDescent="0.2">
      <c r="A676" s="275"/>
      <c r="B676" s="78"/>
      <c r="C676" s="189"/>
      <c r="D676" s="185"/>
      <c r="E676" s="186"/>
      <c r="F676" s="187"/>
    </row>
    <row r="677" spans="1:6" x14ac:dyDescent="0.2">
      <c r="A677" s="275"/>
      <c r="B677" s="78"/>
      <c r="C677" s="189"/>
      <c r="D677" s="185"/>
      <c r="E677" s="186"/>
      <c r="F677" s="187"/>
    </row>
    <row r="678" spans="1:6" x14ac:dyDescent="0.2">
      <c r="A678" s="275"/>
      <c r="B678" s="78"/>
      <c r="C678" s="189"/>
      <c r="D678" s="185"/>
      <c r="E678" s="186"/>
      <c r="F678" s="187"/>
    </row>
    <row r="679" spans="1:6" x14ac:dyDescent="0.2">
      <c r="A679" s="275"/>
      <c r="B679" s="78"/>
      <c r="C679" s="189"/>
      <c r="D679" s="185"/>
      <c r="E679" s="186"/>
      <c r="F679" s="187"/>
    </row>
    <row r="680" spans="1:6" x14ac:dyDescent="0.2">
      <c r="A680" s="275"/>
      <c r="B680" s="78"/>
      <c r="C680" s="189"/>
      <c r="D680" s="185"/>
      <c r="E680" s="186"/>
      <c r="F680" s="187"/>
    </row>
    <row r="681" spans="1:6" x14ac:dyDescent="0.2">
      <c r="A681" s="275"/>
      <c r="B681" s="78"/>
      <c r="C681" s="189"/>
      <c r="D681" s="185"/>
      <c r="E681" s="186"/>
      <c r="F681" s="187"/>
    </row>
    <row r="682" spans="1:6" x14ac:dyDescent="0.2">
      <c r="A682" s="275"/>
      <c r="B682" s="78"/>
      <c r="C682" s="189"/>
      <c r="D682" s="185"/>
      <c r="E682" s="186"/>
      <c r="F682" s="187"/>
    </row>
    <row r="683" spans="1:6" x14ac:dyDescent="0.2">
      <c r="A683" s="275"/>
      <c r="B683" s="78"/>
      <c r="C683" s="189"/>
      <c r="D683" s="185"/>
      <c r="E683" s="186"/>
      <c r="F683" s="187"/>
    </row>
    <row r="684" spans="1:6" x14ac:dyDescent="0.2">
      <c r="A684" s="275"/>
      <c r="B684" s="78"/>
      <c r="C684" s="189"/>
      <c r="D684" s="185"/>
      <c r="E684" s="186"/>
      <c r="F684" s="187"/>
    </row>
    <row r="685" spans="1:6" x14ac:dyDescent="0.2">
      <c r="A685" s="275"/>
      <c r="B685" s="78"/>
      <c r="C685" s="189"/>
      <c r="D685" s="185"/>
      <c r="E685" s="186"/>
      <c r="F685" s="187"/>
    </row>
    <row r="686" spans="1:6" x14ac:dyDescent="0.2">
      <c r="A686" s="275"/>
      <c r="B686" s="78"/>
      <c r="C686" s="189"/>
      <c r="D686" s="185"/>
      <c r="E686" s="186"/>
      <c r="F686" s="187"/>
    </row>
    <row r="687" spans="1:6" x14ac:dyDescent="0.2">
      <c r="A687" s="275"/>
      <c r="B687" s="78"/>
      <c r="C687" s="189"/>
      <c r="D687" s="185"/>
      <c r="E687" s="186"/>
      <c r="F687" s="187"/>
    </row>
    <row r="688" spans="1:6" x14ac:dyDescent="0.2">
      <c r="A688" s="275"/>
      <c r="B688" s="78"/>
      <c r="C688" s="189"/>
      <c r="D688" s="185"/>
      <c r="E688" s="186"/>
      <c r="F688" s="187"/>
    </row>
    <row r="689" spans="1:6" x14ac:dyDescent="0.2">
      <c r="A689" s="275"/>
      <c r="B689" s="78"/>
      <c r="C689" s="189"/>
      <c r="D689" s="185"/>
      <c r="E689" s="186"/>
      <c r="F689" s="187"/>
    </row>
    <row r="690" spans="1:6" x14ac:dyDescent="0.2">
      <c r="A690" s="275"/>
      <c r="B690" s="78"/>
      <c r="C690" s="189"/>
      <c r="D690" s="185"/>
      <c r="E690" s="186"/>
      <c r="F690" s="187"/>
    </row>
    <row r="691" spans="1:6" x14ac:dyDescent="0.2">
      <c r="A691" s="275"/>
      <c r="B691" s="78"/>
      <c r="C691" s="189"/>
      <c r="D691" s="185"/>
      <c r="E691" s="186"/>
      <c r="F691" s="187"/>
    </row>
    <row r="692" spans="1:6" x14ac:dyDescent="0.2">
      <c r="A692" s="275"/>
      <c r="B692" s="78"/>
      <c r="C692" s="189"/>
      <c r="D692" s="185"/>
      <c r="E692" s="186"/>
      <c r="F692" s="187"/>
    </row>
    <row r="693" spans="1:6" x14ac:dyDescent="0.2">
      <c r="A693" s="275"/>
      <c r="B693" s="78"/>
      <c r="C693" s="189"/>
      <c r="D693" s="185"/>
      <c r="E693" s="186"/>
      <c r="F693" s="187"/>
    </row>
    <row r="694" spans="1:6" x14ac:dyDescent="0.2">
      <c r="A694" s="275"/>
      <c r="B694" s="78"/>
      <c r="C694" s="189"/>
      <c r="D694" s="185"/>
      <c r="E694" s="186"/>
      <c r="F694" s="187"/>
    </row>
    <row r="695" spans="1:6" x14ac:dyDescent="0.2">
      <c r="A695" s="275"/>
      <c r="B695" s="78"/>
      <c r="C695" s="189"/>
      <c r="D695" s="185"/>
      <c r="E695" s="186"/>
      <c r="F695" s="187"/>
    </row>
    <row r="696" spans="1:6" x14ac:dyDescent="0.2">
      <c r="A696" s="275"/>
      <c r="B696" s="78"/>
      <c r="C696" s="189"/>
      <c r="D696" s="185"/>
      <c r="E696" s="186"/>
      <c r="F696" s="187"/>
    </row>
    <row r="697" spans="1:6" x14ac:dyDescent="0.2">
      <c r="A697" s="275"/>
      <c r="B697" s="78"/>
      <c r="C697" s="189"/>
      <c r="D697" s="185"/>
      <c r="E697" s="186"/>
      <c r="F697" s="187"/>
    </row>
    <row r="698" spans="1:6" x14ac:dyDescent="0.2">
      <c r="A698" s="275"/>
      <c r="B698" s="78"/>
      <c r="C698" s="189"/>
      <c r="D698" s="185"/>
      <c r="E698" s="186"/>
      <c r="F698" s="187"/>
    </row>
    <row r="699" spans="1:6" x14ac:dyDescent="0.2">
      <c r="A699" s="275"/>
      <c r="B699" s="78"/>
      <c r="C699" s="189"/>
      <c r="D699" s="185"/>
      <c r="E699" s="186"/>
      <c r="F699" s="187"/>
    </row>
    <row r="700" spans="1:6" x14ac:dyDescent="0.2">
      <c r="A700" s="275"/>
      <c r="B700" s="78"/>
      <c r="C700" s="189"/>
      <c r="D700" s="185"/>
      <c r="E700" s="186"/>
      <c r="F700" s="187"/>
    </row>
    <row r="701" spans="1:6" x14ac:dyDescent="0.2">
      <c r="A701" s="275"/>
      <c r="B701" s="78"/>
      <c r="C701" s="189"/>
      <c r="D701" s="185"/>
      <c r="E701" s="186"/>
      <c r="F701" s="187"/>
    </row>
    <row r="702" spans="1:6" x14ac:dyDescent="0.2">
      <c r="A702" s="275"/>
      <c r="B702" s="78"/>
      <c r="C702" s="189"/>
      <c r="D702" s="185"/>
      <c r="E702" s="186"/>
      <c r="F702" s="187"/>
    </row>
    <row r="703" spans="1:6" x14ac:dyDescent="0.2">
      <c r="A703" s="275"/>
      <c r="B703" s="78"/>
      <c r="C703" s="189"/>
      <c r="D703" s="185"/>
      <c r="E703" s="186"/>
      <c r="F703" s="187"/>
    </row>
    <row r="704" spans="1:6" x14ac:dyDescent="0.2">
      <c r="A704" s="275"/>
      <c r="B704" s="78"/>
      <c r="C704" s="189"/>
      <c r="D704" s="185"/>
      <c r="E704" s="186"/>
      <c r="F704" s="187"/>
    </row>
    <row r="705" spans="1:6" x14ac:dyDescent="0.2">
      <c r="A705" s="275"/>
      <c r="B705" s="78"/>
      <c r="C705" s="189"/>
      <c r="D705" s="185"/>
      <c r="E705" s="186"/>
      <c r="F705" s="187"/>
    </row>
    <row r="706" spans="1:6" x14ac:dyDescent="0.2">
      <c r="A706" s="275"/>
      <c r="B706" s="78"/>
      <c r="C706" s="189"/>
      <c r="D706" s="185"/>
      <c r="E706" s="186"/>
      <c r="F706" s="187"/>
    </row>
    <row r="707" spans="1:6" x14ac:dyDescent="0.2">
      <c r="A707" s="275"/>
      <c r="B707" s="78"/>
      <c r="C707" s="189"/>
      <c r="D707" s="185"/>
      <c r="E707" s="186"/>
      <c r="F707" s="187"/>
    </row>
    <row r="708" spans="1:6" x14ac:dyDescent="0.2">
      <c r="A708" s="275"/>
      <c r="B708" s="78"/>
      <c r="C708" s="189"/>
      <c r="D708" s="185"/>
      <c r="E708" s="186"/>
      <c r="F708" s="187"/>
    </row>
    <row r="709" spans="1:6" x14ac:dyDescent="0.2">
      <c r="A709" s="275"/>
      <c r="B709" s="78"/>
      <c r="C709" s="189"/>
      <c r="D709" s="185"/>
      <c r="E709" s="186"/>
      <c r="F709" s="187"/>
    </row>
    <row r="710" spans="1:6" x14ac:dyDescent="0.2">
      <c r="A710" s="275"/>
      <c r="B710" s="78"/>
      <c r="C710" s="189"/>
      <c r="D710" s="185"/>
      <c r="E710" s="186"/>
      <c r="F710" s="187"/>
    </row>
    <row r="711" spans="1:6" x14ac:dyDescent="0.2">
      <c r="A711" s="275"/>
      <c r="B711" s="78"/>
      <c r="C711" s="189"/>
      <c r="D711" s="185"/>
      <c r="E711" s="186"/>
      <c r="F711" s="187"/>
    </row>
    <row r="712" spans="1:6" x14ac:dyDescent="0.2">
      <c r="A712" s="275"/>
      <c r="B712" s="78"/>
      <c r="C712" s="189"/>
      <c r="D712" s="185"/>
      <c r="E712" s="186"/>
      <c r="F712" s="187"/>
    </row>
    <row r="713" spans="1:6" x14ac:dyDescent="0.2">
      <c r="A713" s="275"/>
      <c r="B713" s="78"/>
      <c r="C713" s="189"/>
      <c r="D713" s="185"/>
      <c r="E713" s="186"/>
      <c r="F713" s="187"/>
    </row>
    <row r="714" spans="1:6" x14ac:dyDescent="0.2">
      <c r="A714" s="275"/>
      <c r="B714" s="78"/>
      <c r="C714" s="189"/>
      <c r="D714" s="185"/>
      <c r="E714" s="186"/>
      <c r="F714" s="187"/>
    </row>
    <row r="715" spans="1:6" x14ac:dyDescent="0.2">
      <c r="A715" s="275"/>
      <c r="B715" s="78"/>
      <c r="C715" s="189"/>
      <c r="D715" s="185"/>
      <c r="E715" s="186"/>
      <c r="F715" s="187"/>
    </row>
    <row r="716" spans="1:6" x14ac:dyDescent="0.2">
      <c r="A716" s="275"/>
      <c r="B716" s="78"/>
      <c r="C716" s="189"/>
      <c r="D716" s="185"/>
      <c r="E716" s="186"/>
      <c r="F716" s="187"/>
    </row>
    <row r="717" spans="1:6" x14ac:dyDescent="0.2">
      <c r="A717" s="275"/>
      <c r="B717" s="78"/>
      <c r="C717" s="189"/>
      <c r="D717" s="185"/>
      <c r="E717" s="186"/>
      <c r="F717" s="187"/>
    </row>
    <row r="718" spans="1:6" x14ac:dyDescent="0.2">
      <c r="A718" s="275"/>
      <c r="B718" s="78"/>
      <c r="C718" s="189"/>
      <c r="D718" s="185"/>
      <c r="E718" s="186"/>
      <c r="F718" s="187"/>
    </row>
    <row r="719" spans="1:6" x14ac:dyDescent="0.2">
      <c r="A719" s="275"/>
      <c r="B719" s="78"/>
      <c r="C719" s="189"/>
      <c r="D719" s="185"/>
      <c r="E719" s="186"/>
      <c r="F719" s="187"/>
    </row>
    <row r="720" spans="1:6" x14ac:dyDescent="0.2">
      <c r="A720" s="275"/>
      <c r="B720" s="78"/>
      <c r="C720" s="189"/>
      <c r="D720" s="185"/>
      <c r="E720" s="186"/>
      <c r="F720" s="187"/>
    </row>
    <row r="721" spans="1:6" x14ac:dyDescent="0.2">
      <c r="A721" s="275"/>
      <c r="B721" s="78"/>
      <c r="C721" s="189"/>
      <c r="D721" s="185"/>
      <c r="E721" s="186"/>
      <c r="F721" s="187"/>
    </row>
    <row r="722" spans="1:6" x14ac:dyDescent="0.2">
      <c r="A722" s="275"/>
      <c r="B722" s="78"/>
      <c r="C722" s="189"/>
      <c r="D722" s="185"/>
      <c r="E722" s="186"/>
      <c r="F722" s="187"/>
    </row>
    <row r="723" spans="1:6" x14ac:dyDescent="0.2">
      <c r="A723" s="275"/>
      <c r="B723" s="78"/>
      <c r="C723" s="189"/>
      <c r="D723" s="185"/>
      <c r="E723" s="186"/>
      <c r="F723" s="187"/>
    </row>
    <row r="724" spans="1:6" x14ac:dyDescent="0.2">
      <c r="A724" s="275"/>
      <c r="B724" s="78"/>
      <c r="C724" s="189"/>
      <c r="D724" s="185"/>
      <c r="E724" s="186"/>
      <c r="F724" s="187"/>
    </row>
    <row r="725" spans="1:6" x14ac:dyDescent="0.2">
      <c r="A725" s="275"/>
      <c r="B725" s="78"/>
      <c r="C725" s="189"/>
      <c r="D725" s="185"/>
      <c r="E725" s="186"/>
      <c r="F725" s="187"/>
    </row>
    <row r="726" spans="1:6" x14ac:dyDescent="0.2">
      <c r="A726" s="275"/>
      <c r="B726" s="78"/>
      <c r="C726" s="189"/>
      <c r="D726" s="185"/>
      <c r="E726" s="186"/>
      <c r="F726" s="187"/>
    </row>
    <row r="727" spans="1:6" x14ac:dyDescent="0.2">
      <c r="A727" s="275"/>
      <c r="B727" s="78"/>
      <c r="C727" s="189"/>
      <c r="D727" s="185"/>
      <c r="E727" s="186"/>
      <c r="F727" s="187"/>
    </row>
    <row r="728" spans="1:6" x14ac:dyDescent="0.2">
      <c r="A728" s="275"/>
      <c r="B728" s="78"/>
      <c r="C728" s="189"/>
      <c r="D728" s="185"/>
      <c r="E728" s="186"/>
      <c r="F728" s="187"/>
    </row>
    <row r="729" spans="1:6" x14ac:dyDescent="0.2">
      <c r="A729" s="275"/>
      <c r="B729" s="78"/>
      <c r="C729" s="189"/>
      <c r="D729" s="185"/>
      <c r="E729" s="186"/>
      <c r="F729" s="187"/>
    </row>
    <row r="730" spans="1:6" x14ac:dyDescent="0.2">
      <c r="A730" s="275"/>
      <c r="B730" s="78"/>
      <c r="C730" s="189"/>
      <c r="D730" s="185"/>
      <c r="E730" s="186"/>
      <c r="F730" s="187"/>
    </row>
    <row r="731" spans="1:6" x14ac:dyDescent="0.2">
      <c r="A731" s="275"/>
      <c r="B731" s="78"/>
      <c r="C731" s="189"/>
      <c r="D731" s="185"/>
      <c r="E731" s="186"/>
      <c r="F731" s="187"/>
    </row>
    <row r="732" spans="1:6" x14ac:dyDescent="0.2">
      <c r="A732" s="275"/>
      <c r="B732" s="78"/>
      <c r="C732" s="189"/>
      <c r="D732" s="185"/>
      <c r="E732" s="186"/>
      <c r="F732" s="187"/>
    </row>
    <row r="733" spans="1:6" x14ac:dyDescent="0.2">
      <c r="A733" s="275"/>
      <c r="B733" s="78"/>
      <c r="C733" s="189"/>
      <c r="D733" s="185"/>
      <c r="E733" s="186"/>
      <c r="F733" s="187"/>
    </row>
    <row r="734" spans="1:6" x14ac:dyDescent="0.2">
      <c r="A734" s="275"/>
      <c r="B734" s="78"/>
      <c r="C734" s="189"/>
      <c r="D734" s="185"/>
      <c r="E734" s="186"/>
      <c r="F734" s="187"/>
    </row>
    <row r="735" spans="1:6" x14ac:dyDescent="0.2">
      <c r="A735" s="275"/>
      <c r="B735" s="78"/>
      <c r="C735" s="189"/>
      <c r="D735" s="185"/>
      <c r="E735" s="186"/>
      <c r="F735" s="187"/>
    </row>
    <row r="736" spans="1:6" x14ac:dyDescent="0.2">
      <c r="A736" s="275"/>
      <c r="B736" s="78"/>
      <c r="C736" s="189"/>
      <c r="D736" s="185"/>
      <c r="E736" s="186"/>
      <c r="F736" s="187"/>
    </row>
    <row r="737" spans="1:6" x14ac:dyDescent="0.2">
      <c r="A737" s="275"/>
      <c r="B737" s="78"/>
      <c r="C737" s="189"/>
      <c r="D737" s="185"/>
      <c r="E737" s="186"/>
      <c r="F737" s="187"/>
    </row>
    <row r="738" spans="1:6" x14ac:dyDescent="0.2">
      <c r="A738" s="275"/>
      <c r="B738" s="78"/>
      <c r="C738" s="189"/>
      <c r="D738" s="185"/>
      <c r="E738" s="186"/>
      <c r="F738" s="187"/>
    </row>
    <row r="739" spans="1:6" x14ac:dyDescent="0.2">
      <c r="A739" s="275"/>
      <c r="B739" s="78"/>
      <c r="C739" s="189"/>
      <c r="D739" s="185"/>
      <c r="E739" s="186"/>
      <c r="F739" s="187"/>
    </row>
    <row r="740" spans="1:6" x14ac:dyDescent="0.2">
      <c r="A740" s="275"/>
      <c r="B740" s="78"/>
      <c r="C740" s="189"/>
      <c r="D740" s="185"/>
      <c r="E740" s="186"/>
      <c r="F740" s="187"/>
    </row>
    <row r="741" spans="1:6" x14ac:dyDescent="0.2">
      <c r="A741" s="275"/>
      <c r="B741" s="78"/>
      <c r="C741" s="189"/>
      <c r="D741" s="185"/>
      <c r="E741" s="186"/>
      <c r="F741" s="187"/>
    </row>
    <row r="742" spans="1:6" x14ac:dyDescent="0.2">
      <c r="A742" s="275"/>
      <c r="B742" s="78"/>
      <c r="C742" s="189"/>
      <c r="D742" s="185"/>
      <c r="E742" s="186"/>
      <c r="F742" s="187"/>
    </row>
    <row r="743" spans="1:6" x14ac:dyDescent="0.2">
      <c r="A743" s="275"/>
      <c r="B743" s="78"/>
      <c r="C743" s="189"/>
      <c r="D743" s="185"/>
      <c r="E743" s="186"/>
      <c r="F743" s="187"/>
    </row>
    <row r="744" spans="1:6" x14ac:dyDescent="0.2">
      <c r="A744" s="275"/>
      <c r="B744" s="78"/>
      <c r="C744" s="189"/>
      <c r="D744" s="185"/>
      <c r="E744" s="186"/>
      <c r="F744" s="187"/>
    </row>
    <row r="745" spans="1:6" x14ac:dyDescent="0.2">
      <c r="A745" s="275"/>
      <c r="B745" s="78"/>
      <c r="C745" s="189"/>
      <c r="D745" s="185"/>
      <c r="E745" s="186"/>
      <c r="F745" s="187"/>
    </row>
    <row r="746" spans="1:6" x14ac:dyDescent="0.2">
      <c r="A746" s="275"/>
      <c r="B746" s="78"/>
      <c r="C746" s="189"/>
      <c r="D746" s="185"/>
      <c r="E746" s="186"/>
      <c r="F746" s="187"/>
    </row>
    <row r="747" spans="1:6" x14ac:dyDescent="0.2">
      <c r="A747" s="275"/>
      <c r="B747" s="78"/>
      <c r="C747" s="189"/>
      <c r="D747" s="185"/>
      <c r="E747" s="186"/>
      <c r="F747" s="187"/>
    </row>
    <row r="748" spans="1:6" x14ac:dyDescent="0.2">
      <c r="A748" s="275"/>
      <c r="B748" s="78"/>
      <c r="C748" s="189"/>
      <c r="D748" s="185"/>
      <c r="E748" s="186"/>
      <c r="F748" s="187"/>
    </row>
    <row r="749" spans="1:6" x14ac:dyDescent="0.2">
      <c r="A749" s="275"/>
      <c r="B749" s="78"/>
      <c r="C749" s="189"/>
      <c r="D749" s="185"/>
      <c r="E749" s="186"/>
      <c r="F749" s="187"/>
    </row>
    <row r="750" spans="1:6" x14ac:dyDescent="0.2">
      <c r="A750" s="275"/>
      <c r="B750" s="78"/>
      <c r="C750" s="189"/>
      <c r="D750" s="185"/>
      <c r="E750" s="186"/>
      <c r="F750" s="187"/>
    </row>
    <row r="751" spans="1:6" x14ac:dyDescent="0.2">
      <c r="A751" s="275"/>
      <c r="B751" s="78"/>
      <c r="C751" s="189"/>
      <c r="D751" s="185"/>
      <c r="E751" s="186"/>
      <c r="F751" s="187"/>
    </row>
    <row r="752" spans="1:6" x14ac:dyDescent="0.2">
      <c r="A752" s="275"/>
      <c r="B752" s="78"/>
      <c r="C752" s="189"/>
      <c r="D752" s="185"/>
      <c r="E752" s="186"/>
      <c r="F752" s="187"/>
    </row>
    <row r="753" spans="1:6" x14ac:dyDescent="0.2">
      <c r="A753" s="275"/>
      <c r="B753" s="78"/>
      <c r="C753" s="189"/>
      <c r="D753" s="185"/>
      <c r="E753" s="186"/>
      <c r="F753" s="187"/>
    </row>
    <row r="754" spans="1:6" x14ac:dyDescent="0.2">
      <c r="A754" s="275"/>
      <c r="B754" s="78"/>
      <c r="C754" s="189"/>
      <c r="D754" s="185"/>
      <c r="E754" s="186"/>
      <c r="F754" s="187"/>
    </row>
    <row r="755" spans="1:6" x14ac:dyDescent="0.2">
      <c r="A755" s="275"/>
      <c r="B755" s="78"/>
      <c r="C755" s="189"/>
      <c r="D755" s="185"/>
      <c r="E755" s="186"/>
      <c r="F755" s="187"/>
    </row>
    <row r="756" spans="1:6" x14ac:dyDescent="0.2">
      <c r="A756" s="275"/>
      <c r="B756" s="78"/>
      <c r="C756" s="189"/>
      <c r="D756" s="185"/>
      <c r="E756" s="186"/>
      <c r="F756" s="187"/>
    </row>
    <row r="757" spans="1:6" x14ac:dyDescent="0.2">
      <c r="A757" s="275"/>
      <c r="B757" s="78"/>
      <c r="C757" s="189"/>
      <c r="D757" s="185"/>
      <c r="E757" s="186"/>
      <c r="F757" s="187"/>
    </row>
    <row r="758" spans="1:6" x14ac:dyDescent="0.2">
      <c r="A758" s="275"/>
      <c r="B758" s="78"/>
      <c r="C758" s="189"/>
      <c r="D758" s="185"/>
      <c r="E758" s="186"/>
      <c r="F758" s="187"/>
    </row>
    <row r="759" spans="1:6" x14ac:dyDescent="0.2">
      <c r="A759" s="275"/>
      <c r="B759" s="78"/>
      <c r="C759" s="189"/>
      <c r="D759" s="185"/>
      <c r="E759" s="186"/>
      <c r="F759" s="187"/>
    </row>
    <row r="760" spans="1:6" x14ac:dyDescent="0.2">
      <c r="A760" s="275"/>
      <c r="B760" s="78"/>
      <c r="C760" s="189"/>
      <c r="D760" s="185"/>
      <c r="E760" s="186"/>
      <c r="F760" s="187"/>
    </row>
    <row r="761" spans="1:6" x14ac:dyDescent="0.2">
      <c r="A761" s="275"/>
      <c r="B761" s="78"/>
      <c r="C761" s="189"/>
      <c r="D761" s="185"/>
      <c r="E761" s="186"/>
      <c r="F761" s="187"/>
    </row>
    <row r="762" spans="1:6" x14ac:dyDescent="0.2">
      <c r="A762" s="275"/>
      <c r="B762" s="78"/>
      <c r="C762" s="189"/>
      <c r="D762" s="185"/>
      <c r="E762" s="186"/>
      <c r="F762" s="187"/>
    </row>
    <row r="763" spans="1:6" x14ac:dyDescent="0.2">
      <c r="A763" s="275"/>
      <c r="B763" s="78"/>
      <c r="C763" s="189"/>
      <c r="D763" s="185"/>
      <c r="E763" s="186"/>
      <c r="F763" s="187"/>
    </row>
    <row r="764" spans="1:6" x14ac:dyDescent="0.2">
      <c r="A764" s="275"/>
      <c r="B764" s="78"/>
      <c r="C764" s="189"/>
      <c r="D764" s="185"/>
      <c r="E764" s="186"/>
      <c r="F764" s="187"/>
    </row>
    <row r="765" spans="1:6" x14ac:dyDescent="0.2">
      <c r="A765" s="275"/>
      <c r="B765" s="78"/>
      <c r="C765" s="189"/>
      <c r="D765" s="185"/>
      <c r="E765" s="186"/>
      <c r="F765" s="187"/>
    </row>
    <row r="766" spans="1:6" x14ac:dyDescent="0.2">
      <c r="A766" s="275"/>
      <c r="B766" s="78"/>
      <c r="C766" s="189"/>
      <c r="D766" s="185"/>
      <c r="E766" s="186"/>
      <c r="F766" s="187"/>
    </row>
    <row r="767" spans="1:6" x14ac:dyDescent="0.2">
      <c r="A767" s="275"/>
      <c r="B767" s="78"/>
      <c r="C767" s="189"/>
      <c r="D767" s="185"/>
      <c r="E767" s="186"/>
      <c r="F767" s="187"/>
    </row>
    <row r="768" spans="1:6" x14ac:dyDescent="0.2">
      <c r="A768" s="275"/>
      <c r="B768" s="78"/>
      <c r="C768" s="189"/>
      <c r="D768" s="185"/>
      <c r="E768" s="186"/>
      <c r="F768" s="187"/>
    </row>
    <row r="769" spans="1:6" x14ac:dyDescent="0.2">
      <c r="A769" s="275"/>
      <c r="B769" s="78"/>
      <c r="C769" s="189"/>
      <c r="D769" s="185"/>
      <c r="E769" s="186"/>
      <c r="F769" s="187"/>
    </row>
    <row r="770" spans="1:6" x14ac:dyDescent="0.2">
      <c r="A770" s="275"/>
      <c r="B770" s="78"/>
      <c r="C770" s="189"/>
      <c r="D770" s="185"/>
      <c r="E770" s="186"/>
      <c r="F770" s="187"/>
    </row>
    <row r="771" spans="1:6" x14ac:dyDescent="0.2">
      <c r="A771" s="275"/>
      <c r="B771" s="78"/>
      <c r="C771" s="189"/>
      <c r="D771" s="185"/>
      <c r="E771" s="186"/>
      <c r="F771" s="187"/>
    </row>
    <row r="772" spans="1:6" x14ac:dyDescent="0.2">
      <c r="A772" s="275"/>
      <c r="B772" s="78"/>
      <c r="C772" s="189"/>
      <c r="D772" s="185"/>
      <c r="E772" s="186"/>
      <c r="F772" s="187"/>
    </row>
    <row r="773" spans="1:6" x14ac:dyDescent="0.2">
      <c r="A773" s="275"/>
      <c r="B773" s="78"/>
      <c r="C773" s="189"/>
      <c r="D773" s="185"/>
      <c r="E773" s="186"/>
      <c r="F773" s="187"/>
    </row>
    <row r="774" spans="1:6" x14ac:dyDescent="0.2">
      <c r="A774" s="275"/>
      <c r="B774" s="78"/>
      <c r="C774" s="189"/>
      <c r="D774" s="185"/>
      <c r="E774" s="186"/>
      <c r="F774" s="187"/>
    </row>
    <row r="775" spans="1:6" x14ac:dyDescent="0.2">
      <c r="A775" s="275"/>
      <c r="B775" s="78"/>
      <c r="C775" s="189"/>
      <c r="D775" s="185"/>
      <c r="E775" s="186"/>
      <c r="F775" s="187"/>
    </row>
    <row r="776" spans="1:6" x14ac:dyDescent="0.2">
      <c r="A776" s="275"/>
      <c r="B776" s="78"/>
      <c r="C776" s="189"/>
      <c r="D776" s="185"/>
      <c r="E776" s="186"/>
      <c r="F776" s="187"/>
    </row>
    <row r="777" spans="1:6" x14ac:dyDescent="0.2">
      <c r="A777" s="275"/>
      <c r="B777" s="78"/>
      <c r="C777" s="189"/>
      <c r="D777" s="185"/>
      <c r="E777" s="186"/>
      <c r="F777" s="187"/>
    </row>
    <row r="778" spans="1:6" x14ac:dyDescent="0.2">
      <c r="A778" s="275"/>
      <c r="B778" s="78"/>
      <c r="C778" s="189"/>
      <c r="D778" s="185"/>
      <c r="E778" s="186"/>
      <c r="F778" s="187"/>
    </row>
    <row r="779" spans="1:6" x14ac:dyDescent="0.2">
      <c r="A779" s="275"/>
      <c r="B779" s="78"/>
      <c r="C779" s="189"/>
      <c r="D779" s="185"/>
      <c r="E779" s="186"/>
      <c r="F779" s="187"/>
    </row>
    <row r="780" spans="1:6" x14ac:dyDescent="0.2">
      <c r="A780" s="275"/>
      <c r="B780" s="78"/>
      <c r="C780" s="189"/>
      <c r="D780" s="185"/>
      <c r="E780" s="186"/>
      <c r="F780" s="187"/>
    </row>
    <row r="781" spans="1:6" x14ac:dyDescent="0.2">
      <c r="A781" s="275"/>
      <c r="B781" s="78"/>
      <c r="C781" s="189"/>
      <c r="D781" s="185"/>
      <c r="E781" s="186"/>
      <c r="F781" s="187"/>
    </row>
    <row r="782" spans="1:6" x14ac:dyDescent="0.2">
      <c r="A782" s="275"/>
      <c r="B782" s="78"/>
      <c r="C782" s="189"/>
      <c r="D782" s="185"/>
      <c r="E782" s="186"/>
      <c r="F782" s="187"/>
    </row>
    <row r="783" spans="1:6" x14ac:dyDescent="0.2">
      <c r="A783" s="275"/>
      <c r="B783" s="78"/>
      <c r="C783" s="189"/>
      <c r="D783" s="185"/>
      <c r="E783" s="186"/>
      <c r="F783" s="187"/>
    </row>
    <row r="784" spans="1:6" x14ac:dyDescent="0.2">
      <c r="A784" s="275"/>
      <c r="B784" s="78"/>
      <c r="C784" s="189"/>
      <c r="D784" s="185"/>
      <c r="E784" s="186"/>
      <c r="F784" s="187"/>
    </row>
    <row r="785" spans="1:6" x14ac:dyDescent="0.2">
      <c r="A785" s="275"/>
      <c r="B785" s="78"/>
      <c r="C785" s="189"/>
      <c r="D785" s="185"/>
      <c r="E785" s="186"/>
      <c r="F785" s="187"/>
    </row>
    <row r="786" spans="1:6" x14ac:dyDescent="0.2">
      <c r="A786" s="275"/>
      <c r="B786" s="78"/>
      <c r="C786" s="189"/>
      <c r="D786" s="185"/>
      <c r="E786" s="186"/>
      <c r="F786" s="187"/>
    </row>
    <row r="787" spans="1:6" x14ac:dyDescent="0.2">
      <c r="A787" s="275"/>
      <c r="B787" s="78"/>
      <c r="C787" s="189"/>
      <c r="D787" s="185"/>
      <c r="E787" s="186"/>
      <c r="F787" s="187"/>
    </row>
    <row r="788" spans="1:6" x14ac:dyDescent="0.2">
      <c r="A788" s="275"/>
      <c r="B788" s="78"/>
      <c r="C788" s="189"/>
      <c r="D788" s="185"/>
      <c r="E788" s="186"/>
      <c r="F788" s="187"/>
    </row>
    <row r="789" spans="1:6" x14ac:dyDescent="0.2">
      <c r="A789" s="275"/>
      <c r="B789" s="78"/>
      <c r="C789" s="189"/>
      <c r="D789" s="185"/>
      <c r="E789" s="186"/>
      <c r="F789" s="187"/>
    </row>
    <row r="790" spans="1:6" x14ac:dyDescent="0.2">
      <c r="A790" s="275"/>
      <c r="B790" s="78"/>
      <c r="C790" s="189"/>
      <c r="D790" s="185"/>
      <c r="E790" s="186"/>
      <c r="F790" s="187"/>
    </row>
    <row r="791" spans="1:6" x14ac:dyDescent="0.2">
      <c r="A791" s="275"/>
      <c r="B791" s="78"/>
      <c r="C791" s="189"/>
      <c r="D791" s="185"/>
      <c r="E791" s="186"/>
      <c r="F791" s="187"/>
    </row>
    <row r="792" spans="1:6" x14ac:dyDescent="0.2">
      <c r="A792" s="275"/>
      <c r="B792" s="78"/>
      <c r="C792" s="189"/>
      <c r="D792" s="185"/>
      <c r="E792" s="186"/>
      <c r="F792" s="187"/>
    </row>
    <row r="793" spans="1:6" x14ac:dyDescent="0.2">
      <c r="A793" s="275"/>
      <c r="B793" s="78"/>
      <c r="C793" s="189"/>
      <c r="D793" s="185"/>
      <c r="E793" s="186"/>
      <c r="F793" s="187"/>
    </row>
    <row r="794" spans="1:6" x14ac:dyDescent="0.2">
      <c r="A794" s="275"/>
      <c r="B794" s="78"/>
      <c r="C794" s="189"/>
      <c r="D794" s="185"/>
      <c r="E794" s="186"/>
      <c r="F794" s="187"/>
    </row>
    <row r="795" spans="1:6" x14ac:dyDescent="0.2">
      <c r="A795" s="275"/>
      <c r="B795" s="78"/>
      <c r="C795" s="189"/>
      <c r="D795" s="185"/>
      <c r="E795" s="186"/>
      <c r="F795" s="187"/>
    </row>
    <row r="796" spans="1:6" x14ac:dyDescent="0.2">
      <c r="A796" s="275"/>
      <c r="B796" s="78"/>
      <c r="C796" s="189"/>
      <c r="D796" s="185"/>
      <c r="E796" s="186"/>
      <c r="F796" s="187"/>
    </row>
    <row r="797" spans="1:6" x14ac:dyDescent="0.2">
      <c r="A797" s="275"/>
      <c r="B797" s="78"/>
      <c r="C797" s="189"/>
      <c r="D797" s="185"/>
      <c r="E797" s="186"/>
      <c r="F797" s="187"/>
    </row>
    <row r="798" spans="1:6" x14ac:dyDescent="0.2">
      <c r="A798" s="275"/>
      <c r="B798" s="78"/>
      <c r="C798" s="189"/>
      <c r="D798" s="185"/>
      <c r="E798" s="186"/>
      <c r="F798" s="187"/>
    </row>
    <row r="799" spans="1:6" x14ac:dyDescent="0.2">
      <c r="A799" s="275"/>
      <c r="B799" s="78"/>
      <c r="C799" s="189"/>
      <c r="D799" s="185"/>
      <c r="E799" s="186"/>
      <c r="F799" s="187"/>
    </row>
    <row r="800" spans="1:6" x14ac:dyDescent="0.2">
      <c r="A800" s="275"/>
      <c r="B800" s="78"/>
      <c r="C800" s="189"/>
      <c r="D800" s="185"/>
      <c r="E800" s="186"/>
      <c r="F800" s="187"/>
    </row>
    <row r="801" spans="1:6" x14ac:dyDescent="0.2">
      <c r="A801" s="275"/>
      <c r="B801" s="78"/>
      <c r="C801" s="189"/>
      <c r="D801" s="185"/>
      <c r="E801" s="186"/>
      <c r="F801" s="187"/>
    </row>
    <row r="802" spans="1:6" x14ac:dyDescent="0.2">
      <c r="A802" s="275"/>
      <c r="B802" s="78"/>
      <c r="C802" s="189"/>
      <c r="D802" s="185"/>
      <c r="E802" s="186"/>
      <c r="F802" s="187"/>
    </row>
    <row r="803" spans="1:6" x14ac:dyDescent="0.2">
      <c r="A803" s="275"/>
      <c r="B803" s="78"/>
      <c r="C803" s="189"/>
      <c r="D803" s="185"/>
      <c r="E803" s="186"/>
      <c r="F803" s="187"/>
    </row>
    <row r="804" spans="1:6" x14ac:dyDescent="0.2">
      <c r="A804" s="275"/>
      <c r="B804" s="78"/>
      <c r="C804" s="189"/>
      <c r="D804" s="185"/>
      <c r="E804" s="186"/>
      <c r="F804" s="187"/>
    </row>
    <row r="805" spans="1:6" x14ac:dyDescent="0.2">
      <c r="A805" s="275"/>
      <c r="B805" s="78"/>
      <c r="C805" s="189"/>
      <c r="D805" s="185"/>
      <c r="E805" s="186"/>
      <c r="F805" s="187"/>
    </row>
    <row r="806" spans="1:6" x14ac:dyDescent="0.2">
      <c r="A806" s="275"/>
      <c r="B806" s="78"/>
      <c r="C806" s="189"/>
      <c r="D806" s="185"/>
      <c r="E806" s="186"/>
      <c r="F806" s="187"/>
    </row>
    <row r="807" spans="1:6" x14ac:dyDescent="0.2">
      <c r="A807" s="275"/>
      <c r="B807" s="78"/>
      <c r="C807" s="189"/>
      <c r="D807" s="185"/>
      <c r="E807" s="186"/>
      <c r="F807" s="187"/>
    </row>
    <row r="808" spans="1:6" x14ac:dyDescent="0.2">
      <c r="A808" s="275"/>
      <c r="B808" s="78"/>
      <c r="C808" s="189"/>
      <c r="D808" s="185"/>
      <c r="E808" s="186"/>
      <c r="F808" s="187"/>
    </row>
    <row r="809" spans="1:6" x14ac:dyDescent="0.2">
      <c r="A809" s="275"/>
      <c r="B809" s="78"/>
      <c r="C809" s="189"/>
      <c r="D809" s="185"/>
      <c r="E809" s="186"/>
      <c r="F809" s="187"/>
    </row>
    <row r="810" spans="1:6" x14ac:dyDescent="0.2">
      <c r="A810" s="275"/>
      <c r="B810" s="78"/>
      <c r="C810" s="189"/>
      <c r="D810" s="185"/>
      <c r="E810" s="186"/>
      <c r="F810" s="187"/>
    </row>
    <row r="811" spans="1:6" x14ac:dyDescent="0.2">
      <c r="A811" s="275"/>
      <c r="B811" s="78"/>
      <c r="C811" s="189"/>
      <c r="D811" s="185"/>
      <c r="E811" s="186"/>
      <c r="F811" s="187"/>
    </row>
    <row r="812" spans="1:6" x14ac:dyDescent="0.2">
      <c r="A812" s="275"/>
      <c r="B812" s="78"/>
      <c r="C812" s="189"/>
      <c r="D812" s="185"/>
      <c r="E812" s="186"/>
      <c r="F812" s="187"/>
    </row>
    <row r="813" spans="1:6" x14ac:dyDescent="0.2">
      <c r="A813" s="275"/>
      <c r="B813" s="78"/>
      <c r="C813" s="189"/>
      <c r="D813" s="185"/>
      <c r="E813" s="186"/>
      <c r="F813" s="187"/>
    </row>
    <row r="814" spans="1:6" x14ac:dyDescent="0.2">
      <c r="A814" s="275"/>
      <c r="B814" s="78"/>
      <c r="C814" s="189"/>
      <c r="D814" s="185"/>
      <c r="E814" s="186"/>
      <c r="F814" s="187"/>
    </row>
    <row r="815" spans="1:6" x14ac:dyDescent="0.2">
      <c r="A815" s="275"/>
      <c r="B815" s="78"/>
      <c r="C815" s="189"/>
      <c r="D815" s="185"/>
      <c r="E815" s="186"/>
      <c r="F815" s="187"/>
    </row>
    <row r="816" spans="1:6" x14ac:dyDescent="0.2">
      <c r="A816" s="275"/>
      <c r="B816" s="78"/>
      <c r="C816" s="189"/>
      <c r="D816" s="185"/>
      <c r="E816" s="186"/>
      <c r="F816" s="187"/>
    </row>
    <row r="817" spans="1:6" x14ac:dyDescent="0.2">
      <c r="A817" s="275"/>
      <c r="B817" s="78"/>
      <c r="C817" s="189"/>
      <c r="D817" s="185"/>
      <c r="E817" s="186"/>
      <c r="F817" s="187"/>
    </row>
    <row r="818" spans="1:6" x14ac:dyDescent="0.2">
      <c r="A818" s="275"/>
      <c r="B818" s="78"/>
      <c r="C818" s="189"/>
      <c r="D818" s="185"/>
      <c r="E818" s="186"/>
      <c r="F818" s="187"/>
    </row>
    <row r="819" spans="1:6" x14ac:dyDescent="0.2">
      <c r="A819" s="275"/>
      <c r="B819" s="78"/>
      <c r="C819" s="189"/>
      <c r="D819" s="185"/>
      <c r="E819" s="186"/>
      <c r="F819" s="187"/>
    </row>
    <row r="820" spans="1:6" x14ac:dyDescent="0.2">
      <c r="A820" s="275"/>
      <c r="B820" s="78"/>
      <c r="C820" s="189"/>
      <c r="D820" s="185"/>
      <c r="E820" s="186"/>
      <c r="F820" s="187"/>
    </row>
    <row r="821" spans="1:6" x14ac:dyDescent="0.2">
      <c r="A821" s="275"/>
      <c r="B821" s="78"/>
      <c r="C821" s="189"/>
      <c r="D821" s="185"/>
      <c r="E821" s="186"/>
      <c r="F821" s="187"/>
    </row>
    <row r="822" spans="1:6" x14ac:dyDescent="0.2">
      <c r="A822" s="275"/>
      <c r="B822" s="78"/>
      <c r="C822" s="189"/>
      <c r="D822" s="185"/>
      <c r="E822" s="186"/>
      <c r="F822" s="187"/>
    </row>
    <row r="823" spans="1:6" x14ac:dyDescent="0.2">
      <c r="A823" s="275"/>
      <c r="B823" s="78"/>
      <c r="C823" s="189"/>
      <c r="D823" s="185"/>
      <c r="E823" s="186"/>
      <c r="F823" s="187"/>
    </row>
    <row r="824" spans="1:6" x14ac:dyDescent="0.2">
      <c r="A824" s="275"/>
      <c r="B824" s="78"/>
      <c r="C824" s="189"/>
      <c r="D824" s="185"/>
      <c r="E824" s="186"/>
      <c r="F824" s="187"/>
    </row>
    <row r="825" spans="1:6" x14ac:dyDescent="0.2">
      <c r="A825" s="275"/>
      <c r="B825" s="78"/>
      <c r="C825" s="189"/>
      <c r="D825" s="185"/>
      <c r="E825" s="186"/>
      <c r="F825" s="187"/>
    </row>
    <row r="826" spans="1:6" x14ac:dyDescent="0.2">
      <c r="A826" s="275"/>
      <c r="B826" s="78"/>
      <c r="C826" s="189"/>
      <c r="D826" s="185"/>
      <c r="E826" s="186"/>
      <c r="F826" s="187"/>
    </row>
    <row r="827" spans="1:6" x14ac:dyDescent="0.2">
      <c r="A827" s="275"/>
      <c r="B827" s="78"/>
      <c r="C827" s="189"/>
      <c r="D827" s="185"/>
      <c r="E827" s="186"/>
      <c r="F827" s="187"/>
    </row>
    <row r="828" spans="1:6" x14ac:dyDescent="0.2">
      <c r="A828" s="275"/>
      <c r="B828" s="78"/>
      <c r="C828" s="189"/>
      <c r="D828" s="185"/>
      <c r="E828" s="186"/>
      <c r="F828" s="187"/>
    </row>
    <row r="829" spans="1:6" x14ac:dyDescent="0.2">
      <c r="A829" s="275"/>
      <c r="B829" s="78"/>
      <c r="C829" s="189"/>
      <c r="D829" s="185"/>
      <c r="E829" s="186"/>
      <c r="F829" s="187"/>
    </row>
    <row r="830" spans="1:6" x14ac:dyDescent="0.2">
      <c r="A830" s="275"/>
      <c r="B830" s="78"/>
      <c r="C830" s="189"/>
      <c r="D830" s="185"/>
      <c r="E830" s="186"/>
      <c r="F830" s="187"/>
    </row>
    <row r="831" spans="1:6" x14ac:dyDescent="0.2">
      <c r="A831" s="275"/>
      <c r="B831" s="78"/>
      <c r="C831" s="189"/>
      <c r="D831" s="185"/>
      <c r="E831" s="186"/>
      <c r="F831" s="187"/>
    </row>
    <row r="832" spans="1:6" x14ac:dyDescent="0.2">
      <c r="A832" s="275"/>
      <c r="B832" s="78"/>
      <c r="C832" s="189"/>
      <c r="D832" s="185"/>
      <c r="E832" s="186"/>
      <c r="F832" s="187"/>
    </row>
    <row r="833" spans="1:6" x14ac:dyDescent="0.2">
      <c r="A833" s="275"/>
      <c r="B833" s="78"/>
      <c r="C833" s="189"/>
      <c r="D833" s="185"/>
      <c r="E833" s="186"/>
      <c r="F833" s="187"/>
    </row>
    <row r="834" spans="1:6" x14ac:dyDescent="0.2">
      <c r="A834" s="275"/>
      <c r="B834" s="78"/>
      <c r="C834" s="189"/>
      <c r="D834" s="185"/>
      <c r="E834" s="186"/>
      <c r="F834" s="187"/>
    </row>
    <row r="835" spans="1:6" x14ac:dyDescent="0.2">
      <c r="A835" s="275"/>
      <c r="B835" s="78"/>
      <c r="C835" s="189"/>
      <c r="D835" s="185"/>
      <c r="E835" s="186"/>
      <c r="F835" s="187"/>
    </row>
    <row r="836" spans="1:6" x14ac:dyDescent="0.2">
      <c r="A836" s="275"/>
      <c r="B836" s="78"/>
      <c r="C836" s="189"/>
      <c r="D836" s="185"/>
      <c r="E836" s="186"/>
      <c r="F836" s="187"/>
    </row>
    <row r="837" spans="1:6" x14ac:dyDescent="0.2">
      <c r="A837" s="275"/>
      <c r="B837" s="78"/>
      <c r="C837" s="189"/>
      <c r="D837" s="185"/>
      <c r="E837" s="186"/>
      <c r="F837" s="187"/>
    </row>
    <row r="838" spans="1:6" x14ac:dyDescent="0.2">
      <c r="A838" s="275"/>
      <c r="B838" s="78"/>
      <c r="C838" s="189"/>
      <c r="D838" s="185"/>
      <c r="E838" s="186"/>
      <c r="F838" s="187"/>
    </row>
    <row r="839" spans="1:6" x14ac:dyDescent="0.2">
      <c r="A839" s="275"/>
      <c r="B839" s="78"/>
      <c r="C839" s="189"/>
      <c r="D839" s="185"/>
      <c r="E839" s="186"/>
      <c r="F839" s="187"/>
    </row>
    <row r="840" spans="1:6" x14ac:dyDescent="0.2">
      <c r="A840" s="275"/>
      <c r="B840" s="78"/>
      <c r="C840" s="189"/>
      <c r="D840" s="185"/>
      <c r="E840" s="186"/>
      <c r="F840" s="187"/>
    </row>
    <row r="841" spans="1:6" x14ac:dyDescent="0.2">
      <c r="A841" s="275"/>
      <c r="B841" s="78"/>
      <c r="C841" s="189"/>
      <c r="D841" s="185"/>
      <c r="E841" s="186"/>
      <c r="F841" s="187"/>
    </row>
    <row r="842" spans="1:6" x14ac:dyDescent="0.2">
      <c r="A842" s="275"/>
      <c r="B842" s="78"/>
      <c r="C842" s="189"/>
      <c r="D842" s="185"/>
      <c r="E842" s="186"/>
      <c r="F842" s="187"/>
    </row>
    <row r="843" spans="1:6" x14ac:dyDescent="0.2">
      <c r="A843" s="275"/>
      <c r="B843" s="78"/>
      <c r="C843" s="189"/>
      <c r="D843" s="185"/>
      <c r="E843" s="186"/>
      <c r="F843" s="187"/>
    </row>
    <row r="844" spans="1:6" x14ac:dyDescent="0.2">
      <c r="A844" s="275"/>
      <c r="B844" s="78"/>
      <c r="C844" s="189"/>
      <c r="D844" s="185"/>
      <c r="E844" s="186"/>
      <c r="F844" s="187"/>
    </row>
    <row r="845" spans="1:6" x14ac:dyDescent="0.2">
      <c r="A845" s="275"/>
      <c r="B845" s="78"/>
      <c r="C845" s="189"/>
      <c r="D845" s="185"/>
      <c r="E845" s="186"/>
      <c r="F845" s="187"/>
    </row>
    <row r="846" spans="1:6" x14ac:dyDescent="0.2">
      <c r="A846" s="275"/>
      <c r="B846" s="78"/>
      <c r="C846" s="189"/>
      <c r="D846" s="185"/>
      <c r="E846" s="186"/>
      <c r="F846" s="187"/>
    </row>
    <row r="847" spans="1:6" x14ac:dyDescent="0.2">
      <c r="A847" s="275"/>
      <c r="B847" s="78"/>
      <c r="C847" s="189"/>
      <c r="D847" s="185"/>
      <c r="E847" s="186"/>
      <c r="F847" s="187"/>
    </row>
    <row r="848" spans="1:6" x14ac:dyDescent="0.2">
      <c r="A848" s="275"/>
      <c r="B848" s="78"/>
      <c r="C848" s="189"/>
      <c r="D848" s="185"/>
      <c r="E848" s="186"/>
      <c r="F848" s="187"/>
    </row>
    <row r="849" spans="1:6" x14ac:dyDescent="0.2">
      <c r="A849" s="275"/>
      <c r="B849" s="78"/>
      <c r="C849" s="189"/>
      <c r="D849" s="185"/>
      <c r="E849" s="186"/>
      <c r="F849" s="187"/>
    </row>
    <row r="850" spans="1:6" x14ac:dyDescent="0.2">
      <c r="A850" s="275"/>
      <c r="B850" s="78"/>
      <c r="C850" s="189"/>
      <c r="D850" s="185"/>
      <c r="E850" s="186"/>
      <c r="F850" s="187"/>
    </row>
    <row r="851" spans="1:6" x14ac:dyDescent="0.2">
      <c r="A851" s="275"/>
      <c r="B851" s="78"/>
      <c r="C851" s="189"/>
      <c r="D851" s="185"/>
      <c r="E851" s="186"/>
      <c r="F851" s="187"/>
    </row>
    <row r="852" spans="1:6" x14ac:dyDescent="0.2">
      <c r="A852" s="275"/>
      <c r="B852" s="78"/>
      <c r="C852" s="189"/>
      <c r="D852" s="185"/>
      <c r="E852" s="186"/>
      <c r="F852" s="187"/>
    </row>
    <row r="853" spans="1:6" x14ac:dyDescent="0.2">
      <c r="A853" s="275"/>
      <c r="B853" s="78"/>
      <c r="C853" s="189"/>
      <c r="D853" s="185"/>
      <c r="E853" s="186"/>
      <c r="F853" s="187"/>
    </row>
    <row r="854" spans="1:6" x14ac:dyDescent="0.2">
      <c r="A854" s="275"/>
      <c r="B854" s="78"/>
      <c r="C854" s="189"/>
      <c r="D854" s="185"/>
      <c r="E854" s="186"/>
      <c r="F854" s="187"/>
    </row>
    <row r="855" spans="1:6" x14ac:dyDescent="0.2">
      <c r="A855" s="275"/>
      <c r="B855" s="78"/>
      <c r="C855" s="189"/>
      <c r="D855" s="185"/>
      <c r="E855" s="186"/>
      <c r="F855" s="187"/>
    </row>
    <row r="856" spans="1:6" x14ac:dyDescent="0.2">
      <c r="A856" s="275"/>
      <c r="B856" s="78"/>
      <c r="C856" s="189"/>
      <c r="D856" s="185"/>
      <c r="E856" s="186"/>
      <c r="F856" s="187"/>
    </row>
    <row r="857" spans="1:6" x14ac:dyDescent="0.2">
      <c r="A857" s="275"/>
      <c r="B857" s="78"/>
      <c r="C857" s="189"/>
      <c r="D857" s="185"/>
      <c r="E857" s="186"/>
      <c r="F857" s="187"/>
    </row>
    <row r="858" spans="1:6" x14ac:dyDescent="0.2">
      <c r="A858" s="275"/>
      <c r="B858" s="78"/>
      <c r="C858" s="189"/>
      <c r="D858" s="185"/>
      <c r="E858" s="186"/>
      <c r="F858" s="187"/>
    </row>
    <row r="859" spans="1:6" x14ac:dyDescent="0.2">
      <c r="A859" s="275"/>
      <c r="B859" s="78"/>
      <c r="C859" s="189"/>
      <c r="D859" s="185"/>
      <c r="E859" s="186"/>
      <c r="F859" s="187"/>
    </row>
    <row r="860" spans="1:6" x14ac:dyDescent="0.2">
      <c r="A860" s="275"/>
      <c r="B860" s="78"/>
      <c r="C860" s="189"/>
      <c r="D860" s="185"/>
      <c r="E860" s="186"/>
      <c r="F860" s="187"/>
    </row>
    <row r="861" spans="1:6" x14ac:dyDescent="0.2">
      <c r="A861" s="275"/>
      <c r="B861" s="78"/>
      <c r="C861" s="189"/>
      <c r="D861" s="185"/>
      <c r="E861" s="186"/>
      <c r="F861" s="187"/>
    </row>
    <row r="862" spans="1:6" x14ac:dyDescent="0.2">
      <c r="A862" s="275"/>
      <c r="B862" s="78"/>
      <c r="C862" s="189"/>
      <c r="D862" s="185"/>
      <c r="E862" s="186"/>
      <c r="F862" s="187"/>
    </row>
    <row r="863" spans="1:6" x14ac:dyDescent="0.2">
      <c r="A863" s="275"/>
      <c r="B863" s="78"/>
      <c r="C863" s="189"/>
      <c r="D863" s="185"/>
      <c r="E863" s="186"/>
      <c r="F863" s="187"/>
    </row>
    <row r="864" spans="1:6" x14ac:dyDescent="0.2">
      <c r="A864" s="275"/>
      <c r="B864" s="78"/>
      <c r="C864" s="189"/>
      <c r="D864" s="185"/>
      <c r="E864" s="186"/>
      <c r="F864" s="187"/>
    </row>
    <row r="865" spans="1:6" x14ac:dyDescent="0.2">
      <c r="A865" s="275"/>
      <c r="B865" s="78"/>
      <c r="C865" s="189"/>
      <c r="D865" s="185"/>
      <c r="E865" s="186"/>
      <c r="F865" s="187"/>
    </row>
    <row r="866" spans="1:6" x14ac:dyDescent="0.2">
      <c r="A866" s="275"/>
      <c r="B866" s="78"/>
      <c r="C866" s="189"/>
      <c r="D866" s="185"/>
      <c r="E866" s="186"/>
      <c r="F866" s="187"/>
    </row>
    <row r="867" spans="1:6" x14ac:dyDescent="0.2">
      <c r="A867" s="275"/>
      <c r="B867" s="78"/>
      <c r="C867" s="189"/>
      <c r="D867" s="185"/>
      <c r="E867" s="186"/>
      <c r="F867" s="187"/>
    </row>
    <row r="868" spans="1:6" x14ac:dyDescent="0.2">
      <c r="A868" s="275"/>
      <c r="B868" s="78"/>
      <c r="C868" s="189"/>
      <c r="D868" s="185"/>
      <c r="E868" s="186"/>
      <c r="F868" s="187"/>
    </row>
    <row r="869" spans="1:6" x14ac:dyDescent="0.2">
      <c r="A869" s="275"/>
      <c r="B869" s="78"/>
      <c r="C869" s="189"/>
      <c r="D869" s="185"/>
      <c r="E869" s="186"/>
      <c r="F869" s="187"/>
    </row>
    <row r="870" spans="1:6" x14ac:dyDescent="0.2">
      <c r="A870" s="275"/>
      <c r="B870" s="78"/>
      <c r="C870" s="189"/>
      <c r="D870" s="185"/>
      <c r="E870" s="186"/>
      <c r="F870" s="187"/>
    </row>
    <row r="871" spans="1:6" x14ac:dyDescent="0.2">
      <c r="A871" s="275"/>
      <c r="B871" s="78"/>
      <c r="C871" s="189"/>
      <c r="D871" s="185"/>
      <c r="E871" s="186"/>
      <c r="F871" s="187"/>
    </row>
    <row r="872" spans="1:6" x14ac:dyDescent="0.2">
      <c r="A872" s="275"/>
      <c r="B872" s="78"/>
      <c r="C872" s="189"/>
      <c r="D872" s="185"/>
      <c r="E872" s="186"/>
      <c r="F872" s="187"/>
    </row>
    <row r="873" spans="1:6" x14ac:dyDescent="0.2">
      <c r="A873" s="275"/>
      <c r="B873" s="78"/>
      <c r="C873" s="189"/>
      <c r="D873" s="185"/>
      <c r="E873" s="186"/>
      <c r="F873" s="187"/>
    </row>
    <row r="874" spans="1:6" x14ac:dyDescent="0.2">
      <c r="A874" s="275"/>
      <c r="B874" s="78"/>
      <c r="C874" s="189"/>
      <c r="D874" s="185"/>
      <c r="E874" s="186"/>
      <c r="F874" s="187"/>
    </row>
    <row r="875" spans="1:6" x14ac:dyDescent="0.2">
      <c r="A875" s="275"/>
      <c r="B875" s="78"/>
      <c r="C875" s="189"/>
      <c r="D875" s="185"/>
      <c r="E875" s="186"/>
      <c r="F875" s="187"/>
    </row>
    <row r="876" spans="1:6" x14ac:dyDescent="0.2">
      <c r="A876" s="275"/>
      <c r="B876" s="78"/>
      <c r="C876" s="189"/>
      <c r="D876" s="185"/>
      <c r="E876" s="186"/>
      <c r="F876" s="187"/>
    </row>
    <row r="877" spans="1:6" x14ac:dyDescent="0.2">
      <c r="A877" s="275"/>
      <c r="B877" s="78"/>
      <c r="C877" s="189"/>
      <c r="D877" s="185"/>
      <c r="E877" s="186"/>
      <c r="F877" s="187"/>
    </row>
    <row r="878" spans="1:6" x14ac:dyDescent="0.2">
      <c r="A878" s="275"/>
      <c r="B878" s="78"/>
      <c r="C878" s="189"/>
      <c r="D878" s="185"/>
      <c r="E878" s="186"/>
      <c r="F878" s="187"/>
    </row>
    <row r="879" spans="1:6" x14ac:dyDescent="0.2">
      <c r="A879" s="275"/>
      <c r="B879" s="78"/>
      <c r="C879" s="189"/>
      <c r="D879" s="185"/>
      <c r="E879" s="186"/>
      <c r="F879" s="187"/>
    </row>
    <row r="880" spans="1:6" x14ac:dyDescent="0.2">
      <c r="A880" s="275"/>
      <c r="B880" s="78"/>
      <c r="C880" s="189"/>
      <c r="D880" s="185"/>
      <c r="E880" s="186"/>
      <c r="F880" s="187"/>
    </row>
    <row r="881" spans="1:6" x14ac:dyDescent="0.2">
      <c r="A881" s="275"/>
      <c r="B881" s="78"/>
      <c r="C881" s="189"/>
      <c r="D881" s="185"/>
      <c r="E881" s="186"/>
      <c r="F881" s="187"/>
    </row>
    <row r="882" spans="1:6" x14ac:dyDescent="0.2">
      <c r="A882" s="275"/>
      <c r="B882" s="78"/>
      <c r="C882" s="189"/>
      <c r="D882" s="185"/>
      <c r="E882" s="186"/>
      <c r="F882" s="187"/>
    </row>
    <row r="883" spans="1:6" x14ac:dyDescent="0.2">
      <c r="A883" s="275"/>
      <c r="B883" s="78"/>
      <c r="C883" s="189"/>
      <c r="D883" s="185"/>
      <c r="E883" s="186"/>
      <c r="F883" s="187"/>
    </row>
    <row r="884" spans="1:6" x14ac:dyDescent="0.2">
      <c r="A884" s="275"/>
      <c r="B884" s="78"/>
      <c r="C884" s="189"/>
      <c r="D884" s="185"/>
      <c r="E884" s="186"/>
      <c r="F884" s="187"/>
    </row>
    <row r="885" spans="1:6" x14ac:dyDescent="0.2">
      <c r="A885" s="275"/>
      <c r="B885" s="78"/>
      <c r="C885" s="189"/>
      <c r="D885" s="185"/>
      <c r="E885" s="186"/>
      <c r="F885" s="187"/>
    </row>
    <row r="886" spans="1:6" x14ac:dyDescent="0.2">
      <c r="A886" s="275"/>
      <c r="B886" s="78"/>
      <c r="C886" s="189"/>
      <c r="D886" s="185"/>
      <c r="E886" s="186"/>
      <c r="F886" s="187"/>
    </row>
    <row r="887" spans="1:6" x14ac:dyDescent="0.2">
      <c r="A887" s="275"/>
      <c r="B887" s="78"/>
      <c r="C887" s="189"/>
      <c r="D887" s="185"/>
      <c r="E887" s="186"/>
      <c r="F887" s="187"/>
    </row>
    <row r="888" spans="1:6" x14ac:dyDescent="0.2">
      <c r="A888" s="275"/>
      <c r="B888" s="78"/>
      <c r="C888" s="189"/>
      <c r="D888" s="185"/>
      <c r="E888" s="186"/>
      <c r="F888" s="187"/>
    </row>
    <row r="889" spans="1:6" x14ac:dyDescent="0.2">
      <c r="A889" s="275"/>
      <c r="B889" s="78"/>
      <c r="C889" s="189"/>
      <c r="D889" s="185"/>
      <c r="E889" s="186"/>
      <c r="F889" s="187"/>
    </row>
    <row r="890" spans="1:6" x14ac:dyDescent="0.2">
      <c r="A890" s="275"/>
      <c r="B890" s="78"/>
      <c r="C890" s="189"/>
      <c r="D890" s="185"/>
      <c r="E890" s="186"/>
      <c r="F890" s="187"/>
    </row>
    <row r="891" spans="1:6" x14ac:dyDescent="0.2">
      <c r="A891" s="275"/>
      <c r="B891" s="78"/>
      <c r="C891" s="189"/>
      <c r="D891" s="185"/>
      <c r="E891" s="186"/>
      <c r="F891" s="187"/>
    </row>
    <row r="892" spans="1:6" x14ac:dyDescent="0.2">
      <c r="A892" s="275"/>
      <c r="B892" s="78"/>
      <c r="C892" s="189"/>
      <c r="D892" s="185"/>
      <c r="E892" s="186"/>
      <c r="F892" s="187"/>
    </row>
    <row r="893" spans="1:6" x14ac:dyDescent="0.2">
      <c r="A893" s="275"/>
      <c r="B893" s="78"/>
      <c r="C893" s="189"/>
      <c r="D893" s="185"/>
      <c r="E893" s="186"/>
      <c r="F893" s="187"/>
    </row>
    <row r="894" spans="1:6" x14ac:dyDescent="0.2">
      <c r="A894" s="275"/>
      <c r="B894" s="78"/>
      <c r="C894" s="189"/>
      <c r="D894" s="185"/>
      <c r="E894" s="186"/>
      <c r="F894" s="187"/>
    </row>
    <row r="895" spans="1:6" x14ac:dyDescent="0.2">
      <c r="A895" s="275"/>
      <c r="B895" s="78"/>
      <c r="C895" s="189"/>
      <c r="D895" s="185"/>
      <c r="E895" s="186"/>
      <c r="F895" s="187"/>
    </row>
    <row r="896" spans="1:6" x14ac:dyDescent="0.2">
      <c r="A896" s="275"/>
      <c r="B896" s="78"/>
      <c r="C896" s="189"/>
      <c r="D896" s="185"/>
      <c r="E896" s="186"/>
      <c r="F896" s="187"/>
    </row>
    <row r="897" spans="1:6" x14ac:dyDescent="0.2">
      <c r="A897" s="275"/>
      <c r="B897" s="78"/>
      <c r="C897" s="189"/>
      <c r="D897" s="185"/>
      <c r="E897" s="186"/>
      <c r="F897" s="187"/>
    </row>
    <row r="898" spans="1:6" x14ac:dyDescent="0.2">
      <c r="A898" s="275"/>
      <c r="B898" s="78"/>
      <c r="C898" s="189"/>
      <c r="D898" s="185"/>
      <c r="E898" s="186"/>
      <c r="F898" s="187"/>
    </row>
    <row r="899" spans="1:6" x14ac:dyDescent="0.2">
      <c r="A899" s="275"/>
      <c r="B899" s="78"/>
      <c r="C899" s="189"/>
      <c r="D899" s="185"/>
      <c r="E899" s="186"/>
      <c r="F899" s="187"/>
    </row>
    <row r="900" spans="1:6" x14ac:dyDescent="0.2">
      <c r="A900" s="275"/>
      <c r="B900" s="78"/>
      <c r="C900" s="189"/>
      <c r="D900" s="185"/>
      <c r="E900" s="186"/>
      <c r="F900" s="187"/>
    </row>
    <row r="901" spans="1:6" x14ac:dyDescent="0.2">
      <c r="A901" s="275"/>
      <c r="B901" s="78"/>
      <c r="C901" s="189"/>
      <c r="D901" s="185"/>
      <c r="E901" s="186"/>
      <c r="F901" s="187"/>
    </row>
    <row r="902" spans="1:6" x14ac:dyDescent="0.2">
      <c r="A902" s="275"/>
      <c r="B902" s="78"/>
      <c r="C902" s="189"/>
      <c r="D902" s="185"/>
      <c r="E902" s="186"/>
      <c r="F902" s="187"/>
    </row>
    <row r="903" spans="1:6" x14ac:dyDescent="0.2">
      <c r="A903" s="275"/>
      <c r="B903" s="78"/>
      <c r="C903" s="189"/>
      <c r="D903" s="185"/>
      <c r="E903" s="186"/>
      <c r="F903" s="187"/>
    </row>
    <row r="904" spans="1:6" x14ac:dyDescent="0.2">
      <c r="A904" s="275"/>
      <c r="B904" s="78"/>
      <c r="C904" s="189"/>
      <c r="D904" s="185"/>
      <c r="E904" s="186"/>
      <c r="F904" s="187"/>
    </row>
    <row r="905" spans="1:6" x14ac:dyDescent="0.2">
      <c r="A905" s="275"/>
      <c r="B905" s="78"/>
      <c r="C905" s="189"/>
      <c r="D905" s="185"/>
      <c r="E905" s="186"/>
      <c r="F905" s="187"/>
    </row>
    <row r="906" spans="1:6" x14ac:dyDescent="0.2">
      <c r="A906" s="275"/>
      <c r="B906" s="78"/>
      <c r="C906" s="189"/>
      <c r="D906" s="185"/>
      <c r="E906" s="186"/>
      <c r="F906" s="187"/>
    </row>
    <row r="907" spans="1:6" x14ac:dyDescent="0.2">
      <c r="A907" s="275"/>
      <c r="B907" s="78"/>
      <c r="C907" s="189"/>
      <c r="D907" s="185"/>
      <c r="E907" s="186"/>
      <c r="F907" s="187"/>
    </row>
    <row r="908" spans="1:6" x14ac:dyDescent="0.2">
      <c r="A908" s="275"/>
      <c r="B908" s="78"/>
      <c r="C908" s="189"/>
      <c r="D908" s="185"/>
      <c r="E908" s="186"/>
      <c r="F908" s="187"/>
    </row>
    <row r="909" spans="1:6" x14ac:dyDescent="0.2">
      <c r="A909" s="275"/>
      <c r="B909" s="78"/>
      <c r="C909" s="189"/>
      <c r="D909" s="185"/>
      <c r="E909" s="186"/>
      <c r="F909" s="187"/>
    </row>
    <row r="910" spans="1:6" x14ac:dyDescent="0.2">
      <c r="A910" s="275"/>
      <c r="B910" s="78"/>
      <c r="C910" s="189"/>
      <c r="D910" s="185"/>
      <c r="E910" s="186"/>
      <c r="F910" s="187"/>
    </row>
    <row r="911" spans="1:6" x14ac:dyDescent="0.2">
      <c r="A911" s="275"/>
      <c r="B911" s="78"/>
      <c r="C911" s="189"/>
      <c r="D911" s="185"/>
      <c r="E911" s="186"/>
      <c r="F911" s="187"/>
    </row>
    <row r="912" spans="1:6" x14ac:dyDescent="0.2">
      <c r="A912" s="275"/>
      <c r="B912" s="78"/>
      <c r="C912" s="189"/>
      <c r="D912" s="185"/>
      <c r="E912" s="186"/>
      <c r="F912" s="187"/>
    </row>
    <row r="913" spans="1:6" x14ac:dyDescent="0.2">
      <c r="A913" s="275"/>
      <c r="B913" s="78"/>
      <c r="C913" s="189"/>
      <c r="D913" s="185"/>
      <c r="E913" s="186"/>
      <c r="F913" s="187"/>
    </row>
    <row r="914" spans="1:6" x14ac:dyDescent="0.2">
      <c r="A914" s="275"/>
      <c r="B914" s="78"/>
      <c r="C914" s="189"/>
      <c r="D914" s="185"/>
      <c r="E914" s="186"/>
      <c r="F914" s="187"/>
    </row>
    <row r="915" spans="1:6" x14ac:dyDescent="0.2">
      <c r="A915" s="275"/>
      <c r="B915" s="78"/>
      <c r="C915" s="189"/>
      <c r="D915" s="185"/>
      <c r="E915" s="186"/>
      <c r="F915" s="187"/>
    </row>
    <row r="916" spans="1:6" x14ac:dyDescent="0.2">
      <c r="A916" s="275"/>
      <c r="B916" s="78"/>
      <c r="C916" s="189"/>
      <c r="D916" s="185"/>
      <c r="E916" s="186"/>
      <c r="F916" s="187"/>
    </row>
    <row r="917" spans="1:6" x14ac:dyDescent="0.2">
      <c r="A917" s="275"/>
      <c r="B917" s="78"/>
      <c r="C917" s="189"/>
      <c r="D917" s="185"/>
      <c r="E917" s="186"/>
      <c r="F917" s="187"/>
    </row>
    <row r="918" spans="1:6" x14ac:dyDescent="0.2">
      <c r="A918" s="275"/>
      <c r="B918" s="78"/>
      <c r="C918" s="189"/>
      <c r="D918" s="185"/>
      <c r="E918" s="186"/>
      <c r="F918" s="187"/>
    </row>
    <row r="919" spans="1:6" x14ac:dyDescent="0.2">
      <c r="A919" s="275"/>
      <c r="B919" s="78"/>
      <c r="C919" s="189"/>
      <c r="D919" s="185"/>
      <c r="E919" s="186"/>
      <c r="F919" s="187"/>
    </row>
    <row r="920" spans="1:6" x14ac:dyDescent="0.2">
      <c r="A920" s="275"/>
      <c r="B920" s="78"/>
      <c r="C920" s="189"/>
      <c r="D920" s="185"/>
      <c r="E920" s="186"/>
      <c r="F920" s="187"/>
    </row>
    <row r="921" spans="1:6" x14ac:dyDescent="0.2">
      <c r="A921" s="275"/>
      <c r="B921" s="78"/>
      <c r="C921" s="189"/>
      <c r="D921" s="185"/>
      <c r="E921" s="186"/>
      <c r="F921" s="187"/>
    </row>
    <row r="922" spans="1:6" x14ac:dyDescent="0.2">
      <c r="A922" s="275"/>
      <c r="B922" s="78"/>
      <c r="C922" s="189"/>
      <c r="D922" s="185"/>
      <c r="E922" s="186"/>
      <c r="F922" s="187"/>
    </row>
    <row r="923" spans="1:6" x14ac:dyDescent="0.2">
      <c r="A923" s="275"/>
      <c r="B923" s="78"/>
      <c r="C923" s="189"/>
      <c r="D923" s="185"/>
      <c r="E923" s="186"/>
      <c r="F923" s="187"/>
    </row>
    <row r="924" spans="1:6" x14ac:dyDescent="0.2">
      <c r="A924" s="275"/>
      <c r="B924" s="78"/>
      <c r="C924" s="189"/>
      <c r="D924" s="185"/>
      <c r="E924" s="186"/>
      <c r="F924" s="187"/>
    </row>
    <row r="925" spans="1:6" x14ac:dyDescent="0.2">
      <c r="A925" s="275"/>
      <c r="B925" s="78"/>
      <c r="C925" s="189"/>
      <c r="D925" s="185"/>
      <c r="E925" s="186"/>
      <c r="F925" s="187"/>
    </row>
    <row r="926" spans="1:6" x14ac:dyDescent="0.2">
      <c r="A926" s="275"/>
      <c r="B926" s="78"/>
      <c r="C926" s="189"/>
      <c r="D926" s="185"/>
      <c r="E926" s="186"/>
      <c r="F926" s="187"/>
    </row>
    <row r="927" spans="1:6" x14ac:dyDescent="0.2">
      <c r="A927" s="275"/>
      <c r="B927" s="78"/>
      <c r="C927" s="189"/>
      <c r="D927" s="185"/>
      <c r="E927" s="186"/>
      <c r="F927" s="187"/>
    </row>
    <row r="928" spans="1:6" x14ac:dyDescent="0.2">
      <c r="A928" s="275"/>
      <c r="B928" s="78"/>
      <c r="C928" s="189"/>
      <c r="D928" s="185"/>
      <c r="E928" s="186"/>
      <c r="F928" s="187"/>
    </row>
    <row r="929" spans="1:6" x14ac:dyDescent="0.2">
      <c r="A929" s="275"/>
      <c r="B929" s="78"/>
      <c r="C929" s="189"/>
      <c r="D929" s="185"/>
      <c r="E929" s="186"/>
      <c r="F929" s="187"/>
    </row>
    <row r="930" spans="1:6" x14ac:dyDescent="0.2">
      <c r="A930" s="275"/>
      <c r="B930" s="78"/>
      <c r="C930" s="189"/>
      <c r="D930" s="185"/>
      <c r="E930" s="186"/>
      <c r="F930" s="187"/>
    </row>
    <row r="931" spans="1:6" x14ac:dyDescent="0.2">
      <c r="A931" s="275"/>
      <c r="B931" s="78"/>
      <c r="C931" s="189"/>
      <c r="D931" s="185"/>
      <c r="E931" s="186"/>
      <c r="F931" s="187"/>
    </row>
    <row r="932" spans="1:6" x14ac:dyDescent="0.2">
      <c r="A932" s="275"/>
      <c r="B932" s="78"/>
      <c r="C932" s="189"/>
      <c r="D932" s="185"/>
      <c r="E932" s="186"/>
      <c r="F932" s="187"/>
    </row>
    <row r="933" spans="1:6" x14ac:dyDescent="0.2">
      <c r="A933" s="275"/>
      <c r="B933" s="78"/>
      <c r="C933" s="189"/>
      <c r="D933" s="185"/>
      <c r="E933" s="186"/>
      <c r="F933" s="187"/>
    </row>
    <row r="934" spans="1:6" x14ac:dyDescent="0.2">
      <c r="A934" s="275"/>
      <c r="B934" s="78"/>
      <c r="C934" s="189"/>
      <c r="D934" s="185"/>
      <c r="E934" s="186"/>
      <c r="F934" s="187"/>
    </row>
    <row r="935" spans="1:6" x14ac:dyDescent="0.2">
      <c r="A935" s="275"/>
      <c r="B935" s="78"/>
      <c r="C935" s="189"/>
      <c r="D935" s="185"/>
      <c r="E935" s="186"/>
      <c r="F935" s="187"/>
    </row>
    <row r="936" spans="1:6" x14ac:dyDescent="0.2">
      <c r="A936" s="275"/>
      <c r="B936" s="78"/>
      <c r="C936" s="189"/>
      <c r="D936" s="185"/>
      <c r="E936" s="186"/>
      <c r="F936" s="187"/>
    </row>
    <row r="937" spans="1:6" x14ac:dyDescent="0.2">
      <c r="A937" s="275"/>
      <c r="B937" s="78"/>
      <c r="C937" s="189"/>
      <c r="D937" s="185"/>
      <c r="E937" s="186"/>
      <c r="F937" s="187"/>
    </row>
    <row r="938" spans="1:6" x14ac:dyDescent="0.2">
      <c r="A938" s="275"/>
      <c r="B938" s="78"/>
      <c r="C938" s="189"/>
      <c r="D938" s="185"/>
      <c r="E938" s="186"/>
      <c r="F938" s="187"/>
    </row>
    <row r="939" spans="1:6" x14ac:dyDescent="0.2">
      <c r="A939" s="275"/>
      <c r="B939" s="78"/>
      <c r="C939" s="189"/>
      <c r="D939" s="185"/>
      <c r="E939" s="186"/>
      <c r="F939" s="187"/>
    </row>
    <row r="940" spans="1:6" x14ac:dyDescent="0.2">
      <c r="A940" s="275"/>
      <c r="B940" s="78"/>
      <c r="C940" s="189"/>
      <c r="D940" s="185"/>
      <c r="E940" s="186"/>
      <c r="F940" s="187"/>
    </row>
    <row r="941" spans="1:6" x14ac:dyDescent="0.2">
      <c r="A941" s="275"/>
      <c r="B941" s="78"/>
      <c r="C941" s="189"/>
      <c r="D941" s="185"/>
      <c r="E941" s="186"/>
      <c r="F941" s="187"/>
    </row>
    <row r="942" spans="1:6" x14ac:dyDescent="0.2">
      <c r="A942" s="275"/>
      <c r="B942" s="78"/>
      <c r="C942" s="189"/>
      <c r="D942" s="185"/>
      <c r="E942" s="186"/>
      <c r="F942" s="187"/>
    </row>
    <row r="943" spans="1:6" x14ac:dyDescent="0.2">
      <c r="A943" s="275"/>
      <c r="B943" s="78"/>
      <c r="C943" s="189"/>
      <c r="D943" s="185"/>
      <c r="E943" s="186"/>
      <c r="F943" s="187"/>
    </row>
    <row r="944" spans="1:6" x14ac:dyDescent="0.2">
      <c r="A944" s="275"/>
      <c r="B944" s="78"/>
      <c r="C944" s="189"/>
      <c r="D944" s="185"/>
      <c r="E944" s="186"/>
      <c r="F944" s="187"/>
    </row>
    <row r="945" spans="1:6" x14ac:dyDescent="0.2">
      <c r="A945" s="275"/>
      <c r="B945" s="78"/>
      <c r="C945" s="189"/>
      <c r="D945" s="185"/>
      <c r="E945" s="186"/>
      <c r="F945" s="187"/>
    </row>
    <row r="946" spans="1:6" x14ac:dyDescent="0.2">
      <c r="A946" s="275"/>
      <c r="B946" s="78"/>
      <c r="C946" s="189"/>
      <c r="D946" s="185"/>
      <c r="E946" s="186"/>
      <c r="F946" s="187"/>
    </row>
    <row r="947" spans="1:6" x14ac:dyDescent="0.2">
      <c r="A947" s="275"/>
      <c r="B947" s="78"/>
      <c r="C947" s="189"/>
      <c r="D947" s="185"/>
      <c r="E947" s="186"/>
      <c r="F947" s="187"/>
    </row>
    <row r="948" spans="1:6" x14ac:dyDescent="0.2">
      <c r="A948" s="275"/>
      <c r="B948" s="78"/>
      <c r="C948" s="189"/>
      <c r="D948" s="185"/>
      <c r="E948" s="186"/>
      <c r="F948" s="187"/>
    </row>
    <row r="949" spans="1:6" x14ac:dyDescent="0.2">
      <c r="A949" s="275"/>
      <c r="B949" s="78"/>
      <c r="C949" s="189"/>
      <c r="D949" s="185"/>
      <c r="E949" s="186"/>
      <c r="F949" s="187"/>
    </row>
    <row r="950" spans="1:6" x14ac:dyDescent="0.2">
      <c r="A950" s="275"/>
      <c r="B950" s="78"/>
      <c r="C950" s="189"/>
      <c r="D950" s="185"/>
      <c r="E950" s="186"/>
      <c r="F950" s="187"/>
    </row>
    <row r="951" spans="1:6" x14ac:dyDescent="0.2">
      <c r="A951" s="275"/>
      <c r="B951" s="78"/>
      <c r="C951" s="189"/>
      <c r="D951" s="185"/>
      <c r="E951" s="186"/>
      <c r="F951" s="187"/>
    </row>
    <row r="952" spans="1:6" x14ac:dyDescent="0.2">
      <c r="A952" s="275"/>
      <c r="B952" s="78"/>
      <c r="C952" s="189"/>
      <c r="D952" s="185"/>
      <c r="E952" s="186"/>
      <c r="F952" s="187"/>
    </row>
    <row r="953" spans="1:6" x14ac:dyDescent="0.2">
      <c r="A953" s="275"/>
      <c r="B953" s="78"/>
      <c r="C953" s="189"/>
      <c r="D953" s="185"/>
      <c r="E953" s="186"/>
      <c r="F953" s="187"/>
    </row>
    <row r="954" spans="1:6" x14ac:dyDescent="0.2">
      <c r="A954" s="275"/>
      <c r="B954" s="78"/>
      <c r="C954" s="189"/>
      <c r="D954" s="185"/>
      <c r="E954" s="186"/>
      <c r="F954" s="187"/>
    </row>
    <row r="955" spans="1:6" x14ac:dyDescent="0.2">
      <c r="A955" s="275"/>
      <c r="B955" s="78"/>
      <c r="C955" s="189"/>
      <c r="D955" s="185"/>
      <c r="E955" s="186"/>
      <c r="F955" s="187"/>
    </row>
    <row r="956" spans="1:6" x14ac:dyDescent="0.2">
      <c r="A956" s="275"/>
      <c r="B956" s="78"/>
      <c r="C956" s="189"/>
      <c r="D956" s="185"/>
      <c r="E956" s="186"/>
      <c r="F956" s="187"/>
    </row>
    <row r="957" spans="1:6" x14ac:dyDescent="0.2">
      <c r="A957" s="275"/>
      <c r="B957" s="78"/>
      <c r="C957" s="189"/>
      <c r="D957" s="185"/>
      <c r="E957" s="186"/>
      <c r="F957" s="187"/>
    </row>
    <row r="958" spans="1:6" x14ac:dyDescent="0.2">
      <c r="A958" s="275"/>
      <c r="B958" s="78"/>
      <c r="C958" s="189"/>
      <c r="D958" s="185"/>
      <c r="E958" s="186"/>
      <c r="F958" s="187"/>
    </row>
    <row r="959" spans="1:6" x14ac:dyDescent="0.2">
      <c r="A959" s="275"/>
      <c r="B959" s="78"/>
      <c r="C959" s="189"/>
      <c r="D959" s="185"/>
      <c r="E959" s="186"/>
      <c r="F959" s="187"/>
    </row>
    <row r="960" spans="1:6" x14ac:dyDescent="0.2">
      <c r="A960" s="275"/>
      <c r="B960" s="78"/>
      <c r="C960" s="189"/>
      <c r="D960" s="185"/>
      <c r="E960" s="186"/>
      <c r="F960" s="187"/>
    </row>
    <row r="961" spans="1:6" x14ac:dyDescent="0.2">
      <c r="A961" s="275"/>
      <c r="B961" s="78"/>
      <c r="C961" s="189"/>
      <c r="D961" s="185"/>
      <c r="E961" s="186"/>
      <c r="F961" s="187"/>
    </row>
    <row r="962" spans="1:6" x14ac:dyDescent="0.2">
      <c r="A962" s="275"/>
      <c r="B962" s="78"/>
      <c r="C962" s="189"/>
      <c r="D962" s="185"/>
      <c r="E962" s="186"/>
      <c r="F962" s="187"/>
    </row>
    <row r="963" spans="1:6" x14ac:dyDescent="0.2">
      <c r="A963" s="275"/>
      <c r="B963" s="78"/>
      <c r="C963" s="189"/>
      <c r="D963" s="185"/>
      <c r="E963" s="186"/>
      <c r="F963" s="187"/>
    </row>
    <row r="964" spans="1:6" x14ac:dyDescent="0.2">
      <c r="A964" s="275"/>
      <c r="B964" s="78"/>
      <c r="C964" s="189"/>
      <c r="D964" s="185"/>
      <c r="E964" s="186"/>
      <c r="F964" s="187"/>
    </row>
    <row r="965" spans="1:6" x14ac:dyDescent="0.2">
      <c r="A965" s="275"/>
      <c r="B965" s="78"/>
      <c r="C965" s="189"/>
      <c r="D965" s="185"/>
      <c r="E965" s="186"/>
      <c r="F965" s="187"/>
    </row>
    <row r="966" spans="1:6" x14ac:dyDescent="0.2">
      <c r="A966" s="275"/>
      <c r="B966" s="78"/>
      <c r="C966" s="189"/>
      <c r="D966" s="185"/>
      <c r="E966" s="186"/>
      <c r="F966" s="187"/>
    </row>
    <row r="967" spans="1:6" x14ac:dyDescent="0.2">
      <c r="A967" s="275"/>
      <c r="B967" s="78"/>
      <c r="C967" s="189"/>
      <c r="D967" s="185"/>
      <c r="E967" s="186"/>
      <c r="F967" s="187"/>
    </row>
    <row r="968" spans="1:6" x14ac:dyDescent="0.2">
      <c r="A968" s="275"/>
      <c r="B968" s="78"/>
      <c r="C968" s="189"/>
      <c r="D968" s="185"/>
      <c r="E968" s="186"/>
      <c r="F968" s="187"/>
    </row>
    <row r="969" spans="1:6" x14ac:dyDescent="0.2">
      <c r="A969" s="275"/>
      <c r="B969" s="78"/>
      <c r="C969" s="189"/>
      <c r="D969" s="185"/>
      <c r="E969" s="186"/>
      <c r="F969" s="187"/>
    </row>
    <row r="970" spans="1:6" x14ac:dyDescent="0.2">
      <c r="A970" s="275"/>
      <c r="B970" s="78"/>
      <c r="C970" s="189"/>
      <c r="D970" s="185"/>
      <c r="E970" s="186"/>
      <c r="F970" s="187"/>
    </row>
    <row r="971" spans="1:6" x14ac:dyDescent="0.2">
      <c r="A971" s="275"/>
      <c r="B971" s="78"/>
      <c r="C971" s="189"/>
      <c r="D971" s="185"/>
      <c r="E971" s="186"/>
      <c r="F971" s="187"/>
    </row>
    <row r="972" spans="1:6" x14ac:dyDescent="0.2">
      <c r="A972" s="275"/>
      <c r="B972" s="78"/>
      <c r="C972" s="189"/>
      <c r="D972" s="185"/>
      <c r="E972" s="186"/>
      <c r="F972" s="187"/>
    </row>
    <row r="973" spans="1:6" x14ac:dyDescent="0.2">
      <c r="A973" s="275"/>
      <c r="B973" s="78"/>
      <c r="C973" s="189"/>
      <c r="D973" s="185"/>
      <c r="E973" s="186"/>
      <c r="F973" s="187"/>
    </row>
    <row r="974" spans="1:6" x14ac:dyDescent="0.2">
      <c r="A974" s="275"/>
      <c r="B974" s="78"/>
      <c r="C974" s="189"/>
      <c r="D974" s="185"/>
      <c r="E974" s="186"/>
      <c r="F974" s="187"/>
    </row>
    <row r="975" spans="1:6" x14ac:dyDescent="0.2">
      <c r="A975" s="275"/>
      <c r="B975" s="78"/>
      <c r="C975" s="189"/>
      <c r="D975" s="185"/>
      <c r="E975" s="186"/>
      <c r="F975" s="187"/>
    </row>
    <row r="976" spans="1:6" x14ac:dyDescent="0.2">
      <c r="A976" s="275"/>
      <c r="B976" s="78"/>
      <c r="C976" s="189"/>
      <c r="D976" s="185"/>
      <c r="E976" s="186"/>
      <c r="F976" s="187"/>
    </row>
    <row r="977" spans="1:6" x14ac:dyDescent="0.2">
      <c r="A977" s="275"/>
      <c r="B977" s="78"/>
      <c r="C977" s="189"/>
      <c r="D977" s="185"/>
      <c r="E977" s="186"/>
      <c r="F977" s="187"/>
    </row>
    <row r="978" spans="1:6" x14ac:dyDescent="0.2">
      <c r="A978" s="275"/>
      <c r="B978" s="78"/>
      <c r="C978" s="189"/>
      <c r="D978" s="185"/>
      <c r="E978" s="186"/>
      <c r="F978" s="187"/>
    </row>
    <row r="979" spans="1:6" x14ac:dyDescent="0.2">
      <c r="A979" s="275"/>
      <c r="B979" s="78"/>
      <c r="C979" s="189"/>
      <c r="D979" s="185"/>
      <c r="E979" s="186"/>
      <c r="F979" s="187"/>
    </row>
    <row r="980" spans="1:6" x14ac:dyDescent="0.2">
      <c r="A980" s="275"/>
      <c r="B980" s="78"/>
      <c r="C980" s="189"/>
      <c r="D980" s="185"/>
      <c r="E980" s="186"/>
      <c r="F980" s="187"/>
    </row>
    <row r="981" spans="1:6" x14ac:dyDescent="0.2">
      <c r="A981" s="275"/>
      <c r="B981" s="78"/>
      <c r="C981" s="189"/>
      <c r="D981" s="185"/>
      <c r="E981" s="186"/>
      <c r="F981" s="187"/>
    </row>
    <row r="982" spans="1:6" x14ac:dyDescent="0.2">
      <c r="A982" s="275"/>
      <c r="B982" s="78"/>
      <c r="C982" s="189"/>
      <c r="D982" s="185"/>
      <c r="E982" s="186"/>
      <c r="F982" s="187"/>
    </row>
    <row r="983" spans="1:6" x14ac:dyDescent="0.2">
      <c r="A983" s="275"/>
      <c r="B983" s="78"/>
      <c r="C983" s="189"/>
      <c r="D983" s="185"/>
      <c r="E983" s="186"/>
      <c r="F983" s="187"/>
    </row>
    <row r="984" spans="1:6" x14ac:dyDescent="0.2">
      <c r="A984" s="275"/>
      <c r="B984" s="78"/>
      <c r="C984" s="189"/>
      <c r="D984" s="185"/>
      <c r="E984" s="186"/>
      <c r="F984" s="187"/>
    </row>
    <row r="985" spans="1:6" x14ac:dyDescent="0.2">
      <c r="A985" s="275"/>
      <c r="B985" s="78"/>
      <c r="C985" s="189"/>
      <c r="D985" s="185"/>
      <c r="E985" s="186"/>
      <c r="F985" s="187"/>
    </row>
    <row r="986" spans="1:6" x14ac:dyDescent="0.2">
      <c r="A986" s="275"/>
      <c r="B986" s="78"/>
      <c r="C986" s="189"/>
      <c r="D986" s="185"/>
      <c r="E986" s="186"/>
      <c r="F986" s="187"/>
    </row>
    <row r="987" spans="1:6" x14ac:dyDescent="0.2">
      <c r="A987" s="275"/>
      <c r="B987" s="78"/>
      <c r="C987" s="189"/>
      <c r="D987" s="185"/>
      <c r="E987" s="186"/>
      <c r="F987" s="187"/>
    </row>
    <row r="988" spans="1:6" x14ac:dyDescent="0.2">
      <c r="A988" s="275"/>
      <c r="B988" s="78"/>
      <c r="C988" s="189"/>
      <c r="D988" s="185"/>
      <c r="E988" s="186"/>
      <c r="F988" s="187"/>
    </row>
    <row r="989" spans="1:6" x14ac:dyDescent="0.2">
      <c r="A989" s="275"/>
      <c r="B989" s="78"/>
      <c r="C989" s="189"/>
      <c r="D989" s="185"/>
      <c r="E989" s="186"/>
      <c r="F989" s="187"/>
    </row>
    <row r="990" spans="1:6" x14ac:dyDescent="0.2">
      <c r="A990" s="275"/>
      <c r="B990" s="78"/>
      <c r="C990" s="189"/>
      <c r="D990" s="185"/>
      <c r="E990" s="186"/>
      <c r="F990" s="187"/>
    </row>
    <row r="991" spans="1:6" x14ac:dyDescent="0.2">
      <c r="A991" s="275"/>
      <c r="B991" s="78"/>
      <c r="C991" s="189"/>
      <c r="D991" s="185"/>
      <c r="E991" s="186"/>
      <c r="F991" s="187"/>
    </row>
    <row r="992" spans="1:6" x14ac:dyDescent="0.2">
      <c r="A992" s="275"/>
      <c r="B992" s="78"/>
      <c r="C992" s="189"/>
      <c r="D992" s="185"/>
      <c r="E992" s="186"/>
      <c r="F992" s="187"/>
    </row>
    <row r="993" spans="1:6" x14ac:dyDescent="0.2">
      <c r="A993" s="275"/>
      <c r="B993" s="78"/>
      <c r="C993" s="189"/>
      <c r="D993" s="185"/>
      <c r="E993" s="186"/>
      <c r="F993" s="187"/>
    </row>
    <row r="994" spans="1:6" x14ac:dyDescent="0.2">
      <c r="A994" s="275"/>
      <c r="B994" s="78"/>
      <c r="C994" s="189"/>
      <c r="D994" s="185"/>
      <c r="E994" s="186"/>
      <c r="F994" s="187"/>
    </row>
    <row r="995" spans="1:6" x14ac:dyDescent="0.2">
      <c r="A995" s="275"/>
      <c r="B995" s="78"/>
      <c r="C995" s="189"/>
      <c r="D995" s="185"/>
      <c r="E995" s="186"/>
      <c r="F995" s="187"/>
    </row>
    <row r="996" spans="1:6" x14ac:dyDescent="0.2">
      <c r="A996" s="275"/>
      <c r="B996" s="78"/>
      <c r="C996" s="189"/>
      <c r="D996" s="185"/>
      <c r="E996" s="186"/>
      <c r="F996" s="187"/>
    </row>
    <row r="997" spans="1:6" x14ac:dyDescent="0.2">
      <c r="A997" s="275"/>
      <c r="B997" s="78"/>
      <c r="C997" s="189"/>
      <c r="D997" s="185"/>
      <c r="E997" s="186"/>
      <c r="F997" s="187"/>
    </row>
    <row r="998" spans="1:6" x14ac:dyDescent="0.2">
      <c r="A998" s="275"/>
      <c r="B998" s="78"/>
      <c r="C998" s="189"/>
      <c r="D998" s="185"/>
      <c r="E998" s="186"/>
      <c r="F998" s="187"/>
    </row>
    <row r="999" spans="1:6" x14ac:dyDescent="0.2">
      <c r="A999" s="275"/>
      <c r="B999" s="78"/>
      <c r="C999" s="189"/>
      <c r="D999" s="185"/>
      <c r="E999" s="186"/>
      <c r="F999" s="187"/>
    </row>
    <row r="1000" spans="1:6" x14ac:dyDescent="0.2">
      <c r="A1000" s="275"/>
      <c r="B1000" s="78"/>
      <c r="C1000" s="189"/>
      <c r="D1000" s="185"/>
      <c r="E1000" s="186"/>
      <c r="F1000" s="187"/>
    </row>
    <row r="1001" spans="1:6" x14ac:dyDescent="0.2">
      <c r="A1001" s="275"/>
      <c r="B1001" s="78"/>
      <c r="C1001" s="189"/>
      <c r="D1001" s="185"/>
      <c r="E1001" s="186"/>
      <c r="F1001" s="187"/>
    </row>
    <row r="1002" spans="1:6" x14ac:dyDescent="0.2">
      <c r="A1002" s="275"/>
      <c r="B1002" s="78"/>
      <c r="C1002" s="189"/>
      <c r="D1002" s="185"/>
      <c r="E1002" s="186"/>
      <c r="F1002" s="187"/>
    </row>
    <row r="1003" spans="1:6" x14ac:dyDescent="0.2">
      <c r="A1003" s="275"/>
      <c r="B1003" s="78"/>
      <c r="C1003" s="189"/>
      <c r="D1003" s="185"/>
      <c r="E1003" s="186"/>
      <c r="F1003" s="187"/>
    </row>
    <row r="1004" spans="1:6" x14ac:dyDescent="0.2">
      <c r="A1004" s="275"/>
      <c r="B1004" s="78"/>
      <c r="C1004" s="189"/>
      <c r="D1004" s="185"/>
      <c r="E1004" s="186"/>
      <c r="F1004" s="187"/>
    </row>
    <row r="1005" spans="1:6" x14ac:dyDescent="0.2">
      <c r="A1005" s="275"/>
      <c r="B1005" s="78"/>
      <c r="C1005" s="189"/>
      <c r="D1005" s="185"/>
      <c r="E1005" s="186"/>
      <c r="F1005" s="187"/>
    </row>
    <row r="1006" spans="1:6" x14ac:dyDescent="0.2">
      <c r="A1006" s="275"/>
      <c r="B1006" s="78"/>
      <c r="C1006" s="189"/>
      <c r="D1006" s="185"/>
      <c r="E1006" s="186"/>
      <c r="F1006" s="187"/>
    </row>
    <row r="1007" spans="1:6" x14ac:dyDescent="0.2">
      <c r="A1007" s="275"/>
      <c r="B1007" s="78"/>
      <c r="C1007" s="189"/>
      <c r="D1007" s="185"/>
      <c r="E1007" s="186"/>
      <c r="F1007" s="187"/>
    </row>
    <row r="1008" spans="1:6" x14ac:dyDescent="0.2">
      <c r="A1008" s="275"/>
      <c r="B1008" s="78"/>
      <c r="C1008" s="189"/>
      <c r="D1008" s="185"/>
      <c r="E1008" s="186"/>
      <c r="F1008" s="187"/>
    </row>
    <row r="1009" spans="1:6" x14ac:dyDescent="0.2">
      <c r="A1009" s="275"/>
      <c r="B1009" s="78"/>
      <c r="C1009" s="189"/>
      <c r="D1009" s="185"/>
      <c r="E1009" s="186"/>
      <c r="F1009" s="187"/>
    </row>
    <row r="1010" spans="1:6" x14ac:dyDescent="0.2">
      <c r="A1010" s="275"/>
      <c r="B1010" s="78"/>
      <c r="C1010" s="189"/>
      <c r="D1010" s="185"/>
      <c r="E1010" s="186"/>
      <c r="F1010" s="187"/>
    </row>
    <row r="1011" spans="1:6" x14ac:dyDescent="0.2">
      <c r="A1011" s="275"/>
      <c r="B1011" s="78"/>
      <c r="C1011" s="189"/>
      <c r="D1011" s="185"/>
      <c r="E1011" s="186"/>
      <c r="F1011" s="187"/>
    </row>
    <row r="1012" spans="1:6" x14ac:dyDescent="0.2">
      <c r="A1012" s="275"/>
      <c r="B1012" s="78"/>
      <c r="C1012" s="189"/>
      <c r="D1012" s="185"/>
      <c r="E1012" s="186"/>
      <c r="F1012" s="187"/>
    </row>
    <row r="1013" spans="1:6" x14ac:dyDescent="0.2">
      <c r="A1013" s="275"/>
      <c r="B1013" s="78"/>
      <c r="C1013" s="189"/>
      <c r="D1013" s="185"/>
      <c r="E1013" s="186"/>
      <c r="F1013" s="187"/>
    </row>
    <row r="1014" spans="1:6" x14ac:dyDescent="0.2">
      <c r="A1014" s="275"/>
      <c r="B1014" s="78"/>
      <c r="C1014" s="189"/>
      <c r="D1014" s="185"/>
      <c r="E1014" s="186"/>
      <c r="F1014" s="187"/>
    </row>
    <row r="1015" spans="1:6" x14ac:dyDescent="0.2">
      <c r="A1015" s="275"/>
      <c r="B1015" s="78"/>
      <c r="C1015" s="189"/>
      <c r="D1015" s="185"/>
      <c r="E1015" s="186"/>
      <c r="F1015" s="187"/>
    </row>
    <row r="1016" spans="1:6" x14ac:dyDescent="0.2">
      <c r="A1016" s="275"/>
      <c r="B1016" s="78"/>
      <c r="C1016" s="189"/>
      <c r="D1016" s="185"/>
      <c r="E1016" s="186"/>
      <c r="F1016" s="187"/>
    </row>
    <row r="1017" spans="1:6" x14ac:dyDescent="0.2">
      <c r="A1017" s="275"/>
      <c r="B1017" s="78"/>
      <c r="C1017" s="189"/>
      <c r="D1017" s="185"/>
      <c r="E1017" s="186"/>
      <c r="F1017" s="187"/>
    </row>
    <row r="1018" spans="1:6" x14ac:dyDescent="0.2">
      <c r="A1018" s="275"/>
      <c r="B1018" s="78"/>
      <c r="C1018" s="189"/>
      <c r="D1018" s="185"/>
      <c r="E1018" s="186"/>
      <c r="F1018" s="187"/>
    </row>
    <row r="1019" spans="1:6" x14ac:dyDescent="0.2">
      <c r="A1019" s="275"/>
      <c r="B1019" s="78"/>
      <c r="C1019" s="189"/>
      <c r="D1019" s="185"/>
      <c r="E1019" s="186"/>
      <c r="F1019" s="187"/>
    </row>
    <row r="1020" spans="1:6" x14ac:dyDescent="0.2">
      <c r="A1020" s="275"/>
      <c r="B1020" s="78"/>
      <c r="C1020" s="189"/>
      <c r="D1020" s="185"/>
      <c r="E1020" s="186"/>
      <c r="F1020" s="187"/>
    </row>
    <row r="1021" spans="1:6" x14ac:dyDescent="0.2">
      <c r="A1021" s="275"/>
      <c r="B1021" s="78"/>
      <c r="C1021" s="189"/>
      <c r="D1021" s="185"/>
      <c r="E1021" s="186"/>
      <c r="F1021" s="187"/>
    </row>
    <row r="1022" spans="1:6" x14ac:dyDescent="0.2">
      <c r="A1022" s="275"/>
      <c r="B1022" s="78"/>
      <c r="C1022" s="189"/>
      <c r="D1022" s="185"/>
      <c r="E1022" s="186"/>
      <c r="F1022" s="187"/>
    </row>
    <row r="1023" spans="1:6" x14ac:dyDescent="0.2">
      <c r="A1023" s="275"/>
      <c r="B1023" s="78"/>
      <c r="C1023" s="189"/>
      <c r="D1023" s="185"/>
      <c r="E1023" s="186"/>
      <c r="F1023" s="187"/>
    </row>
    <row r="1024" spans="1:6" x14ac:dyDescent="0.2">
      <c r="A1024" s="275"/>
      <c r="B1024" s="78"/>
      <c r="C1024" s="189"/>
      <c r="D1024" s="185"/>
      <c r="E1024" s="186"/>
      <c r="F1024" s="187"/>
    </row>
    <row r="1025" spans="1:6" x14ac:dyDescent="0.2">
      <c r="A1025" s="275"/>
      <c r="B1025" s="78"/>
      <c r="C1025" s="189"/>
      <c r="D1025" s="185"/>
      <c r="E1025" s="186"/>
      <c r="F1025" s="187"/>
    </row>
    <row r="1026" spans="1:6" x14ac:dyDescent="0.2">
      <c r="A1026" s="275"/>
      <c r="B1026" s="78"/>
      <c r="C1026" s="189"/>
      <c r="D1026" s="185"/>
      <c r="E1026" s="186"/>
      <c r="F1026" s="187"/>
    </row>
    <row r="1027" spans="1:6" x14ac:dyDescent="0.2">
      <c r="A1027" s="275"/>
      <c r="B1027" s="78"/>
      <c r="C1027" s="189"/>
      <c r="D1027" s="185"/>
      <c r="E1027" s="186"/>
      <c r="F1027" s="187"/>
    </row>
    <row r="1028" spans="1:6" x14ac:dyDescent="0.2">
      <c r="A1028" s="275"/>
      <c r="B1028" s="78"/>
      <c r="C1028" s="189"/>
      <c r="D1028" s="185"/>
      <c r="E1028" s="186"/>
      <c r="F1028" s="187"/>
    </row>
    <row r="1029" spans="1:6" x14ac:dyDescent="0.2">
      <c r="A1029" s="275"/>
      <c r="B1029" s="78"/>
      <c r="C1029" s="189"/>
      <c r="D1029" s="185"/>
      <c r="E1029" s="186"/>
      <c r="F1029" s="187"/>
    </row>
    <row r="1030" spans="1:6" x14ac:dyDescent="0.2">
      <c r="A1030" s="275"/>
      <c r="B1030" s="78"/>
      <c r="C1030" s="189"/>
      <c r="D1030" s="185"/>
      <c r="E1030" s="186"/>
      <c r="F1030" s="187"/>
    </row>
    <row r="1031" spans="1:6" x14ac:dyDescent="0.2">
      <c r="A1031" s="275"/>
      <c r="B1031" s="78"/>
      <c r="C1031" s="189"/>
      <c r="D1031" s="185"/>
      <c r="E1031" s="186"/>
      <c r="F1031" s="187"/>
    </row>
    <row r="1032" spans="1:6" x14ac:dyDescent="0.2">
      <c r="A1032" s="275"/>
      <c r="B1032" s="78"/>
      <c r="C1032" s="189"/>
      <c r="D1032" s="185"/>
      <c r="E1032" s="186"/>
      <c r="F1032" s="187"/>
    </row>
    <row r="1033" spans="1:6" x14ac:dyDescent="0.2">
      <c r="A1033" s="275"/>
      <c r="B1033" s="78"/>
      <c r="C1033" s="189"/>
      <c r="D1033" s="185"/>
      <c r="E1033" s="186"/>
      <c r="F1033" s="187"/>
    </row>
    <row r="1034" spans="1:6" x14ac:dyDescent="0.2">
      <c r="A1034" s="275"/>
      <c r="B1034" s="78"/>
      <c r="C1034" s="189"/>
      <c r="D1034" s="185"/>
      <c r="E1034" s="186"/>
      <c r="F1034" s="187"/>
    </row>
    <row r="1035" spans="1:6" x14ac:dyDescent="0.2">
      <c r="A1035" s="275"/>
      <c r="B1035" s="78"/>
      <c r="C1035" s="189"/>
      <c r="D1035" s="185"/>
      <c r="E1035" s="186"/>
      <c r="F1035" s="187"/>
    </row>
    <row r="1036" spans="1:6" x14ac:dyDescent="0.2">
      <c r="A1036" s="275"/>
      <c r="B1036" s="78"/>
      <c r="C1036" s="189"/>
      <c r="D1036" s="185"/>
      <c r="E1036" s="186"/>
      <c r="F1036" s="187"/>
    </row>
    <row r="1037" spans="1:6" x14ac:dyDescent="0.2">
      <c r="A1037" s="275"/>
      <c r="B1037" s="78"/>
      <c r="C1037" s="189"/>
      <c r="D1037" s="185"/>
      <c r="E1037" s="186"/>
      <c r="F1037" s="187"/>
    </row>
    <row r="1038" spans="1:6" x14ac:dyDescent="0.2">
      <c r="A1038" s="275"/>
      <c r="B1038" s="78"/>
      <c r="C1038" s="189"/>
      <c r="D1038" s="185"/>
      <c r="E1038" s="186"/>
      <c r="F1038" s="187"/>
    </row>
    <row r="1039" spans="1:6" x14ac:dyDescent="0.2">
      <c r="A1039" s="275"/>
      <c r="B1039" s="78"/>
      <c r="C1039" s="189"/>
      <c r="D1039" s="185"/>
      <c r="E1039" s="186"/>
      <c r="F1039" s="187"/>
    </row>
    <row r="1040" spans="1:6" x14ac:dyDescent="0.2">
      <c r="A1040" s="275"/>
      <c r="B1040" s="78"/>
      <c r="C1040" s="189"/>
      <c r="D1040" s="185"/>
      <c r="E1040" s="186"/>
      <c r="F1040" s="187"/>
    </row>
    <row r="1041" spans="1:6" x14ac:dyDescent="0.2">
      <c r="A1041" s="275"/>
      <c r="B1041" s="78"/>
      <c r="C1041" s="189"/>
      <c r="D1041" s="185"/>
      <c r="E1041" s="186"/>
      <c r="F1041" s="187"/>
    </row>
    <row r="1042" spans="1:6" x14ac:dyDescent="0.2">
      <c r="A1042" s="275"/>
      <c r="B1042" s="78"/>
      <c r="C1042" s="189"/>
      <c r="D1042" s="185"/>
      <c r="E1042" s="186"/>
      <c r="F1042" s="187"/>
    </row>
    <row r="1043" spans="1:6" x14ac:dyDescent="0.2">
      <c r="A1043" s="275"/>
      <c r="B1043" s="78"/>
      <c r="C1043" s="189"/>
      <c r="D1043" s="185"/>
      <c r="E1043" s="186"/>
      <c r="F1043" s="187"/>
    </row>
    <row r="1044" spans="1:6" x14ac:dyDescent="0.2">
      <c r="A1044" s="275"/>
      <c r="B1044" s="78"/>
      <c r="C1044" s="189"/>
      <c r="D1044" s="185"/>
      <c r="E1044" s="186"/>
      <c r="F1044" s="187"/>
    </row>
    <row r="1045" spans="1:6" x14ac:dyDescent="0.2">
      <c r="A1045" s="275"/>
      <c r="B1045" s="78"/>
      <c r="C1045" s="189"/>
      <c r="D1045" s="185"/>
      <c r="E1045" s="186"/>
      <c r="F1045" s="187"/>
    </row>
    <row r="1046" spans="1:6" x14ac:dyDescent="0.2">
      <c r="A1046" s="275"/>
      <c r="B1046" s="78"/>
      <c r="C1046" s="189"/>
      <c r="D1046" s="185"/>
      <c r="E1046" s="186"/>
      <c r="F1046" s="187"/>
    </row>
    <row r="1047" spans="1:6" x14ac:dyDescent="0.2">
      <c r="A1047" s="275"/>
      <c r="B1047" s="78"/>
      <c r="C1047" s="189"/>
      <c r="D1047" s="185"/>
      <c r="E1047" s="186"/>
      <c r="F1047" s="187"/>
    </row>
    <row r="1048" spans="1:6" x14ac:dyDescent="0.2">
      <c r="A1048" s="275"/>
      <c r="B1048" s="78"/>
      <c r="C1048" s="189"/>
      <c r="D1048" s="185"/>
      <c r="E1048" s="186"/>
      <c r="F1048" s="187"/>
    </row>
    <row r="1049" spans="1:6" x14ac:dyDescent="0.2">
      <c r="A1049" s="275"/>
      <c r="B1049" s="78"/>
      <c r="C1049" s="189"/>
      <c r="D1049" s="185"/>
      <c r="E1049" s="186"/>
      <c r="F1049" s="187"/>
    </row>
    <row r="1050" spans="1:6" x14ac:dyDescent="0.2">
      <c r="A1050" s="275"/>
      <c r="B1050" s="78"/>
      <c r="C1050" s="189"/>
      <c r="D1050" s="185"/>
      <c r="E1050" s="186"/>
      <c r="F1050" s="187"/>
    </row>
    <row r="1051" spans="1:6" x14ac:dyDescent="0.2">
      <c r="A1051" s="275"/>
      <c r="B1051" s="78"/>
      <c r="C1051" s="189"/>
      <c r="D1051" s="185"/>
      <c r="E1051" s="186"/>
      <c r="F1051" s="187"/>
    </row>
    <row r="1052" spans="1:6" x14ac:dyDescent="0.2">
      <c r="A1052" s="275"/>
      <c r="B1052" s="78"/>
      <c r="C1052" s="189"/>
      <c r="D1052" s="185"/>
      <c r="E1052" s="186"/>
      <c r="F1052" s="187"/>
    </row>
    <row r="1053" spans="1:6" x14ac:dyDescent="0.2">
      <c r="A1053" s="275"/>
      <c r="B1053" s="78"/>
      <c r="C1053" s="189"/>
      <c r="D1053" s="185"/>
      <c r="E1053" s="186"/>
      <c r="F1053" s="187"/>
    </row>
    <row r="1054" spans="1:6" x14ac:dyDescent="0.2">
      <c r="A1054" s="275"/>
      <c r="B1054" s="78"/>
      <c r="C1054" s="189"/>
      <c r="D1054" s="185"/>
      <c r="E1054" s="186"/>
      <c r="F1054" s="187"/>
    </row>
    <row r="1055" spans="1:6" x14ac:dyDescent="0.2">
      <c r="A1055" s="275"/>
      <c r="B1055" s="78"/>
      <c r="C1055" s="189"/>
      <c r="D1055" s="185"/>
      <c r="E1055" s="186"/>
      <c r="F1055" s="187"/>
    </row>
    <row r="1056" spans="1:6" x14ac:dyDescent="0.2">
      <c r="A1056" s="275"/>
      <c r="B1056" s="78"/>
      <c r="C1056" s="189"/>
      <c r="D1056" s="185"/>
      <c r="E1056" s="186"/>
      <c r="F1056" s="187"/>
    </row>
    <row r="1057" spans="1:6" x14ac:dyDescent="0.2">
      <c r="A1057" s="275"/>
      <c r="B1057" s="78"/>
      <c r="C1057" s="189"/>
      <c r="D1057" s="185"/>
      <c r="E1057" s="186"/>
      <c r="F1057" s="187"/>
    </row>
    <row r="1058" spans="1:6" x14ac:dyDescent="0.2">
      <c r="A1058" s="275"/>
      <c r="B1058" s="78"/>
      <c r="C1058" s="189"/>
      <c r="D1058" s="185"/>
      <c r="E1058" s="186"/>
      <c r="F1058" s="187"/>
    </row>
    <row r="1059" spans="1:6" x14ac:dyDescent="0.2">
      <c r="A1059" s="275"/>
      <c r="B1059" s="78"/>
      <c r="C1059" s="189"/>
      <c r="D1059" s="185"/>
      <c r="E1059" s="186"/>
      <c r="F1059" s="187"/>
    </row>
    <row r="1060" spans="1:6" x14ac:dyDescent="0.2">
      <c r="A1060" s="275"/>
      <c r="B1060" s="78"/>
      <c r="C1060" s="189"/>
      <c r="D1060" s="185"/>
      <c r="E1060" s="186"/>
      <c r="F1060" s="187"/>
    </row>
    <row r="1061" spans="1:6" x14ac:dyDescent="0.2">
      <c r="A1061" s="275"/>
      <c r="B1061" s="78"/>
      <c r="C1061" s="189"/>
      <c r="D1061" s="185"/>
      <c r="E1061" s="186"/>
      <c r="F1061" s="187"/>
    </row>
    <row r="1062" spans="1:6" x14ac:dyDescent="0.2">
      <c r="A1062" s="275"/>
      <c r="B1062" s="78"/>
      <c r="C1062" s="189"/>
      <c r="D1062" s="185"/>
      <c r="E1062" s="186"/>
      <c r="F1062" s="187"/>
    </row>
    <row r="1063" spans="1:6" x14ac:dyDescent="0.2">
      <c r="A1063" s="275"/>
      <c r="B1063" s="78"/>
      <c r="C1063" s="189"/>
      <c r="D1063" s="185"/>
      <c r="E1063" s="186"/>
      <c r="F1063" s="187"/>
    </row>
    <row r="1064" spans="1:6" x14ac:dyDescent="0.2">
      <c r="A1064" s="275"/>
      <c r="B1064" s="78"/>
      <c r="C1064" s="189"/>
      <c r="D1064" s="185"/>
      <c r="E1064" s="186"/>
      <c r="F1064" s="187"/>
    </row>
    <row r="1065" spans="1:6" x14ac:dyDescent="0.2">
      <c r="A1065" s="275"/>
      <c r="B1065" s="78"/>
      <c r="C1065" s="189"/>
      <c r="D1065" s="185"/>
      <c r="E1065" s="186"/>
      <c r="F1065" s="187"/>
    </row>
    <row r="1066" spans="1:6" x14ac:dyDescent="0.2">
      <c r="A1066" s="275"/>
      <c r="B1066" s="78"/>
      <c r="C1066" s="189"/>
      <c r="D1066" s="185"/>
      <c r="E1066" s="186"/>
      <c r="F1066" s="187"/>
    </row>
    <row r="1067" spans="1:6" x14ac:dyDescent="0.2">
      <c r="A1067" s="275"/>
      <c r="B1067" s="78"/>
      <c r="C1067" s="189"/>
      <c r="D1067" s="185"/>
      <c r="E1067" s="186"/>
      <c r="F1067" s="187"/>
    </row>
    <row r="1068" spans="1:6" x14ac:dyDescent="0.2">
      <c r="A1068" s="275"/>
      <c r="B1068" s="78"/>
      <c r="C1068" s="189"/>
      <c r="D1068" s="185"/>
      <c r="E1068" s="186"/>
      <c r="F1068" s="187"/>
    </row>
    <row r="1069" spans="1:6" x14ac:dyDescent="0.2">
      <c r="A1069" s="275"/>
      <c r="B1069" s="78"/>
      <c r="C1069" s="189"/>
      <c r="D1069" s="185"/>
      <c r="E1069" s="186"/>
      <c r="F1069" s="187"/>
    </row>
    <row r="1070" spans="1:6" x14ac:dyDescent="0.2">
      <c r="A1070" s="275"/>
      <c r="B1070" s="78"/>
      <c r="C1070" s="189"/>
      <c r="D1070" s="185"/>
      <c r="E1070" s="186"/>
      <c r="F1070" s="187"/>
    </row>
    <row r="1071" spans="1:6" x14ac:dyDescent="0.2">
      <c r="A1071" s="275"/>
      <c r="B1071" s="78"/>
      <c r="C1071" s="189"/>
      <c r="D1071" s="185"/>
      <c r="E1071" s="186"/>
      <c r="F1071" s="187"/>
    </row>
    <row r="1072" spans="1:6" x14ac:dyDescent="0.2">
      <c r="A1072" s="275"/>
      <c r="B1072" s="78"/>
      <c r="C1072" s="189"/>
      <c r="D1072" s="185"/>
      <c r="E1072" s="186"/>
      <c r="F1072" s="187"/>
    </row>
    <row r="1073" spans="1:6" x14ac:dyDescent="0.2">
      <c r="A1073" s="275"/>
      <c r="B1073" s="78"/>
      <c r="C1073" s="189"/>
      <c r="D1073" s="185"/>
      <c r="E1073" s="186"/>
      <c r="F1073" s="187"/>
    </row>
    <row r="1074" spans="1:6" x14ac:dyDescent="0.2">
      <c r="A1074" s="275"/>
      <c r="B1074" s="78"/>
      <c r="C1074" s="189"/>
      <c r="D1074" s="185"/>
      <c r="E1074" s="186"/>
      <c r="F1074" s="187"/>
    </row>
    <row r="1075" spans="1:6" x14ac:dyDescent="0.2">
      <c r="A1075" s="275"/>
      <c r="B1075" s="78"/>
      <c r="C1075" s="189"/>
      <c r="D1075" s="185"/>
      <c r="E1075" s="186"/>
      <c r="F1075" s="187"/>
    </row>
    <row r="1076" spans="1:6" x14ac:dyDescent="0.2">
      <c r="A1076" s="275"/>
      <c r="B1076" s="78"/>
      <c r="C1076" s="189"/>
      <c r="D1076" s="185"/>
      <c r="E1076" s="186"/>
      <c r="F1076" s="187"/>
    </row>
    <row r="1077" spans="1:6" x14ac:dyDescent="0.2">
      <c r="A1077" s="275"/>
      <c r="B1077" s="78"/>
      <c r="C1077" s="189"/>
      <c r="D1077" s="185"/>
      <c r="E1077" s="186"/>
      <c r="F1077" s="187"/>
    </row>
    <row r="1078" spans="1:6" x14ac:dyDescent="0.2">
      <c r="A1078" s="275"/>
      <c r="B1078" s="78"/>
      <c r="C1078" s="189"/>
      <c r="D1078" s="185"/>
      <c r="E1078" s="186"/>
      <c r="F1078" s="187"/>
    </row>
    <row r="1079" spans="1:6" x14ac:dyDescent="0.2">
      <c r="A1079" s="275"/>
      <c r="B1079" s="78"/>
      <c r="C1079" s="189"/>
      <c r="D1079" s="185"/>
      <c r="E1079" s="186"/>
      <c r="F1079" s="187"/>
    </row>
    <row r="1080" spans="1:6" x14ac:dyDescent="0.2">
      <c r="A1080" s="275"/>
      <c r="B1080" s="78"/>
      <c r="C1080" s="189"/>
      <c r="D1080" s="185"/>
      <c r="E1080" s="186"/>
      <c r="F1080" s="187"/>
    </row>
    <row r="1081" spans="1:6" x14ac:dyDescent="0.2">
      <c r="A1081" s="275"/>
      <c r="B1081" s="78"/>
      <c r="C1081" s="189"/>
      <c r="D1081" s="185"/>
      <c r="E1081" s="186"/>
      <c r="F1081" s="187"/>
    </row>
    <row r="1082" spans="1:6" x14ac:dyDescent="0.2">
      <c r="A1082" s="275"/>
      <c r="B1082" s="78"/>
      <c r="C1082" s="189"/>
      <c r="D1082" s="185"/>
      <c r="E1082" s="186"/>
      <c r="F1082" s="187"/>
    </row>
    <row r="1083" spans="1:6" x14ac:dyDescent="0.2">
      <c r="A1083" s="275"/>
      <c r="B1083" s="78"/>
      <c r="C1083" s="189"/>
      <c r="D1083" s="185"/>
      <c r="E1083" s="186"/>
      <c r="F1083" s="187"/>
    </row>
    <row r="1084" spans="1:6" x14ac:dyDescent="0.2">
      <c r="A1084" s="275"/>
      <c r="B1084" s="78"/>
      <c r="C1084" s="189"/>
      <c r="D1084" s="185"/>
      <c r="E1084" s="186"/>
      <c r="F1084" s="187"/>
    </row>
    <row r="1085" spans="1:6" x14ac:dyDescent="0.2">
      <c r="A1085" s="275"/>
      <c r="B1085" s="78"/>
      <c r="C1085" s="189"/>
      <c r="D1085" s="185"/>
      <c r="E1085" s="186"/>
      <c r="F1085" s="187"/>
    </row>
    <row r="1086" spans="1:6" x14ac:dyDescent="0.2">
      <c r="A1086" s="275"/>
      <c r="B1086" s="78"/>
      <c r="C1086" s="189"/>
      <c r="D1086" s="185"/>
      <c r="E1086" s="186"/>
      <c r="F1086" s="187"/>
    </row>
    <row r="1087" spans="1:6" x14ac:dyDescent="0.2">
      <c r="A1087" s="275"/>
      <c r="B1087" s="78"/>
      <c r="C1087" s="189"/>
      <c r="D1087" s="185"/>
      <c r="E1087" s="186"/>
      <c r="F1087" s="187"/>
    </row>
    <row r="1088" spans="1:6" x14ac:dyDescent="0.2">
      <c r="A1088" s="275"/>
      <c r="B1088" s="78"/>
      <c r="C1088" s="189"/>
      <c r="D1088" s="185"/>
      <c r="E1088" s="186"/>
      <c r="F1088" s="187"/>
    </row>
    <row r="1089" spans="1:6" x14ac:dyDescent="0.2">
      <c r="A1089" s="275"/>
      <c r="B1089" s="78"/>
      <c r="C1089" s="189"/>
      <c r="D1089" s="185"/>
      <c r="E1089" s="186"/>
      <c r="F1089" s="187"/>
    </row>
    <row r="1090" spans="1:6" x14ac:dyDescent="0.2">
      <c r="A1090" s="275"/>
      <c r="B1090" s="78"/>
      <c r="C1090" s="189"/>
      <c r="D1090" s="185"/>
      <c r="E1090" s="186"/>
      <c r="F1090" s="187"/>
    </row>
    <row r="1091" spans="1:6" x14ac:dyDescent="0.2">
      <c r="A1091" s="275"/>
      <c r="B1091" s="78"/>
      <c r="C1091" s="189"/>
      <c r="D1091" s="185"/>
      <c r="E1091" s="186"/>
      <c r="F1091" s="187"/>
    </row>
    <row r="1092" spans="1:6" x14ac:dyDescent="0.2">
      <c r="A1092" s="275"/>
      <c r="B1092" s="78"/>
      <c r="C1092" s="189"/>
      <c r="D1092" s="185"/>
      <c r="E1092" s="186"/>
      <c r="F1092" s="187"/>
    </row>
    <row r="1093" spans="1:6" x14ac:dyDescent="0.2">
      <c r="A1093" s="275"/>
      <c r="B1093" s="78"/>
      <c r="C1093" s="189"/>
      <c r="D1093" s="185"/>
      <c r="E1093" s="186"/>
      <c r="F1093" s="187"/>
    </row>
    <row r="1094" spans="1:6" x14ac:dyDescent="0.2">
      <c r="A1094" s="275"/>
      <c r="B1094" s="78"/>
      <c r="C1094" s="189"/>
      <c r="D1094" s="185"/>
      <c r="E1094" s="186"/>
      <c r="F1094" s="187"/>
    </row>
    <row r="1095" spans="1:6" x14ac:dyDescent="0.2">
      <c r="A1095" s="275"/>
      <c r="B1095" s="78"/>
      <c r="C1095" s="189"/>
      <c r="D1095" s="185"/>
      <c r="E1095" s="186"/>
      <c r="F1095" s="187"/>
    </row>
    <row r="1096" spans="1:6" x14ac:dyDescent="0.2">
      <c r="A1096" s="275"/>
      <c r="B1096" s="78"/>
      <c r="C1096" s="189"/>
      <c r="D1096" s="185"/>
      <c r="E1096" s="186"/>
      <c r="F1096" s="187"/>
    </row>
    <row r="1097" spans="1:6" x14ac:dyDescent="0.2">
      <c r="A1097" s="275"/>
      <c r="B1097" s="78"/>
      <c r="C1097" s="189"/>
      <c r="D1097" s="185"/>
      <c r="E1097" s="186"/>
      <c r="F1097" s="187"/>
    </row>
    <row r="1098" spans="1:6" x14ac:dyDescent="0.2">
      <c r="A1098" s="275"/>
      <c r="B1098" s="78"/>
      <c r="C1098" s="189"/>
      <c r="D1098" s="185"/>
      <c r="E1098" s="186"/>
      <c r="F1098" s="187"/>
    </row>
    <row r="1099" spans="1:6" x14ac:dyDescent="0.2">
      <c r="A1099" s="275"/>
      <c r="B1099" s="78"/>
      <c r="C1099" s="189"/>
      <c r="D1099" s="185"/>
      <c r="E1099" s="186"/>
      <c r="F1099" s="187"/>
    </row>
    <row r="1100" spans="1:6" x14ac:dyDescent="0.2">
      <c r="A1100" s="275"/>
      <c r="B1100" s="78"/>
      <c r="C1100" s="189"/>
      <c r="D1100" s="185"/>
      <c r="E1100" s="186"/>
      <c r="F1100" s="187"/>
    </row>
    <row r="1101" spans="1:6" x14ac:dyDescent="0.2">
      <c r="A1101" s="275"/>
      <c r="B1101" s="78"/>
      <c r="C1101" s="189"/>
      <c r="D1101" s="185"/>
      <c r="E1101" s="186"/>
      <c r="F1101" s="187"/>
    </row>
    <row r="1102" spans="1:6" x14ac:dyDescent="0.2">
      <c r="A1102" s="275"/>
      <c r="B1102" s="78"/>
      <c r="C1102" s="189"/>
      <c r="D1102" s="185"/>
      <c r="E1102" s="186"/>
      <c r="F1102" s="187"/>
    </row>
    <row r="1103" spans="1:6" x14ac:dyDescent="0.2">
      <c r="A1103" s="275"/>
      <c r="B1103" s="78"/>
      <c r="C1103" s="189"/>
      <c r="D1103" s="185"/>
      <c r="E1103" s="186"/>
      <c r="F1103" s="187"/>
    </row>
    <row r="1104" spans="1:6" x14ac:dyDescent="0.2">
      <c r="A1104" s="275"/>
      <c r="B1104" s="78"/>
      <c r="C1104" s="189"/>
      <c r="D1104" s="185"/>
      <c r="E1104" s="186"/>
      <c r="F1104" s="187"/>
    </row>
    <row r="1105" spans="1:6" x14ac:dyDescent="0.2">
      <c r="A1105" s="275"/>
      <c r="B1105" s="78"/>
      <c r="C1105" s="189"/>
      <c r="D1105" s="185"/>
      <c r="E1105" s="186"/>
      <c r="F1105" s="187"/>
    </row>
    <row r="1106" spans="1:6" x14ac:dyDescent="0.2">
      <c r="A1106" s="275"/>
      <c r="B1106" s="78"/>
      <c r="C1106" s="189"/>
      <c r="D1106" s="185"/>
      <c r="E1106" s="186"/>
      <c r="F1106" s="187"/>
    </row>
    <row r="1107" spans="1:6" x14ac:dyDescent="0.2">
      <c r="A1107" s="275"/>
      <c r="B1107" s="78"/>
      <c r="C1107" s="189"/>
      <c r="D1107" s="185"/>
      <c r="E1107" s="186"/>
      <c r="F1107" s="187"/>
    </row>
    <row r="1108" spans="1:6" x14ac:dyDescent="0.2">
      <c r="A1108" s="275"/>
      <c r="B1108" s="78"/>
      <c r="C1108" s="189"/>
      <c r="D1108" s="185"/>
      <c r="E1108" s="186"/>
      <c r="F1108" s="187"/>
    </row>
    <row r="1109" spans="1:6" x14ac:dyDescent="0.2">
      <c r="A1109" s="275"/>
      <c r="B1109" s="78"/>
      <c r="C1109" s="189"/>
      <c r="D1109" s="185"/>
      <c r="E1109" s="186"/>
      <c r="F1109" s="187"/>
    </row>
    <row r="1110" spans="1:6" x14ac:dyDescent="0.2">
      <c r="A1110" s="275"/>
      <c r="B1110" s="78"/>
      <c r="C1110" s="189"/>
      <c r="D1110" s="185"/>
      <c r="E1110" s="186"/>
      <c r="F1110" s="187"/>
    </row>
    <row r="1111" spans="1:6" x14ac:dyDescent="0.2">
      <c r="A1111" s="275"/>
      <c r="B1111" s="78"/>
      <c r="C1111" s="189"/>
      <c r="D1111" s="185"/>
      <c r="E1111" s="186"/>
      <c r="F1111" s="187"/>
    </row>
    <row r="1112" spans="1:6" x14ac:dyDescent="0.2">
      <c r="A1112" s="275"/>
      <c r="B1112" s="78"/>
      <c r="C1112" s="189"/>
      <c r="D1112" s="185"/>
      <c r="E1112" s="186"/>
      <c r="F1112" s="187"/>
    </row>
    <row r="1113" spans="1:6" x14ac:dyDescent="0.2">
      <c r="A1113" s="275"/>
      <c r="B1113" s="78"/>
      <c r="C1113" s="189"/>
      <c r="D1113" s="185"/>
      <c r="E1113" s="186"/>
      <c r="F1113" s="187"/>
    </row>
    <row r="1114" spans="1:6" x14ac:dyDescent="0.2">
      <c r="A1114" s="275"/>
      <c r="B1114" s="78"/>
      <c r="C1114" s="189"/>
      <c r="D1114" s="185"/>
      <c r="E1114" s="186"/>
      <c r="F1114" s="187"/>
    </row>
    <row r="1115" spans="1:6" x14ac:dyDescent="0.2">
      <c r="A1115" s="275"/>
      <c r="B1115" s="78"/>
      <c r="C1115" s="189"/>
      <c r="D1115" s="185"/>
      <c r="E1115" s="186"/>
      <c r="F1115" s="187"/>
    </row>
    <row r="1116" spans="1:6" x14ac:dyDescent="0.2">
      <c r="A1116" s="275"/>
      <c r="B1116" s="78"/>
      <c r="C1116" s="189"/>
      <c r="D1116" s="185"/>
      <c r="E1116" s="186"/>
      <c r="F1116" s="187"/>
    </row>
    <row r="1117" spans="1:6" x14ac:dyDescent="0.2">
      <c r="A1117" s="275"/>
      <c r="B1117" s="78"/>
      <c r="C1117" s="189"/>
      <c r="D1117" s="185"/>
      <c r="E1117" s="186"/>
      <c r="F1117" s="187"/>
    </row>
    <row r="1118" spans="1:6" x14ac:dyDescent="0.2">
      <c r="A1118" s="275"/>
      <c r="B1118" s="78"/>
      <c r="C1118" s="189"/>
      <c r="D1118" s="185"/>
      <c r="E1118" s="186"/>
      <c r="F1118" s="187"/>
    </row>
    <row r="1119" spans="1:6" x14ac:dyDescent="0.2">
      <c r="A1119" s="275"/>
      <c r="B1119" s="78"/>
      <c r="C1119" s="189"/>
      <c r="D1119" s="185"/>
      <c r="E1119" s="186"/>
      <c r="F1119" s="187"/>
    </row>
    <row r="1120" spans="1:6" x14ac:dyDescent="0.2">
      <c r="A1120" s="275"/>
      <c r="B1120" s="78"/>
      <c r="C1120" s="189"/>
      <c r="D1120" s="185"/>
      <c r="E1120" s="186"/>
      <c r="F1120" s="187"/>
    </row>
    <row r="1121" spans="1:6" x14ac:dyDescent="0.2">
      <c r="A1121" s="275"/>
      <c r="B1121" s="78"/>
      <c r="C1121" s="189"/>
      <c r="D1121" s="185"/>
      <c r="E1121" s="186"/>
      <c r="F1121" s="187"/>
    </row>
    <row r="1122" spans="1:6" x14ac:dyDescent="0.2">
      <c r="A1122" s="275"/>
      <c r="B1122" s="78"/>
      <c r="C1122" s="189"/>
      <c r="D1122" s="185"/>
      <c r="E1122" s="186"/>
      <c r="F1122" s="187"/>
    </row>
    <row r="1123" spans="1:6" x14ac:dyDescent="0.2">
      <c r="A1123" s="275"/>
      <c r="B1123" s="78"/>
      <c r="C1123" s="189"/>
      <c r="D1123" s="185"/>
      <c r="E1123" s="186"/>
      <c r="F1123" s="187"/>
    </row>
    <row r="1124" spans="1:6" x14ac:dyDescent="0.2">
      <c r="A1124" s="275"/>
      <c r="B1124" s="78"/>
      <c r="C1124" s="189"/>
      <c r="D1124" s="185"/>
      <c r="E1124" s="186"/>
      <c r="F1124" s="187"/>
    </row>
    <row r="1125" spans="1:6" x14ac:dyDescent="0.2">
      <c r="A1125" s="275"/>
      <c r="B1125" s="78"/>
      <c r="C1125" s="189"/>
      <c r="D1125" s="185"/>
      <c r="E1125" s="186"/>
      <c r="F1125" s="187"/>
    </row>
    <row r="1126" spans="1:6" x14ac:dyDescent="0.2">
      <c r="A1126" s="275"/>
      <c r="B1126" s="78"/>
      <c r="C1126" s="189"/>
      <c r="D1126" s="185"/>
      <c r="E1126" s="186"/>
      <c r="F1126" s="187"/>
    </row>
    <row r="1127" spans="1:6" x14ac:dyDescent="0.2">
      <c r="A1127" s="275"/>
      <c r="B1127" s="78"/>
      <c r="C1127" s="189"/>
      <c r="D1127" s="185"/>
      <c r="E1127" s="186"/>
      <c r="F1127" s="187"/>
    </row>
    <row r="1128" spans="1:6" x14ac:dyDescent="0.2">
      <c r="A1128" s="275"/>
      <c r="B1128" s="78"/>
      <c r="C1128" s="189"/>
      <c r="D1128" s="185"/>
      <c r="E1128" s="186"/>
      <c r="F1128" s="187"/>
    </row>
    <row r="1129" spans="1:6" x14ac:dyDescent="0.2">
      <c r="A1129" s="275"/>
      <c r="B1129" s="78"/>
      <c r="C1129" s="189"/>
      <c r="D1129" s="185"/>
      <c r="E1129" s="186"/>
      <c r="F1129" s="187"/>
    </row>
    <row r="1130" spans="1:6" x14ac:dyDescent="0.2">
      <c r="A1130" s="275"/>
      <c r="B1130" s="78"/>
      <c r="C1130" s="189"/>
      <c r="D1130" s="185"/>
      <c r="E1130" s="186"/>
      <c r="F1130" s="187"/>
    </row>
    <row r="1131" spans="1:6" x14ac:dyDescent="0.2">
      <c r="A1131" s="275"/>
      <c r="B1131" s="78"/>
      <c r="C1131" s="189"/>
      <c r="D1131" s="185"/>
      <c r="E1131" s="186"/>
      <c r="F1131" s="187"/>
    </row>
    <row r="1132" spans="1:6" x14ac:dyDescent="0.2">
      <c r="A1132" s="275"/>
      <c r="B1132" s="78"/>
      <c r="C1132" s="189"/>
      <c r="D1132" s="185"/>
      <c r="E1132" s="186"/>
      <c r="F1132" s="187"/>
    </row>
    <row r="1133" spans="1:6" x14ac:dyDescent="0.2">
      <c r="A1133" s="275"/>
      <c r="B1133" s="78"/>
      <c r="C1133" s="189"/>
      <c r="D1133" s="185"/>
      <c r="E1133" s="186"/>
      <c r="F1133" s="187"/>
    </row>
    <row r="1134" spans="1:6" x14ac:dyDescent="0.2">
      <c r="A1134" s="275"/>
      <c r="B1134" s="78"/>
      <c r="C1134" s="189"/>
      <c r="D1134" s="185"/>
      <c r="E1134" s="186"/>
      <c r="F1134" s="187"/>
    </row>
    <row r="1135" spans="1:6" x14ac:dyDescent="0.2">
      <c r="A1135" s="275"/>
      <c r="B1135" s="78"/>
      <c r="C1135" s="189"/>
      <c r="D1135" s="185"/>
      <c r="E1135" s="186"/>
      <c r="F1135" s="187"/>
    </row>
    <row r="1136" spans="1:6" x14ac:dyDescent="0.2">
      <c r="A1136" s="275"/>
      <c r="B1136" s="78"/>
      <c r="C1136" s="189"/>
      <c r="D1136" s="185"/>
      <c r="E1136" s="186"/>
      <c r="F1136" s="187"/>
    </row>
    <row r="1137" spans="1:6" x14ac:dyDescent="0.2">
      <c r="A1137" s="275"/>
      <c r="B1137" s="78"/>
      <c r="C1137" s="189"/>
      <c r="D1137" s="185"/>
      <c r="E1137" s="186"/>
      <c r="F1137" s="187"/>
    </row>
    <row r="1138" spans="1:6" x14ac:dyDescent="0.2">
      <c r="A1138" s="275"/>
      <c r="B1138" s="78"/>
      <c r="C1138" s="189"/>
      <c r="D1138" s="185"/>
      <c r="E1138" s="186"/>
      <c r="F1138" s="187"/>
    </row>
    <row r="1139" spans="1:6" x14ac:dyDescent="0.2">
      <c r="A1139" s="275"/>
      <c r="B1139" s="78"/>
      <c r="C1139" s="189"/>
      <c r="D1139" s="185"/>
      <c r="E1139" s="186"/>
      <c r="F1139" s="187"/>
    </row>
    <row r="1140" spans="1:6" x14ac:dyDescent="0.2">
      <c r="A1140" s="275"/>
      <c r="B1140" s="78"/>
      <c r="C1140" s="189"/>
      <c r="D1140" s="185"/>
      <c r="E1140" s="186"/>
      <c r="F1140" s="187"/>
    </row>
    <row r="1141" spans="1:6" x14ac:dyDescent="0.2">
      <c r="A1141" s="275"/>
      <c r="B1141" s="78"/>
      <c r="C1141" s="189"/>
      <c r="D1141" s="185"/>
      <c r="E1141" s="186"/>
      <c r="F1141" s="187"/>
    </row>
    <row r="1142" spans="1:6" x14ac:dyDescent="0.2">
      <c r="A1142" s="275"/>
      <c r="B1142" s="78"/>
      <c r="C1142" s="189"/>
      <c r="D1142" s="185"/>
      <c r="E1142" s="186"/>
      <c r="F1142" s="187"/>
    </row>
    <row r="1143" spans="1:6" x14ac:dyDescent="0.2">
      <c r="A1143" s="275"/>
      <c r="B1143" s="78"/>
      <c r="C1143" s="189"/>
      <c r="D1143" s="185"/>
      <c r="E1143" s="186"/>
      <c r="F1143" s="187"/>
    </row>
    <row r="1144" spans="1:6" x14ac:dyDescent="0.2">
      <c r="A1144" s="275"/>
      <c r="B1144" s="78"/>
      <c r="C1144" s="189"/>
      <c r="D1144" s="185"/>
      <c r="E1144" s="186"/>
      <c r="F1144" s="187"/>
    </row>
    <row r="1145" spans="1:6" x14ac:dyDescent="0.2">
      <c r="A1145" s="275"/>
      <c r="B1145" s="78"/>
      <c r="C1145" s="189"/>
      <c r="D1145" s="185"/>
      <c r="E1145" s="186"/>
      <c r="F1145" s="187"/>
    </row>
    <row r="1146" spans="1:6" x14ac:dyDescent="0.2">
      <c r="A1146" s="275"/>
      <c r="B1146" s="78"/>
      <c r="C1146" s="189"/>
      <c r="D1146" s="185"/>
      <c r="E1146" s="186"/>
      <c r="F1146" s="187"/>
    </row>
    <row r="1147" spans="1:6" x14ac:dyDescent="0.2">
      <c r="A1147" s="275"/>
      <c r="B1147" s="78"/>
      <c r="C1147" s="189"/>
      <c r="D1147" s="185"/>
      <c r="E1147" s="186"/>
      <c r="F1147" s="187"/>
    </row>
    <row r="1148" spans="1:6" x14ac:dyDescent="0.2">
      <c r="A1148" s="275"/>
      <c r="B1148" s="78"/>
      <c r="C1148" s="189"/>
      <c r="D1148" s="185"/>
      <c r="E1148" s="186"/>
      <c r="F1148" s="187"/>
    </row>
    <row r="1149" spans="1:6" x14ac:dyDescent="0.2">
      <c r="A1149" s="275"/>
      <c r="B1149" s="78"/>
      <c r="C1149" s="189"/>
      <c r="D1149" s="185"/>
      <c r="E1149" s="186"/>
      <c r="F1149" s="187"/>
    </row>
    <row r="1150" spans="1:6" x14ac:dyDescent="0.2">
      <c r="A1150" s="275"/>
      <c r="B1150" s="78"/>
      <c r="C1150" s="189"/>
      <c r="D1150" s="185"/>
      <c r="E1150" s="186"/>
      <c r="F1150" s="187"/>
    </row>
    <row r="1151" spans="1:6" x14ac:dyDescent="0.2">
      <c r="A1151" s="275"/>
      <c r="B1151" s="78"/>
      <c r="C1151" s="189"/>
      <c r="D1151" s="185"/>
      <c r="E1151" s="186"/>
      <c r="F1151" s="187"/>
    </row>
    <row r="1152" spans="1:6" x14ac:dyDescent="0.2">
      <c r="A1152" s="275"/>
      <c r="B1152" s="78"/>
      <c r="C1152" s="189"/>
      <c r="D1152" s="185"/>
      <c r="E1152" s="186"/>
      <c r="F1152" s="187"/>
    </row>
    <row r="1153" spans="1:6" x14ac:dyDescent="0.2">
      <c r="A1153" s="275"/>
      <c r="B1153" s="78"/>
      <c r="C1153" s="189"/>
      <c r="D1153" s="185"/>
      <c r="E1153" s="186"/>
      <c r="F1153" s="187"/>
    </row>
    <row r="1154" spans="1:6" x14ac:dyDescent="0.2">
      <c r="A1154" s="275"/>
      <c r="B1154" s="78"/>
      <c r="C1154" s="189"/>
      <c r="D1154" s="185"/>
      <c r="E1154" s="186"/>
      <c r="F1154" s="187"/>
    </row>
    <row r="1155" spans="1:6" x14ac:dyDescent="0.2">
      <c r="A1155" s="275"/>
      <c r="B1155" s="78"/>
      <c r="C1155" s="189"/>
      <c r="D1155" s="185"/>
      <c r="E1155" s="186"/>
      <c r="F1155" s="187"/>
    </row>
    <row r="1156" spans="1:6" x14ac:dyDescent="0.2">
      <c r="A1156" s="275"/>
      <c r="B1156" s="78"/>
      <c r="C1156" s="189"/>
      <c r="D1156" s="185"/>
      <c r="E1156" s="186"/>
      <c r="F1156" s="187"/>
    </row>
    <row r="1157" spans="1:6" x14ac:dyDescent="0.2">
      <c r="A1157" s="275"/>
      <c r="B1157" s="78"/>
      <c r="C1157" s="189"/>
      <c r="D1157" s="185"/>
      <c r="E1157" s="186"/>
      <c r="F1157" s="187"/>
    </row>
    <row r="1158" spans="1:6" x14ac:dyDescent="0.2">
      <c r="A1158" s="275"/>
      <c r="B1158" s="78"/>
      <c r="C1158" s="189"/>
      <c r="D1158" s="185"/>
      <c r="E1158" s="186"/>
      <c r="F1158" s="187"/>
    </row>
    <row r="1159" spans="1:6" x14ac:dyDescent="0.2">
      <c r="A1159" s="275"/>
      <c r="B1159" s="78"/>
      <c r="C1159" s="189"/>
      <c r="D1159" s="185"/>
      <c r="E1159" s="186"/>
      <c r="F1159" s="187"/>
    </row>
    <row r="1160" spans="1:6" x14ac:dyDescent="0.2">
      <c r="A1160" s="275"/>
      <c r="B1160" s="78"/>
      <c r="C1160" s="189"/>
      <c r="D1160" s="185"/>
      <c r="E1160" s="186"/>
      <c r="F1160" s="187"/>
    </row>
    <row r="1161" spans="1:6" x14ac:dyDescent="0.2">
      <c r="A1161" s="275"/>
      <c r="B1161" s="78"/>
      <c r="C1161" s="189"/>
      <c r="D1161" s="185"/>
      <c r="E1161" s="186"/>
      <c r="F1161" s="187"/>
    </row>
    <row r="1162" spans="1:6" x14ac:dyDescent="0.2">
      <c r="A1162" s="275"/>
      <c r="B1162" s="78"/>
      <c r="C1162" s="189"/>
      <c r="D1162" s="185"/>
      <c r="E1162" s="186"/>
      <c r="F1162" s="187"/>
    </row>
    <row r="1163" spans="1:6" x14ac:dyDescent="0.2">
      <c r="A1163" s="275"/>
      <c r="B1163" s="78"/>
      <c r="C1163" s="189"/>
      <c r="D1163" s="185"/>
      <c r="E1163" s="186"/>
      <c r="F1163" s="187"/>
    </row>
    <row r="1164" spans="1:6" x14ac:dyDescent="0.2">
      <c r="A1164" s="275"/>
      <c r="B1164" s="78"/>
      <c r="C1164" s="189"/>
      <c r="D1164" s="185"/>
      <c r="E1164" s="186"/>
      <c r="F1164" s="187"/>
    </row>
    <row r="1165" spans="1:6" x14ac:dyDescent="0.2">
      <c r="A1165" s="275"/>
      <c r="B1165" s="78"/>
      <c r="C1165" s="189"/>
      <c r="D1165" s="185"/>
      <c r="E1165" s="186"/>
      <c r="F1165" s="187"/>
    </row>
    <row r="1166" spans="1:6" x14ac:dyDescent="0.2">
      <c r="A1166" s="275"/>
      <c r="B1166" s="78"/>
      <c r="C1166" s="189"/>
      <c r="D1166" s="185"/>
      <c r="E1166" s="186"/>
      <c r="F1166" s="187"/>
    </row>
    <row r="1167" spans="1:6" x14ac:dyDescent="0.2">
      <c r="A1167" s="275"/>
      <c r="B1167" s="78"/>
      <c r="C1167" s="189"/>
      <c r="D1167" s="185"/>
      <c r="E1167" s="186"/>
      <c r="F1167" s="187"/>
    </row>
    <row r="1168" spans="1:6" x14ac:dyDescent="0.2">
      <c r="A1168" s="275"/>
      <c r="B1168" s="78"/>
      <c r="C1168" s="189"/>
      <c r="D1168" s="185"/>
      <c r="E1168" s="186"/>
      <c r="F1168" s="187"/>
    </row>
    <row r="1169" spans="1:6" x14ac:dyDescent="0.2">
      <c r="A1169" s="275"/>
      <c r="B1169" s="78"/>
      <c r="C1169" s="189"/>
      <c r="D1169" s="185"/>
      <c r="E1169" s="186"/>
      <c r="F1169" s="187"/>
    </row>
    <row r="1170" spans="1:6" x14ac:dyDescent="0.2">
      <c r="A1170" s="275"/>
      <c r="B1170" s="78"/>
      <c r="C1170" s="189"/>
      <c r="D1170" s="185"/>
      <c r="E1170" s="186"/>
      <c r="F1170" s="187"/>
    </row>
    <row r="1171" spans="1:6" x14ac:dyDescent="0.2">
      <c r="A1171" s="275"/>
      <c r="B1171" s="78"/>
      <c r="C1171" s="189"/>
      <c r="D1171" s="185"/>
      <c r="E1171" s="186"/>
      <c r="F1171" s="187"/>
    </row>
    <row r="1172" spans="1:6" x14ac:dyDescent="0.2">
      <c r="A1172" s="275"/>
      <c r="B1172" s="78"/>
      <c r="C1172" s="189"/>
      <c r="D1172" s="185"/>
      <c r="E1172" s="186"/>
      <c r="F1172" s="187"/>
    </row>
    <row r="1173" spans="1:6" x14ac:dyDescent="0.2">
      <c r="A1173" s="275"/>
      <c r="B1173" s="78"/>
      <c r="C1173" s="189"/>
      <c r="D1173" s="185"/>
      <c r="E1173" s="186"/>
      <c r="F1173" s="187"/>
    </row>
    <row r="1174" spans="1:6" x14ac:dyDescent="0.2">
      <c r="A1174" s="275"/>
      <c r="B1174" s="78"/>
      <c r="C1174" s="189"/>
      <c r="D1174" s="185"/>
      <c r="E1174" s="186"/>
      <c r="F1174" s="187"/>
    </row>
    <row r="1175" spans="1:6" x14ac:dyDescent="0.2">
      <c r="A1175" s="275"/>
      <c r="B1175" s="78"/>
      <c r="C1175" s="189"/>
      <c r="D1175" s="185"/>
      <c r="E1175" s="186"/>
      <c r="F1175" s="187"/>
    </row>
    <row r="1176" spans="1:6" x14ac:dyDescent="0.2">
      <c r="A1176" s="275"/>
      <c r="B1176" s="78"/>
      <c r="C1176" s="189"/>
      <c r="D1176" s="185"/>
      <c r="E1176" s="186"/>
      <c r="F1176" s="187"/>
    </row>
    <row r="1177" spans="1:6" x14ac:dyDescent="0.2">
      <c r="A1177" s="275"/>
      <c r="B1177" s="78"/>
      <c r="C1177" s="189"/>
      <c r="D1177" s="185"/>
      <c r="E1177" s="186"/>
      <c r="F1177" s="187"/>
    </row>
    <row r="1178" spans="1:6" x14ac:dyDescent="0.2">
      <c r="A1178" s="275"/>
      <c r="B1178" s="78"/>
      <c r="C1178" s="189"/>
      <c r="D1178" s="185"/>
      <c r="E1178" s="186"/>
      <c r="F1178" s="187"/>
    </row>
    <row r="1179" spans="1:6" x14ac:dyDescent="0.2">
      <c r="A1179" s="275"/>
      <c r="B1179" s="78"/>
      <c r="C1179" s="189"/>
      <c r="D1179" s="185"/>
      <c r="E1179" s="186"/>
      <c r="F1179" s="187"/>
    </row>
    <row r="1180" spans="1:6" x14ac:dyDescent="0.2">
      <c r="A1180" s="275"/>
      <c r="B1180" s="78"/>
      <c r="C1180" s="189"/>
      <c r="D1180" s="185"/>
      <c r="E1180" s="186"/>
      <c r="F1180" s="187"/>
    </row>
    <row r="1181" spans="1:6" x14ac:dyDescent="0.2">
      <c r="A1181" s="275"/>
      <c r="B1181" s="78"/>
      <c r="C1181" s="189"/>
      <c r="D1181" s="185"/>
      <c r="E1181" s="186"/>
      <c r="F1181" s="187"/>
    </row>
    <row r="1182" spans="1:6" x14ac:dyDescent="0.2">
      <c r="A1182" s="275"/>
      <c r="B1182" s="78"/>
      <c r="C1182" s="189"/>
      <c r="D1182" s="185"/>
      <c r="E1182" s="186"/>
      <c r="F1182" s="187"/>
    </row>
    <row r="1183" spans="1:6" x14ac:dyDescent="0.2">
      <c r="A1183" s="275"/>
      <c r="B1183" s="78"/>
      <c r="C1183" s="189"/>
      <c r="D1183" s="185"/>
      <c r="E1183" s="186"/>
      <c r="F1183" s="187"/>
    </row>
    <row r="1184" spans="1:6" x14ac:dyDescent="0.2">
      <c r="A1184" s="275"/>
      <c r="B1184" s="78"/>
      <c r="C1184" s="189"/>
      <c r="D1184" s="185"/>
      <c r="E1184" s="186"/>
      <c r="F1184" s="187"/>
    </row>
    <row r="1185" spans="1:6" x14ac:dyDescent="0.2">
      <c r="A1185" s="275"/>
      <c r="B1185" s="78"/>
      <c r="C1185" s="189"/>
      <c r="D1185" s="185"/>
      <c r="E1185" s="186"/>
      <c r="F1185" s="187"/>
    </row>
    <row r="1186" spans="1:6" x14ac:dyDescent="0.2">
      <c r="A1186" s="275"/>
      <c r="B1186" s="78"/>
      <c r="C1186" s="189"/>
      <c r="D1186" s="185"/>
      <c r="E1186" s="186"/>
      <c r="F1186" s="187"/>
    </row>
    <row r="1187" spans="1:6" x14ac:dyDescent="0.2">
      <c r="A1187" s="275"/>
      <c r="B1187" s="78"/>
      <c r="C1187" s="189"/>
      <c r="D1187" s="185"/>
      <c r="E1187" s="186"/>
      <c r="F1187" s="187"/>
    </row>
    <row r="1188" spans="1:6" x14ac:dyDescent="0.2">
      <c r="A1188" s="275"/>
      <c r="B1188" s="78"/>
      <c r="C1188" s="189"/>
      <c r="D1188" s="185"/>
      <c r="E1188" s="186"/>
      <c r="F1188" s="187"/>
    </row>
    <row r="1189" spans="1:6" x14ac:dyDescent="0.2">
      <c r="A1189" s="275"/>
      <c r="B1189" s="78"/>
      <c r="C1189" s="189"/>
      <c r="D1189" s="185"/>
      <c r="E1189" s="186"/>
      <c r="F1189" s="187"/>
    </row>
    <row r="1190" spans="1:6" x14ac:dyDescent="0.2">
      <c r="A1190" s="275"/>
      <c r="B1190" s="78"/>
      <c r="C1190" s="189"/>
      <c r="D1190" s="185"/>
      <c r="E1190" s="186"/>
      <c r="F1190" s="187"/>
    </row>
    <row r="1191" spans="1:6" x14ac:dyDescent="0.2">
      <c r="A1191" s="275"/>
      <c r="B1191" s="78"/>
      <c r="C1191" s="189"/>
      <c r="D1191" s="185"/>
      <c r="E1191" s="186"/>
      <c r="F1191" s="187"/>
    </row>
    <row r="1192" spans="1:6" x14ac:dyDescent="0.2">
      <c r="A1192" s="275"/>
      <c r="B1192" s="78"/>
      <c r="C1192" s="189"/>
      <c r="D1192" s="185"/>
      <c r="E1192" s="186"/>
      <c r="F1192" s="187"/>
    </row>
    <row r="1193" spans="1:6" x14ac:dyDescent="0.2">
      <c r="A1193" s="275"/>
      <c r="B1193" s="78"/>
      <c r="C1193" s="189"/>
      <c r="D1193" s="185"/>
      <c r="E1193" s="186"/>
      <c r="F1193" s="187"/>
    </row>
    <row r="1194" spans="1:6" x14ac:dyDescent="0.2">
      <c r="A1194" s="275"/>
      <c r="B1194" s="78"/>
      <c r="C1194" s="189"/>
      <c r="D1194" s="185"/>
      <c r="E1194" s="186"/>
      <c r="F1194" s="187"/>
    </row>
    <row r="1195" spans="1:6" x14ac:dyDescent="0.2">
      <c r="A1195" s="275"/>
      <c r="B1195" s="78"/>
      <c r="C1195" s="189"/>
      <c r="D1195" s="185"/>
      <c r="E1195" s="186"/>
      <c r="F1195" s="187"/>
    </row>
    <row r="1196" spans="1:6" x14ac:dyDescent="0.2">
      <c r="A1196" s="275"/>
      <c r="B1196" s="78"/>
      <c r="C1196" s="189"/>
      <c r="D1196" s="185"/>
      <c r="E1196" s="186"/>
      <c r="F1196" s="187"/>
    </row>
    <row r="1197" spans="1:6" x14ac:dyDescent="0.2">
      <c r="A1197" s="275"/>
      <c r="B1197" s="78"/>
      <c r="C1197" s="189"/>
      <c r="D1197" s="185"/>
      <c r="E1197" s="186"/>
      <c r="F1197" s="187"/>
    </row>
    <row r="1198" spans="1:6" x14ac:dyDescent="0.2">
      <c r="A1198" s="275"/>
      <c r="B1198" s="78"/>
      <c r="C1198" s="189"/>
      <c r="D1198" s="185"/>
      <c r="E1198" s="186"/>
      <c r="F1198" s="187"/>
    </row>
    <row r="1199" spans="1:6" x14ac:dyDescent="0.2">
      <c r="A1199" s="275"/>
      <c r="B1199" s="78"/>
      <c r="C1199" s="189"/>
      <c r="D1199" s="185"/>
      <c r="E1199" s="186"/>
      <c r="F1199" s="187"/>
    </row>
    <row r="1200" spans="1:6" x14ac:dyDescent="0.2">
      <c r="A1200" s="275"/>
      <c r="B1200" s="78"/>
      <c r="C1200" s="189"/>
      <c r="D1200" s="185"/>
      <c r="E1200" s="186"/>
      <c r="F1200" s="187"/>
    </row>
    <row r="1201" spans="1:6" x14ac:dyDescent="0.2">
      <c r="A1201" s="275"/>
      <c r="B1201" s="78"/>
      <c r="C1201" s="189"/>
      <c r="D1201" s="185"/>
      <c r="E1201" s="186"/>
      <c r="F1201" s="187"/>
    </row>
    <row r="1202" spans="1:6" x14ac:dyDescent="0.2">
      <c r="A1202" s="275"/>
      <c r="B1202" s="78"/>
      <c r="C1202" s="189"/>
      <c r="D1202" s="185"/>
      <c r="E1202" s="186"/>
      <c r="F1202" s="187"/>
    </row>
    <row r="1203" spans="1:6" x14ac:dyDescent="0.2">
      <c r="A1203" s="275"/>
      <c r="B1203" s="78"/>
      <c r="C1203" s="189"/>
      <c r="D1203" s="185"/>
      <c r="E1203" s="186"/>
      <c r="F1203" s="187"/>
    </row>
    <row r="1204" spans="1:6" x14ac:dyDescent="0.2">
      <c r="A1204" s="275"/>
      <c r="B1204" s="78"/>
      <c r="C1204" s="189"/>
      <c r="D1204" s="185"/>
      <c r="E1204" s="186"/>
      <c r="F1204" s="187"/>
    </row>
    <row r="1205" spans="1:6" x14ac:dyDescent="0.2">
      <c r="A1205" s="275"/>
      <c r="B1205" s="78"/>
      <c r="C1205" s="189"/>
      <c r="D1205" s="185"/>
      <c r="E1205" s="186"/>
      <c r="F1205" s="187"/>
    </row>
    <row r="1206" spans="1:6" x14ac:dyDescent="0.2">
      <c r="A1206" s="275"/>
      <c r="B1206" s="78"/>
      <c r="C1206" s="189"/>
      <c r="D1206" s="185"/>
      <c r="E1206" s="186"/>
      <c r="F1206" s="187"/>
    </row>
    <row r="1207" spans="1:6" x14ac:dyDescent="0.2">
      <c r="A1207" s="275"/>
      <c r="B1207" s="78"/>
      <c r="C1207" s="189"/>
      <c r="D1207" s="185"/>
      <c r="E1207" s="186"/>
      <c r="F1207" s="187"/>
    </row>
    <row r="1208" spans="1:6" x14ac:dyDescent="0.2">
      <c r="A1208" s="275"/>
      <c r="B1208" s="78"/>
      <c r="C1208" s="189"/>
      <c r="D1208" s="185"/>
      <c r="E1208" s="186"/>
      <c r="F1208" s="187"/>
    </row>
    <row r="1209" spans="1:6" x14ac:dyDescent="0.2">
      <c r="A1209" s="275"/>
      <c r="B1209" s="78"/>
      <c r="C1209" s="189"/>
      <c r="D1209" s="185"/>
      <c r="E1209" s="186"/>
      <c r="F1209" s="187"/>
    </row>
    <row r="1210" spans="1:6" x14ac:dyDescent="0.2">
      <c r="A1210" s="275"/>
      <c r="B1210" s="78"/>
      <c r="C1210" s="189"/>
      <c r="D1210" s="185"/>
      <c r="E1210" s="186"/>
      <c r="F1210" s="187"/>
    </row>
    <row r="1211" spans="1:6" x14ac:dyDescent="0.2">
      <c r="A1211" s="275"/>
      <c r="B1211" s="78"/>
      <c r="C1211" s="189"/>
      <c r="D1211" s="185"/>
      <c r="E1211" s="186"/>
      <c r="F1211" s="187"/>
    </row>
    <row r="1212" spans="1:6" x14ac:dyDescent="0.2">
      <c r="A1212" s="275"/>
      <c r="B1212" s="78"/>
      <c r="C1212" s="189"/>
      <c r="D1212" s="185"/>
      <c r="E1212" s="186"/>
      <c r="F1212" s="187"/>
    </row>
    <row r="1213" spans="1:6" x14ac:dyDescent="0.2">
      <c r="A1213" s="275"/>
      <c r="B1213" s="78"/>
      <c r="C1213" s="189"/>
      <c r="D1213" s="185"/>
      <c r="E1213" s="186"/>
      <c r="F1213" s="187"/>
    </row>
    <row r="1214" spans="1:6" x14ac:dyDescent="0.2">
      <c r="A1214" s="275"/>
      <c r="B1214" s="78"/>
      <c r="C1214" s="189"/>
      <c r="D1214" s="185"/>
      <c r="E1214" s="186"/>
      <c r="F1214" s="187"/>
    </row>
    <row r="1215" spans="1:6" x14ac:dyDescent="0.2">
      <c r="A1215" s="275"/>
      <c r="B1215" s="78"/>
      <c r="C1215" s="189"/>
      <c r="D1215" s="185"/>
      <c r="E1215" s="186"/>
      <c r="F1215" s="187"/>
    </row>
    <row r="1216" spans="1:6" x14ac:dyDescent="0.2">
      <c r="A1216" s="275"/>
      <c r="B1216" s="78"/>
      <c r="C1216" s="189"/>
      <c r="D1216" s="185"/>
      <c r="E1216" s="186"/>
      <c r="F1216" s="187"/>
    </row>
    <row r="1217" spans="1:6" x14ac:dyDescent="0.2">
      <c r="A1217" s="275"/>
      <c r="B1217" s="78"/>
      <c r="C1217" s="189"/>
      <c r="D1217" s="185"/>
      <c r="E1217" s="186"/>
      <c r="F1217" s="187"/>
    </row>
    <row r="1218" spans="1:6" x14ac:dyDescent="0.2">
      <c r="A1218" s="275"/>
      <c r="B1218" s="78"/>
      <c r="C1218" s="189"/>
      <c r="D1218" s="185"/>
      <c r="E1218" s="186"/>
      <c r="F1218" s="187"/>
    </row>
    <row r="1219" spans="1:6" x14ac:dyDescent="0.2">
      <c r="A1219" s="275"/>
      <c r="B1219" s="78"/>
      <c r="C1219" s="189"/>
      <c r="D1219" s="185"/>
      <c r="E1219" s="186"/>
      <c r="F1219" s="187"/>
    </row>
    <row r="1220" spans="1:6" x14ac:dyDescent="0.2">
      <c r="A1220" s="275"/>
      <c r="B1220" s="78"/>
      <c r="C1220" s="189"/>
      <c r="D1220" s="185"/>
      <c r="E1220" s="186"/>
      <c r="F1220" s="187"/>
    </row>
    <row r="1221" spans="1:6" x14ac:dyDescent="0.2">
      <c r="A1221" s="275"/>
      <c r="B1221" s="78"/>
      <c r="C1221" s="189"/>
      <c r="D1221" s="185"/>
      <c r="E1221" s="186"/>
      <c r="F1221" s="187"/>
    </row>
    <row r="1222" spans="1:6" x14ac:dyDescent="0.2">
      <c r="A1222" s="275"/>
      <c r="B1222" s="78"/>
      <c r="C1222" s="189"/>
      <c r="D1222" s="185"/>
      <c r="E1222" s="186"/>
      <c r="F1222" s="187"/>
    </row>
    <row r="1223" spans="1:6" x14ac:dyDescent="0.2">
      <c r="A1223" s="275"/>
      <c r="B1223" s="78"/>
      <c r="C1223" s="189"/>
      <c r="D1223" s="185"/>
      <c r="E1223" s="186"/>
      <c r="F1223" s="187"/>
    </row>
    <row r="1224" spans="1:6" x14ac:dyDescent="0.2">
      <c r="A1224" s="275"/>
      <c r="B1224" s="78"/>
      <c r="C1224" s="189"/>
      <c r="D1224" s="185"/>
      <c r="E1224" s="186"/>
      <c r="F1224" s="187"/>
    </row>
    <row r="1225" spans="1:6" x14ac:dyDescent="0.2">
      <c r="A1225" s="275"/>
      <c r="B1225" s="78"/>
      <c r="C1225" s="189"/>
      <c r="D1225" s="185"/>
      <c r="E1225" s="186"/>
      <c r="F1225" s="187"/>
    </row>
    <row r="1226" spans="1:6" x14ac:dyDescent="0.2">
      <c r="A1226" s="275"/>
      <c r="B1226" s="78"/>
      <c r="C1226" s="189"/>
      <c r="D1226" s="185"/>
      <c r="E1226" s="186"/>
      <c r="F1226" s="187"/>
    </row>
    <row r="1227" spans="1:6" x14ac:dyDescent="0.2">
      <c r="A1227" s="275"/>
      <c r="B1227" s="78"/>
      <c r="C1227" s="189"/>
      <c r="D1227" s="185"/>
      <c r="E1227" s="186"/>
      <c r="F1227" s="187"/>
    </row>
    <row r="1228" spans="1:6" x14ac:dyDescent="0.2">
      <c r="A1228" s="275"/>
      <c r="B1228" s="78"/>
      <c r="C1228" s="189"/>
      <c r="D1228" s="185"/>
      <c r="E1228" s="186"/>
      <c r="F1228" s="187"/>
    </row>
    <row r="1229" spans="1:6" x14ac:dyDescent="0.2">
      <c r="A1229" s="275"/>
      <c r="B1229" s="78"/>
      <c r="C1229" s="189"/>
      <c r="D1229" s="185"/>
      <c r="E1229" s="186"/>
      <c r="F1229" s="187"/>
    </row>
    <row r="1230" spans="1:6" x14ac:dyDescent="0.2">
      <c r="A1230" s="275"/>
      <c r="B1230" s="78"/>
      <c r="C1230" s="189"/>
      <c r="D1230" s="185"/>
      <c r="E1230" s="186"/>
      <c r="F1230" s="187"/>
    </row>
    <row r="1231" spans="1:6" x14ac:dyDescent="0.2">
      <c r="A1231" s="275"/>
      <c r="B1231" s="78"/>
      <c r="C1231" s="189"/>
      <c r="D1231" s="185"/>
      <c r="E1231" s="186"/>
      <c r="F1231" s="187"/>
    </row>
    <row r="1232" spans="1:6" x14ac:dyDescent="0.2">
      <c r="A1232" s="275"/>
      <c r="B1232" s="78"/>
      <c r="C1232" s="189"/>
      <c r="D1232" s="185"/>
      <c r="E1232" s="186"/>
      <c r="F1232" s="187"/>
    </row>
    <row r="1233" spans="1:6" x14ac:dyDescent="0.2">
      <c r="A1233" s="275"/>
      <c r="B1233" s="78"/>
      <c r="C1233" s="189"/>
      <c r="D1233" s="185"/>
      <c r="E1233" s="186"/>
      <c r="F1233" s="187"/>
    </row>
    <row r="1234" spans="1:6" x14ac:dyDescent="0.2">
      <c r="A1234" s="275"/>
      <c r="B1234" s="78"/>
      <c r="C1234" s="189"/>
      <c r="D1234" s="185"/>
      <c r="E1234" s="186"/>
      <c r="F1234" s="187"/>
    </row>
    <row r="1235" spans="1:6" x14ac:dyDescent="0.2">
      <c r="A1235" s="275"/>
      <c r="B1235" s="78"/>
      <c r="C1235" s="189"/>
      <c r="D1235" s="185"/>
      <c r="E1235" s="186"/>
      <c r="F1235" s="187"/>
    </row>
    <row r="1236" spans="1:6" x14ac:dyDescent="0.2">
      <c r="A1236" s="275"/>
      <c r="B1236" s="78"/>
      <c r="C1236" s="189"/>
      <c r="D1236" s="185"/>
      <c r="E1236" s="186"/>
      <c r="F1236" s="187"/>
    </row>
    <row r="1237" spans="1:6" x14ac:dyDescent="0.2">
      <c r="A1237" s="275"/>
      <c r="B1237" s="78"/>
      <c r="C1237" s="189"/>
      <c r="D1237" s="185"/>
      <c r="E1237" s="186"/>
      <c r="F1237" s="187"/>
    </row>
    <row r="1238" spans="1:6" x14ac:dyDescent="0.2">
      <c r="A1238" s="275"/>
      <c r="B1238" s="78"/>
      <c r="C1238" s="189"/>
      <c r="D1238" s="185"/>
      <c r="E1238" s="186"/>
      <c r="F1238" s="187"/>
    </row>
    <row r="1239" spans="1:6" x14ac:dyDescent="0.2">
      <c r="A1239" s="275"/>
      <c r="B1239" s="78"/>
      <c r="C1239" s="189"/>
      <c r="D1239" s="185"/>
      <c r="E1239" s="186"/>
      <c r="F1239" s="187"/>
    </row>
    <row r="1240" spans="1:6" x14ac:dyDescent="0.2">
      <c r="A1240" s="275"/>
      <c r="B1240" s="78"/>
      <c r="C1240" s="189"/>
      <c r="D1240" s="185"/>
      <c r="E1240" s="186"/>
      <c r="F1240" s="187"/>
    </row>
    <row r="1241" spans="1:6" x14ac:dyDescent="0.2">
      <c r="A1241" s="275"/>
      <c r="B1241" s="78"/>
      <c r="C1241" s="189"/>
      <c r="D1241" s="185"/>
      <c r="E1241" s="186"/>
      <c r="F1241" s="187"/>
    </row>
    <row r="1242" spans="1:6" x14ac:dyDescent="0.2">
      <c r="A1242" s="275"/>
      <c r="B1242" s="78"/>
      <c r="C1242" s="189"/>
      <c r="D1242" s="185"/>
      <c r="E1242" s="186"/>
      <c r="F1242" s="187"/>
    </row>
    <row r="1243" spans="1:6" x14ac:dyDescent="0.2">
      <c r="A1243" s="275"/>
      <c r="B1243" s="78"/>
      <c r="C1243" s="189"/>
      <c r="D1243" s="185"/>
      <c r="E1243" s="186"/>
      <c r="F1243" s="187"/>
    </row>
    <row r="1244" spans="1:6" x14ac:dyDescent="0.2">
      <c r="A1244" s="275"/>
      <c r="B1244" s="78"/>
      <c r="C1244" s="189"/>
      <c r="D1244" s="185"/>
      <c r="E1244" s="186"/>
      <c r="F1244" s="187"/>
    </row>
    <row r="1245" spans="1:6" x14ac:dyDescent="0.2">
      <c r="A1245" s="275"/>
      <c r="B1245" s="78"/>
      <c r="C1245" s="189"/>
      <c r="D1245" s="185"/>
      <c r="E1245" s="186"/>
      <c r="F1245" s="187"/>
    </row>
    <row r="1246" spans="1:6" x14ac:dyDescent="0.2">
      <c r="A1246" s="275"/>
      <c r="B1246" s="78"/>
      <c r="C1246" s="189"/>
      <c r="D1246" s="185"/>
      <c r="E1246" s="186"/>
      <c r="F1246" s="187"/>
    </row>
    <row r="1247" spans="1:6" x14ac:dyDescent="0.2">
      <c r="A1247" s="275"/>
      <c r="B1247" s="78"/>
      <c r="C1247" s="189"/>
      <c r="D1247" s="185"/>
      <c r="E1247" s="186"/>
      <c r="F1247" s="187"/>
    </row>
    <row r="1248" spans="1:6" x14ac:dyDescent="0.2">
      <c r="A1248" s="275"/>
      <c r="B1248" s="78"/>
      <c r="C1248" s="189"/>
      <c r="D1248" s="185"/>
      <c r="E1248" s="186"/>
      <c r="F1248" s="187"/>
    </row>
    <row r="1249" spans="1:6" x14ac:dyDescent="0.2">
      <c r="A1249" s="275"/>
      <c r="B1249" s="78"/>
      <c r="C1249" s="189"/>
      <c r="D1249" s="185"/>
      <c r="E1249" s="186"/>
      <c r="F1249" s="187"/>
    </row>
    <row r="1250" spans="1:6" x14ac:dyDescent="0.2">
      <c r="A1250" s="275"/>
      <c r="B1250" s="78"/>
      <c r="C1250" s="189"/>
      <c r="D1250" s="185"/>
      <c r="E1250" s="186"/>
      <c r="F1250" s="187"/>
    </row>
    <row r="1251" spans="1:6" x14ac:dyDescent="0.2">
      <c r="A1251" s="275"/>
      <c r="B1251" s="78"/>
      <c r="C1251" s="189"/>
      <c r="D1251" s="185"/>
      <c r="E1251" s="186"/>
      <c r="F1251" s="187"/>
    </row>
    <row r="1252" spans="1:6" x14ac:dyDescent="0.2">
      <c r="A1252" s="275"/>
      <c r="B1252" s="78"/>
      <c r="C1252" s="189"/>
      <c r="D1252" s="185"/>
      <c r="E1252" s="186"/>
      <c r="F1252" s="187"/>
    </row>
    <row r="1253" spans="1:6" x14ac:dyDescent="0.2">
      <c r="A1253" s="275"/>
      <c r="B1253" s="78"/>
      <c r="C1253" s="189"/>
      <c r="D1253" s="185"/>
      <c r="E1253" s="186"/>
      <c r="F1253" s="187"/>
    </row>
    <row r="1254" spans="1:6" x14ac:dyDescent="0.2">
      <c r="A1254" s="275"/>
      <c r="B1254" s="78"/>
      <c r="C1254" s="189"/>
      <c r="D1254" s="185"/>
      <c r="E1254" s="186"/>
      <c r="F1254" s="187"/>
    </row>
    <row r="1255" spans="1:6" x14ac:dyDescent="0.2">
      <c r="A1255" s="275"/>
      <c r="B1255" s="78"/>
      <c r="C1255" s="189"/>
      <c r="D1255" s="185"/>
      <c r="E1255" s="186"/>
      <c r="F1255" s="187"/>
    </row>
    <row r="1256" spans="1:6" x14ac:dyDescent="0.2">
      <c r="A1256" s="275"/>
      <c r="B1256" s="78"/>
      <c r="C1256" s="189"/>
      <c r="D1256" s="185"/>
      <c r="E1256" s="186"/>
      <c r="F1256" s="187"/>
    </row>
    <row r="1257" spans="1:6" x14ac:dyDescent="0.2">
      <c r="A1257" s="275"/>
      <c r="B1257" s="78"/>
      <c r="C1257" s="189"/>
      <c r="D1257" s="185"/>
      <c r="E1257" s="186"/>
      <c r="F1257" s="187"/>
    </row>
    <row r="1258" spans="1:6" x14ac:dyDescent="0.2">
      <c r="A1258" s="275"/>
      <c r="B1258" s="78"/>
      <c r="C1258" s="189"/>
      <c r="D1258" s="185"/>
      <c r="E1258" s="186"/>
      <c r="F1258" s="187"/>
    </row>
    <row r="1259" spans="1:6" x14ac:dyDescent="0.2">
      <c r="A1259" s="275"/>
      <c r="B1259" s="78"/>
      <c r="C1259" s="189"/>
      <c r="D1259" s="185"/>
      <c r="E1259" s="186"/>
      <c r="F1259" s="187"/>
    </row>
    <row r="1260" spans="1:6" x14ac:dyDescent="0.2">
      <c r="A1260" s="275"/>
      <c r="B1260" s="78"/>
      <c r="C1260" s="189"/>
      <c r="D1260" s="185"/>
      <c r="E1260" s="186"/>
      <c r="F1260" s="187"/>
    </row>
    <row r="1261" spans="1:6" x14ac:dyDescent="0.2">
      <c r="A1261" s="275"/>
      <c r="B1261" s="78"/>
      <c r="C1261" s="189"/>
      <c r="D1261" s="185"/>
      <c r="E1261" s="186"/>
      <c r="F1261" s="187"/>
    </row>
    <row r="1262" spans="1:6" x14ac:dyDescent="0.2">
      <c r="A1262" s="275"/>
      <c r="B1262" s="78"/>
      <c r="C1262" s="189"/>
      <c r="D1262" s="185"/>
      <c r="E1262" s="186"/>
      <c r="F1262" s="187"/>
    </row>
    <row r="1263" spans="1:6" x14ac:dyDescent="0.2">
      <c r="A1263" s="275"/>
      <c r="B1263" s="78"/>
      <c r="C1263" s="189"/>
      <c r="D1263" s="185"/>
      <c r="E1263" s="186"/>
      <c r="F1263" s="187"/>
    </row>
    <row r="1264" spans="1:6" x14ac:dyDescent="0.2">
      <c r="A1264" s="275"/>
      <c r="B1264" s="78"/>
      <c r="C1264" s="189"/>
      <c r="D1264" s="185"/>
      <c r="E1264" s="186"/>
      <c r="F1264" s="187"/>
    </row>
    <row r="1265" spans="1:6" x14ac:dyDescent="0.2">
      <c r="A1265" s="275"/>
      <c r="B1265" s="78"/>
      <c r="C1265" s="189"/>
      <c r="D1265" s="185"/>
      <c r="E1265" s="186"/>
      <c r="F1265" s="187"/>
    </row>
    <row r="1266" spans="1:6" x14ac:dyDescent="0.2">
      <c r="A1266" s="275"/>
      <c r="B1266" s="78"/>
      <c r="C1266" s="189"/>
      <c r="D1266" s="185"/>
      <c r="E1266" s="186"/>
      <c r="F1266" s="187"/>
    </row>
    <row r="1267" spans="1:6" x14ac:dyDescent="0.2">
      <c r="A1267" s="275"/>
      <c r="B1267" s="78"/>
      <c r="C1267" s="189"/>
      <c r="D1267" s="185"/>
      <c r="E1267" s="186"/>
      <c r="F1267" s="187"/>
    </row>
    <row r="1268" spans="1:6" x14ac:dyDescent="0.2">
      <c r="A1268" s="275"/>
      <c r="B1268" s="78"/>
      <c r="C1268" s="189"/>
      <c r="D1268" s="185"/>
      <c r="E1268" s="186"/>
      <c r="F1268" s="187"/>
    </row>
    <row r="1269" spans="1:6" x14ac:dyDescent="0.2">
      <c r="A1269" s="275"/>
      <c r="B1269" s="78"/>
      <c r="C1269" s="189"/>
      <c r="D1269" s="185"/>
      <c r="E1269" s="186"/>
      <c r="F1269" s="187"/>
    </row>
    <row r="1270" spans="1:6" x14ac:dyDescent="0.2">
      <c r="A1270" s="275"/>
      <c r="B1270" s="78"/>
      <c r="C1270" s="189"/>
      <c r="D1270" s="185"/>
      <c r="E1270" s="186"/>
      <c r="F1270" s="187"/>
    </row>
    <row r="1271" spans="1:6" x14ac:dyDescent="0.2">
      <c r="A1271" s="275"/>
      <c r="B1271" s="78"/>
      <c r="C1271" s="189"/>
      <c r="D1271" s="185"/>
      <c r="E1271" s="186"/>
      <c r="F1271" s="187"/>
    </row>
    <row r="1272" spans="1:6" x14ac:dyDescent="0.2">
      <c r="A1272" s="275"/>
      <c r="B1272" s="78"/>
      <c r="C1272" s="189"/>
      <c r="D1272" s="185"/>
      <c r="E1272" s="186"/>
      <c r="F1272" s="187"/>
    </row>
    <row r="1273" spans="1:6" x14ac:dyDescent="0.2">
      <c r="A1273" s="275"/>
      <c r="B1273" s="78"/>
      <c r="C1273" s="189"/>
      <c r="D1273" s="185"/>
      <c r="E1273" s="186"/>
      <c r="F1273" s="187"/>
    </row>
    <row r="1274" spans="1:6" x14ac:dyDescent="0.2">
      <c r="A1274" s="275"/>
      <c r="B1274" s="78"/>
      <c r="C1274" s="189"/>
      <c r="D1274" s="185"/>
      <c r="E1274" s="186"/>
      <c r="F1274" s="187"/>
    </row>
    <row r="1275" spans="1:6" x14ac:dyDescent="0.2">
      <c r="A1275" s="275"/>
      <c r="B1275" s="78"/>
      <c r="C1275" s="189"/>
      <c r="D1275" s="185"/>
      <c r="E1275" s="186"/>
      <c r="F1275" s="187"/>
    </row>
    <row r="1276" spans="1:6" x14ac:dyDescent="0.2">
      <c r="A1276" s="275"/>
      <c r="B1276" s="78"/>
      <c r="C1276" s="189"/>
      <c r="D1276" s="185"/>
      <c r="E1276" s="186"/>
      <c r="F1276" s="187"/>
    </row>
    <row r="1277" spans="1:6" x14ac:dyDescent="0.2">
      <c r="A1277" s="275"/>
      <c r="B1277" s="78"/>
      <c r="C1277" s="189"/>
      <c r="D1277" s="185"/>
      <c r="E1277" s="186"/>
      <c r="F1277" s="187"/>
    </row>
    <row r="1278" spans="1:6" x14ac:dyDescent="0.2">
      <c r="A1278" s="275"/>
      <c r="B1278" s="78"/>
      <c r="C1278" s="189"/>
      <c r="D1278" s="185"/>
      <c r="E1278" s="186"/>
      <c r="F1278" s="187"/>
    </row>
    <row r="1279" spans="1:6" x14ac:dyDescent="0.2">
      <c r="A1279" s="275"/>
      <c r="B1279" s="78"/>
      <c r="C1279" s="189"/>
      <c r="D1279" s="185"/>
      <c r="E1279" s="186"/>
      <c r="F1279" s="187"/>
    </row>
    <row r="1280" spans="1:6" x14ac:dyDescent="0.2">
      <c r="A1280" s="275"/>
      <c r="B1280" s="78"/>
      <c r="C1280" s="189"/>
      <c r="D1280" s="185"/>
      <c r="E1280" s="186"/>
      <c r="F1280" s="187"/>
    </row>
    <row r="1281" spans="1:6" x14ac:dyDescent="0.2">
      <c r="A1281" s="275"/>
      <c r="B1281" s="78"/>
      <c r="C1281" s="189"/>
      <c r="D1281" s="185"/>
      <c r="E1281" s="186"/>
      <c r="F1281" s="187"/>
    </row>
    <row r="1282" spans="1:6" x14ac:dyDescent="0.2">
      <c r="A1282" s="275"/>
      <c r="B1282" s="78"/>
      <c r="C1282" s="189"/>
      <c r="D1282" s="185"/>
      <c r="E1282" s="186"/>
      <c r="F1282" s="187"/>
    </row>
    <row r="1283" spans="1:6" x14ac:dyDescent="0.2">
      <c r="A1283" s="275"/>
      <c r="B1283" s="78"/>
      <c r="C1283" s="189"/>
      <c r="D1283" s="185"/>
      <c r="E1283" s="186"/>
      <c r="F1283" s="187"/>
    </row>
    <row r="1284" spans="1:6" x14ac:dyDescent="0.2">
      <c r="A1284" s="275"/>
      <c r="B1284" s="78"/>
      <c r="C1284" s="189"/>
      <c r="D1284" s="185"/>
      <c r="E1284" s="186"/>
      <c r="F1284" s="187"/>
    </row>
    <row r="1285" spans="1:6" x14ac:dyDescent="0.2">
      <c r="A1285" s="275"/>
      <c r="B1285" s="78"/>
      <c r="C1285" s="189"/>
      <c r="D1285" s="185"/>
      <c r="E1285" s="186"/>
      <c r="F1285" s="187"/>
    </row>
    <row r="1286" spans="1:6" x14ac:dyDescent="0.2">
      <c r="A1286" s="275"/>
      <c r="B1286" s="78"/>
      <c r="C1286" s="189"/>
      <c r="D1286" s="185"/>
      <c r="E1286" s="186"/>
      <c r="F1286" s="187"/>
    </row>
    <row r="1287" spans="1:6" x14ac:dyDescent="0.2">
      <c r="A1287" s="275"/>
      <c r="B1287" s="78"/>
      <c r="C1287" s="189"/>
      <c r="D1287" s="185"/>
      <c r="E1287" s="186"/>
      <c r="F1287" s="187"/>
    </row>
    <row r="1288" spans="1:6" x14ac:dyDescent="0.2">
      <c r="A1288" s="275"/>
      <c r="B1288" s="78"/>
      <c r="C1288" s="189"/>
      <c r="D1288" s="185"/>
      <c r="E1288" s="186"/>
      <c r="F1288" s="187"/>
    </row>
    <row r="1289" spans="1:6" x14ac:dyDescent="0.2">
      <c r="A1289" s="275"/>
      <c r="B1289" s="78"/>
      <c r="C1289" s="189"/>
      <c r="D1289" s="185"/>
      <c r="E1289" s="186"/>
      <c r="F1289" s="187"/>
    </row>
    <row r="1290" spans="1:6" x14ac:dyDescent="0.2">
      <c r="A1290" s="275"/>
      <c r="B1290" s="78"/>
      <c r="C1290" s="189"/>
      <c r="D1290" s="185"/>
      <c r="E1290" s="186"/>
      <c r="F1290" s="187"/>
    </row>
    <row r="1291" spans="1:6" x14ac:dyDescent="0.2">
      <c r="A1291" s="275"/>
      <c r="B1291" s="78"/>
      <c r="C1291" s="189"/>
      <c r="D1291" s="185"/>
      <c r="E1291" s="186"/>
      <c r="F1291" s="187"/>
    </row>
    <row r="1292" spans="1:6" x14ac:dyDescent="0.2">
      <c r="A1292" s="275"/>
      <c r="B1292" s="78"/>
      <c r="C1292" s="189"/>
      <c r="D1292" s="185"/>
      <c r="E1292" s="186"/>
      <c r="F1292" s="187"/>
    </row>
    <row r="1293" spans="1:6" x14ac:dyDescent="0.2">
      <c r="A1293" s="275"/>
      <c r="B1293" s="78"/>
      <c r="C1293" s="189"/>
      <c r="D1293" s="185"/>
      <c r="E1293" s="186"/>
      <c r="F1293" s="187"/>
    </row>
    <row r="1294" spans="1:6" x14ac:dyDescent="0.2">
      <c r="A1294" s="275"/>
      <c r="B1294" s="78"/>
      <c r="C1294" s="189"/>
      <c r="D1294" s="185"/>
      <c r="E1294" s="186"/>
      <c r="F1294" s="187"/>
    </row>
    <row r="1295" spans="1:6" x14ac:dyDescent="0.2">
      <c r="A1295" s="275"/>
      <c r="B1295" s="78"/>
      <c r="C1295" s="189"/>
      <c r="D1295" s="185"/>
      <c r="E1295" s="186"/>
      <c r="F1295" s="187"/>
    </row>
    <row r="1296" spans="1:6" x14ac:dyDescent="0.2">
      <c r="A1296" s="275"/>
      <c r="B1296" s="78"/>
      <c r="C1296" s="189"/>
      <c r="D1296" s="185"/>
      <c r="E1296" s="186"/>
      <c r="F1296" s="187"/>
    </row>
    <row r="1297" spans="1:6" x14ac:dyDescent="0.2">
      <c r="A1297" s="275"/>
      <c r="B1297" s="78"/>
      <c r="C1297" s="189"/>
      <c r="D1297" s="185"/>
      <c r="E1297" s="186"/>
      <c r="F1297" s="187"/>
    </row>
    <row r="1298" spans="1:6" x14ac:dyDescent="0.2">
      <c r="A1298" s="275"/>
      <c r="B1298" s="78"/>
      <c r="C1298" s="189"/>
      <c r="D1298" s="185"/>
      <c r="E1298" s="186"/>
      <c r="F1298" s="187"/>
    </row>
    <row r="1299" spans="1:6" x14ac:dyDescent="0.2">
      <c r="A1299" s="275"/>
      <c r="B1299" s="78"/>
      <c r="C1299" s="189"/>
      <c r="D1299" s="185"/>
      <c r="E1299" s="186"/>
      <c r="F1299" s="187"/>
    </row>
    <row r="1300" spans="1:6" x14ac:dyDescent="0.2">
      <c r="A1300" s="275"/>
      <c r="B1300" s="78"/>
      <c r="C1300" s="189"/>
      <c r="D1300" s="185"/>
      <c r="E1300" s="186"/>
      <c r="F1300" s="187"/>
    </row>
    <row r="1301" spans="1:6" x14ac:dyDescent="0.2">
      <c r="A1301" s="275"/>
      <c r="B1301" s="78"/>
      <c r="C1301" s="189"/>
      <c r="D1301" s="185"/>
      <c r="E1301" s="186"/>
      <c r="F1301" s="187"/>
    </row>
    <row r="1302" spans="1:6" x14ac:dyDescent="0.2">
      <c r="A1302" s="275"/>
      <c r="B1302" s="78"/>
      <c r="C1302" s="189"/>
      <c r="D1302" s="185"/>
      <c r="E1302" s="186"/>
      <c r="F1302" s="187"/>
    </row>
    <row r="1303" spans="1:6" x14ac:dyDescent="0.2">
      <c r="A1303" s="275"/>
      <c r="B1303" s="78"/>
      <c r="C1303" s="189"/>
      <c r="D1303" s="185"/>
      <c r="E1303" s="186"/>
      <c r="F1303" s="187"/>
    </row>
    <row r="1304" spans="1:6" x14ac:dyDescent="0.2">
      <c r="A1304" s="275"/>
      <c r="B1304" s="78"/>
      <c r="C1304" s="189"/>
      <c r="D1304" s="185"/>
      <c r="E1304" s="186"/>
      <c r="F1304" s="187"/>
    </row>
    <row r="1305" spans="1:6" x14ac:dyDescent="0.2">
      <c r="A1305" s="275"/>
      <c r="B1305" s="78"/>
      <c r="C1305" s="189"/>
      <c r="D1305" s="185"/>
      <c r="E1305" s="186"/>
      <c r="F1305" s="187"/>
    </row>
    <row r="1306" spans="1:6" x14ac:dyDescent="0.2">
      <c r="A1306" s="275"/>
      <c r="B1306" s="78"/>
      <c r="C1306" s="189"/>
      <c r="D1306" s="185"/>
      <c r="E1306" s="186"/>
      <c r="F1306" s="187"/>
    </row>
    <row r="1307" spans="1:6" x14ac:dyDescent="0.2">
      <c r="A1307" s="275"/>
      <c r="B1307" s="78"/>
      <c r="C1307" s="189"/>
      <c r="D1307" s="185"/>
      <c r="E1307" s="186"/>
      <c r="F1307" s="187"/>
    </row>
    <row r="1308" spans="1:6" x14ac:dyDescent="0.2">
      <c r="A1308" s="275"/>
      <c r="B1308" s="78"/>
      <c r="C1308" s="189"/>
      <c r="D1308" s="185"/>
      <c r="E1308" s="186"/>
      <c r="F1308" s="187"/>
    </row>
    <row r="1309" spans="1:6" x14ac:dyDescent="0.2">
      <c r="A1309" s="275"/>
      <c r="B1309" s="78"/>
      <c r="C1309" s="189"/>
      <c r="D1309" s="185"/>
      <c r="E1309" s="186"/>
      <c r="F1309" s="187"/>
    </row>
    <row r="1310" spans="1:6" x14ac:dyDescent="0.2">
      <c r="A1310" s="275"/>
      <c r="B1310" s="78"/>
      <c r="C1310" s="189"/>
      <c r="D1310" s="185"/>
      <c r="E1310" s="186"/>
      <c r="F1310" s="187"/>
    </row>
    <row r="1311" spans="1:6" x14ac:dyDescent="0.2">
      <c r="A1311" s="275"/>
      <c r="B1311" s="78"/>
      <c r="C1311" s="189"/>
      <c r="D1311" s="185"/>
      <c r="E1311" s="186"/>
      <c r="F1311" s="187"/>
    </row>
    <row r="1312" spans="1:6" x14ac:dyDescent="0.2">
      <c r="A1312" s="275"/>
      <c r="B1312" s="78"/>
      <c r="C1312" s="189"/>
      <c r="D1312" s="185"/>
      <c r="E1312" s="186"/>
      <c r="F1312" s="187"/>
    </row>
    <row r="1313" spans="1:6" x14ac:dyDescent="0.2">
      <c r="A1313" s="275"/>
      <c r="B1313" s="78"/>
      <c r="C1313" s="189"/>
      <c r="D1313" s="185"/>
      <c r="E1313" s="186"/>
      <c r="F1313" s="187"/>
    </row>
    <row r="1314" spans="1:6" x14ac:dyDescent="0.2">
      <c r="A1314" s="275"/>
      <c r="B1314" s="78"/>
      <c r="C1314" s="189"/>
      <c r="D1314" s="185"/>
      <c r="E1314" s="186"/>
      <c r="F1314" s="187"/>
    </row>
    <row r="1315" spans="1:6" x14ac:dyDescent="0.2">
      <c r="A1315" s="275"/>
      <c r="B1315" s="78"/>
      <c r="C1315" s="189"/>
      <c r="D1315" s="185"/>
      <c r="E1315" s="186"/>
      <c r="F1315" s="187"/>
    </row>
    <row r="1316" spans="1:6" x14ac:dyDescent="0.2">
      <c r="A1316" s="275"/>
      <c r="B1316" s="78"/>
      <c r="C1316" s="189"/>
      <c r="D1316" s="185"/>
      <c r="E1316" s="186"/>
      <c r="F1316" s="187"/>
    </row>
    <row r="1317" spans="1:6" x14ac:dyDescent="0.2">
      <c r="A1317" s="275"/>
      <c r="B1317" s="78"/>
      <c r="C1317" s="189"/>
      <c r="D1317" s="185"/>
      <c r="E1317" s="186"/>
      <c r="F1317" s="187"/>
    </row>
    <row r="1318" spans="1:6" x14ac:dyDescent="0.2">
      <c r="A1318" s="275"/>
      <c r="B1318" s="78"/>
      <c r="C1318" s="189"/>
      <c r="D1318" s="185"/>
      <c r="E1318" s="186"/>
      <c r="F1318" s="187"/>
    </row>
    <row r="1319" spans="1:6" x14ac:dyDescent="0.2">
      <c r="A1319" s="275"/>
      <c r="B1319" s="78"/>
      <c r="C1319" s="189"/>
      <c r="D1319" s="185"/>
      <c r="E1319" s="186"/>
      <c r="F1319" s="187"/>
    </row>
    <row r="1320" spans="1:6" x14ac:dyDescent="0.2">
      <c r="A1320" s="275"/>
      <c r="B1320" s="78"/>
      <c r="C1320" s="189"/>
      <c r="D1320" s="185"/>
      <c r="E1320" s="186"/>
      <c r="F1320" s="187"/>
    </row>
    <row r="1321" spans="1:6" x14ac:dyDescent="0.2">
      <c r="A1321" s="275"/>
      <c r="B1321" s="78"/>
      <c r="C1321" s="189"/>
      <c r="D1321" s="185"/>
      <c r="E1321" s="186"/>
      <c r="F1321" s="187"/>
    </row>
    <row r="1322" spans="1:6" x14ac:dyDescent="0.2">
      <c r="A1322" s="275"/>
      <c r="B1322" s="78"/>
      <c r="C1322" s="189"/>
      <c r="D1322" s="185"/>
      <c r="E1322" s="186"/>
      <c r="F1322" s="187"/>
    </row>
    <row r="1323" spans="1:6" x14ac:dyDescent="0.2">
      <c r="A1323" s="275"/>
      <c r="B1323" s="78"/>
      <c r="C1323" s="189"/>
      <c r="D1323" s="185"/>
      <c r="E1323" s="186"/>
      <c r="F1323" s="187"/>
    </row>
    <row r="1324" spans="1:6" x14ac:dyDescent="0.2">
      <c r="A1324" s="275"/>
      <c r="B1324" s="78"/>
      <c r="C1324" s="189"/>
      <c r="D1324" s="185"/>
      <c r="E1324" s="186"/>
      <c r="F1324" s="187"/>
    </row>
    <row r="1325" spans="1:6" x14ac:dyDescent="0.2">
      <c r="A1325" s="275"/>
      <c r="B1325" s="78"/>
      <c r="C1325" s="189"/>
      <c r="D1325" s="185"/>
      <c r="E1325" s="186"/>
      <c r="F1325" s="187"/>
    </row>
    <row r="1326" spans="1:6" x14ac:dyDescent="0.2">
      <c r="A1326" s="275"/>
      <c r="B1326" s="78"/>
      <c r="C1326" s="189"/>
      <c r="D1326" s="185"/>
      <c r="E1326" s="186"/>
      <c r="F1326" s="187"/>
    </row>
    <row r="1327" spans="1:6" x14ac:dyDescent="0.2">
      <c r="A1327" s="275"/>
      <c r="B1327" s="78"/>
      <c r="C1327" s="189"/>
      <c r="D1327" s="185"/>
      <c r="E1327" s="186"/>
      <c r="F1327" s="187"/>
    </row>
    <row r="1328" spans="1:6" x14ac:dyDescent="0.2">
      <c r="A1328" s="275"/>
      <c r="B1328" s="78"/>
      <c r="C1328" s="189"/>
      <c r="D1328" s="185"/>
      <c r="E1328" s="186"/>
      <c r="F1328" s="187"/>
    </row>
    <row r="1329" spans="1:6" x14ac:dyDescent="0.2">
      <c r="A1329" s="275"/>
      <c r="B1329" s="78"/>
      <c r="C1329" s="189"/>
      <c r="D1329" s="185"/>
      <c r="E1329" s="186"/>
      <c r="F1329" s="187"/>
    </row>
    <row r="1330" spans="1:6" x14ac:dyDescent="0.2">
      <c r="A1330" s="275"/>
      <c r="B1330" s="78"/>
      <c r="C1330" s="189"/>
      <c r="D1330" s="185"/>
      <c r="E1330" s="186"/>
      <c r="F1330" s="187"/>
    </row>
    <row r="1331" spans="1:6" x14ac:dyDescent="0.2">
      <c r="A1331" s="275"/>
      <c r="B1331" s="78"/>
      <c r="C1331" s="189"/>
      <c r="D1331" s="185"/>
      <c r="E1331" s="186"/>
      <c r="F1331" s="187"/>
    </row>
    <row r="1332" spans="1:6" x14ac:dyDescent="0.2">
      <c r="A1332" s="275"/>
      <c r="B1332" s="78"/>
      <c r="C1332" s="189"/>
      <c r="D1332" s="185"/>
      <c r="E1332" s="186"/>
      <c r="F1332" s="187"/>
    </row>
    <row r="1333" spans="1:6" x14ac:dyDescent="0.2">
      <c r="A1333" s="275"/>
      <c r="B1333" s="78"/>
      <c r="C1333" s="189"/>
      <c r="D1333" s="185"/>
      <c r="E1333" s="186"/>
      <c r="F1333" s="187"/>
    </row>
    <row r="1334" spans="1:6" x14ac:dyDescent="0.2">
      <c r="A1334" s="275"/>
      <c r="B1334" s="78"/>
      <c r="C1334" s="189"/>
      <c r="D1334" s="185"/>
      <c r="E1334" s="186"/>
      <c r="F1334" s="187"/>
    </row>
    <row r="1335" spans="1:6" x14ac:dyDescent="0.2">
      <c r="A1335" s="275"/>
      <c r="B1335" s="78"/>
      <c r="C1335" s="189"/>
      <c r="D1335" s="185"/>
      <c r="E1335" s="186"/>
      <c r="F1335" s="187"/>
    </row>
    <row r="1336" spans="1:6" x14ac:dyDescent="0.2">
      <c r="A1336" s="275"/>
      <c r="B1336" s="78"/>
      <c r="C1336" s="189"/>
      <c r="D1336" s="185"/>
      <c r="E1336" s="186"/>
      <c r="F1336" s="187"/>
    </row>
    <row r="1337" spans="1:6" x14ac:dyDescent="0.2">
      <c r="A1337" s="275"/>
      <c r="B1337" s="78"/>
      <c r="C1337" s="189"/>
      <c r="D1337" s="185"/>
      <c r="E1337" s="186"/>
      <c r="F1337" s="187"/>
    </row>
    <row r="1338" spans="1:6" x14ac:dyDescent="0.2">
      <c r="A1338" s="275"/>
      <c r="B1338" s="78"/>
      <c r="C1338" s="189"/>
      <c r="D1338" s="185"/>
      <c r="E1338" s="186"/>
      <c r="F1338" s="187"/>
    </row>
    <row r="1339" spans="1:6" x14ac:dyDescent="0.2">
      <c r="A1339" s="275"/>
      <c r="B1339" s="78"/>
      <c r="C1339" s="189"/>
      <c r="D1339" s="185"/>
      <c r="E1339" s="186"/>
      <c r="F1339" s="187"/>
    </row>
    <row r="1340" spans="1:6" x14ac:dyDescent="0.2">
      <c r="A1340" s="275"/>
      <c r="B1340" s="78"/>
      <c r="C1340" s="189"/>
      <c r="D1340" s="185"/>
      <c r="E1340" s="186"/>
      <c r="F1340" s="187"/>
    </row>
    <row r="1341" spans="1:6" x14ac:dyDescent="0.2">
      <c r="A1341" s="275"/>
      <c r="B1341" s="78"/>
      <c r="C1341" s="189"/>
      <c r="D1341" s="185"/>
      <c r="E1341" s="186"/>
      <c r="F1341" s="187"/>
    </row>
    <row r="1342" spans="1:6" x14ac:dyDescent="0.2">
      <c r="A1342" s="275"/>
      <c r="B1342" s="78"/>
      <c r="C1342" s="189"/>
      <c r="D1342" s="185"/>
      <c r="E1342" s="186"/>
      <c r="F1342" s="187"/>
    </row>
    <row r="1343" spans="1:6" x14ac:dyDescent="0.2">
      <c r="A1343" s="275"/>
      <c r="B1343" s="78"/>
      <c r="C1343" s="189"/>
      <c r="D1343" s="185"/>
      <c r="E1343" s="186"/>
      <c r="F1343" s="187"/>
    </row>
    <row r="1344" spans="1:6" x14ac:dyDescent="0.2">
      <c r="A1344" s="275"/>
      <c r="B1344" s="78"/>
      <c r="C1344" s="189"/>
      <c r="D1344" s="185"/>
      <c r="E1344" s="186"/>
      <c r="F1344" s="187"/>
    </row>
    <row r="1345" spans="1:6" x14ac:dyDescent="0.2">
      <c r="A1345" s="275"/>
      <c r="B1345" s="78"/>
      <c r="C1345" s="189"/>
      <c r="D1345" s="185"/>
      <c r="E1345" s="186"/>
      <c r="F1345" s="187"/>
    </row>
    <row r="1346" spans="1:6" x14ac:dyDescent="0.2">
      <c r="A1346" s="275"/>
      <c r="B1346" s="78"/>
      <c r="C1346" s="189"/>
      <c r="D1346" s="185"/>
      <c r="E1346" s="186"/>
      <c r="F1346" s="187"/>
    </row>
    <row r="1347" spans="1:6" x14ac:dyDescent="0.2">
      <c r="A1347" s="275"/>
      <c r="B1347" s="78"/>
      <c r="C1347" s="189"/>
      <c r="D1347" s="185"/>
      <c r="E1347" s="186"/>
      <c r="F1347" s="187"/>
    </row>
    <row r="1348" spans="1:6" x14ac:dyDescent="0.2">
      <c r="A1348" s="275"/>
      <c r="B1348" s="78"/>
      <c r="C1348" s="189"/>
      <c r="D1348" s="185"/>
      <c r="E1348" s="186"/>
      <c r="F1348" s="187"/>
    </row>
    <row r="1349" spans="1:6" x14ac:dyDescent="0.2">
      <c r="A1349" s="275"/>
      <c r="B1349" s="78"/>
      <c r="C1349" s="189"/>
      <c r="D1349" s="185"/>
      <c r="E1349" s="186"/>
      <c r="F1349" s="187"/>
    </row>
    <row r="1350" spans="1:6" x14ac:dyDescent="0.2">
      <c r="A1350" s="275"/>
      <c r="B1350" s="78"/>
      <c r="C1350" s="189"/>
      <c r="D1350" s="185"/>
      <c r="E1350" s="186"/>
      <c r="F1350" s="187"/>
    </row>
    <row r="1351" spans="1:6" x14ac:dyDescent="0.2">
      <c r="A1351" s="275"/>
      <c r="B1351" s="78"/>
      <c r="C1351" s="189"/>
      <c r="D1351" s="185"/>
      <c r="E1351" s="186"/>
      <c r="F1351" s="187"/>
    </row>
    <row r="1352" spans="1:6" x14ac:dyDescent="0.2">
      <c r="A1352" s="275"/>
      <c r="B1352" s="78"/>
      <c r="C1352" s="189"/>
      <c r="D1352" s="185"/>
      <c r="E1352" s="186"/>
      <c r="F1352" s="187"/>
    </row>
    <row r="1353" spans="1:6" x14ac:dyDescent="0.2">
      <c r="A1353" s="275"/>
      <c r="B1353" s="78"/>
      <c r="C1353" s="189"/>
      <c r="D1353" s="185"/>
      <c r="E1353" s="186"/>
      <c r="F1353" s="187"/>
    </row>
    <row r="1354" spans="1:6" x14ac:dyDescent="0.2">
      <c r="A1354" s="275"/>
      <c r="B1354" s="78"/>
      <c r="C1354" s="189"/>
      <c r="D1354" s="185"/>
      <c r="E1354" s="186"/>
      <c r="F1354" s="187"/>
    </row>
    <row r="1355" spans="1:6" x14ac:dyDescent="0.2">
      <c r="A1355" s="275"/>
      <c r="B1355" s="78"/>
      <c r="C1355" s="189"/>
      <c r="D1355" s="185"/>
      <c r="E1355" s="186"/>
      <c r="F1355" s="187"/>
    </row>
    <row r="1356" spans="1:6" x14ac:dyDescent="0.2">
      <c r="A1356" s="275"/>
      <c r="B1356" s="78"/>
      <c r="C1356" s="189"/>
      <c r="D1356" s="185"/>
      <c r="E1356" s="186"/>
      <c r="F1356" s="187"/>
    </row>
    <row r="1357" spans="1:6" x14ac:dyDescent="0.2">
      <c r="A1357" s="275"/>
      <c r="B1357" s="78"/>
      <c r="C1357" s="189"/>
      <c r="D1357" s="185"/>
      <c r="E1357" s="186"/>
      <c r="F1357" s="187"/>
    </row>
    <row r="1358" spans="1:6" x14ac:dyDescent="0.2">
      <c r="A1358" s="275"/>
      <c r="B1358" s="78"/>
      <c r="C1358" s="189"/>
      <c r="D1358" s="185"/>
      <c r="E1358" s="186"/>
      <c r="F1358" s="187"/>
    </row>
    <row r="1359" spans="1:6" x14ac:dyDescent="0.2">
      <c r="A1359" s="275"/>
      <c r="B1359" s="78"/>
      <c r="C1359" s="189"/>
      <c r="D1359" s="185"/>
      <c r="E1359" s="186"/>
      <c r="F1359" s="187"/>
    </row>
    <row r="1360" spans="1:6" x14ac:dyDescent="0.2">
      <c r="A1360" s="275"/>
      <c r="B1360" s="78"/>
      <c r="C1360" s="189"/>
      <c r="D1360" s="185"/>
      <c r="E1360" s="186"/>
      <c r="F1360" s="187"/>
    </row>
    <row r="1361" spans="1:6" x14ac:dyDescent="0.2">
      <c r="A1361" s="275"/>
      <c r="B1361" s="78"/>
      <c r="C1361" s="189"/>
      <c r="D1361" s="185"/>
      <c r="E1361" s="186"/>
      <c r="F1361" s="187"/>
    </row>
    <row r="1362" spans="1:6" x14ac:dyDescent="0.2">
      <c r="A1362" s="275"/>
      <c r="B1362" s="78"/>
      <c r="C1362" s="189"/>
      <c r="D1362" s="185"/>
      <c r="E1362" s="186"/>
      <c r="F1362" s="187"/>
    </row>
    <row r="1363" spans="1:6" x14ac:dyDescent="0.2">
      <c r="A1363" s="275"/>
      <c r="B1363" s="78"/>
      <c r="C1363" s="189"/>
      <c r="D1363" s="185"/>
      <c r="E1363" s="186"/>
      <c r="F1363" s="187"/>
    </row>
    <row r="1364" spans="1:6" x14ac:dyDescent="0.2">
      <c r="A1364" s="275"/>
      <c r="B1364" s="78"/>
      <c r="C1364" s="189"/>
      <c r="D1364" s="185"/>
      <c r="E1364" s="186"/>
      <c r="F1364" s="187"/>
    </row>
    <row r="1365" spans="1:6" x14ac:dyDescent="0.2">
      <c r="A1365" s="275"/>
      <c r="B1365" s="78"/>
      <c r="C1365" s="189"/>
      <c r="D1365" s="185"/>
      <c r="E1365" s="186"/>
      <c r="F1365" s="187"/>
    </row>
    <row r="1366" spans="1:6" x14ac:dyDescent="0.2">
      <c r="A1366" s="275"/>
      <c r="B1366" s="78"/>
      <c r="C1366" s="189"/>
      <c r="D1366" s="185"/>
      <c r="E1366" s="186"/>
      <c r="F1366" s="187"/>
    </row>
    <row r="1367" spans="1:6" x14ac:dyDescent="0.2">
      <c r="A1367" s="275"/>
      <c r="B1367" s="78"/>
      <c r="C1367" s="189"/>
      <c r="D1367" s="185"/>
      <c r="E1367" s="186"/>
      <c r="F1367" s="187"/>
    </row>
    <row r="1368" spans="1:6" x14ac:dyDescent="0.2">
      <c r="A1368" s="275"/>
      <c r="B1368" s="78"/>
      <c r="C1368" s="189"/>
      <c r="D1368" s="185"/>
      <c r="E1368" s="186"/>
      <c r="F1368" s="187"/>
    </row>
    <row r="1369" spans="1:6" x14ac:dyDescent="0.2">
      <c r="A1369" s="275"/>
      <c r="B1369" s="78"/>
      <c r="C1369" s="189"/>
      <c r="D1369" s="185"/>
      <c r="E1369" s="186"/>
      <c r="F1369" s="187"/>
    </row>
    <row r="1370" spans="1:6" x14ac:dyDescent="0.2">
      <c r="A1370" s="275"/>
      <c r="B1370" s="78"/>
      <c r="C1370" s="189"/>
      <c r="D1370" s="185"/>
      <c r="E1370" s="186"/>
      <c r="F1370" s="187"/>
    </row>
    <row r="1371" spans="1:6" x14ac:dyDescent="0.2">
      <c r="A1371" s="275"/>
      <c r="B1371" s="78"/>
      <c r="C1371" s="189"/>
      <c r="D1371" s="185"/>
      <c r="E1371" s="186"/>
      <c r="F1371" s="187"/>
    </row>
    <row r="1372" spans="1:6" x14ac:dyDescent="0.2">
      <c r="A1372" s="275"/>
      <c r="B1372" s="78"/>
      <c r="C1372" s="189"/>
      <c r="D1372" s="185"/>
      <c r="E1372" s="186"/>
      <c r="F1372" s="187"/>
    </row>
    <row r="1373" spans="1:6" x14ac:dyDescent="0.2">
      <c r="A1373" s="275"/>
      <c r="B1373" s="78"/>
      <c r="C1373" s="189"/>
      <c r="D1373" s="185"/>
      <c r="E1373" s="186"/>
      <c r="F1373" s="187"/>
    </row>
    <row r="1374" spans="1:6" x14ac:dyDescent="0.2">
      <c r="A1374" s="275"/>
      <c r="B1374" s="78"/>
      <c r="C1374" s="189"/>
      <c r="D1374" s="185"/>
      <c r="E1374" s="186"/>
      <c r="F1374" s="187"/>
    </row>
    <row r="1375" spans="1:6" x14ac:dyDescent="0.2">
      <c r="A1375" s="275"/>
      <c r="B1375" s="78"/>
      <c r="C1375" s="189"/>
      <c r="D1375" s="185"/>
      <c r="E1375" s="186"/>
      <c r="F1375" s="187"/>
    </row>
    <row r="1376" spans="1:6" x14ac:dyDescent="0.2">
      <c r="A1376" s="275"/>
      <c r="B1376" s="78"/>
      <c r="C1376" s="189"/>
      <c r="D1376" s="185"/>
      <c r="E1376" s="186"/>
      <c r="F1376" s="187"/>
    </row>
    <row r="1377" spans="1:6" x14ac:dyDescent="0.2">
      <c r="A1377" s="275"/>
      <c r="B1377" s="78"/>
      <c r="C1377" s="189"/>
      <c r="D1377" s="185"/>
      <c r="E1377" s="186"/>
      <c r="F1377" s="187"/>
    </row>
    <row r="1378" spans="1:6" x14ac:dyDescent="0.2">
      <c r="A1378" s="275"/>
      <c r="B1378" s="78"/>
      <c r="C1378" s="189"/>
      <c r="D1378" s="185"/>
      <c r="E1378" s="186"/>
      <c r="F1378" s="187"/>
    </row>
    <row r="1379" spans="1:6" x14ac:dyDescent="0.2">
      <c r="A1379" s="275"/>
      <c r="B1379" s="78"/>
      <c r="C1379" s="189"/>
      <c r="D1379" s="185"/>
      <c r="E1379" s="186"/>
      <c r="F1379" s="187"/>
    </row>
    <row r="1380" spans="1:6" x14ac:dyDescent="0.2">
      <c r="A1380" s="275"/>
      <c r="B1380" s="78"/>
      <c r="C1380" s="189"/>
      <c r="D1380" s="185"/>
      <c r="E1380" s="186"/>
      <c r="F1380" s="187"/>
    </row>
    <row r="1381" spans="1:6" x14ac:dyDescent="0.2">
      <c r="A1381" s="275"/>
      <c r="B1381" s="78"/>
      <c r="C1381" s="189"/>
      <c r="D1381" s="185"/>
      <c r="E1381" s="186"/>
      <c r="F1381" s="187"/>
    </row>
    <row r="1382" spans="1:6" x14ac:dyDescent="0.2">
      <c r="A1382" s="275"/>
      <c r="B1382" s="78"/>
      <c r="C1382" s="189"/>
      <c r="D1382" s="185"/>
      <c r="E1382" s="186"/>
      <c r="F1382" s="187"/>
    </row>
    <row r="1383" spans="1:6" x14ac:dyDescent="0.2">
      <c r="A1383" s="275"/>
      <c r="B1383" s="78"/>
      <c r="C1383" s="189"/>
      <c r="D1383" s="185"/>
      <c r="E1383" s="186"/>
      <c r="F1383" s="187"/>
    </row>
    <row r="1384" spans="1:6" x14ac:dyDescent="0.2">
      <c r="A1384" s="275"/>
      <c r="B1384" s="78"/>
      <c r="C1384" s="189"/>
      <c r="D1384" s="185"/>
      <c r="E1384" s="186"/>
      <c r="F1384" s="187"/>
    </row>
    <row r="1385" spans="1:6" x14ac:dyDescent="0.2">
      <c r="A1385" s="275"/>
      <c r="B1385" s="78"/>
      <c r="C1385" s="189"/>
      <c r="D1385" s="185"/>
      <c r="E1385" s="186"/>
      <c r="F1385" s="187"/>
    </row>
    <row r="1386" spans="1:6" x14ac:dyDescent="0.2">
      <c r="A1386" s="275"/>
      <c r="B1386" s="78"/>
      <c r="C1386" s="189"/>
      <c r="D1386" s="185"/>
      <c r="E1386" s="186"/>
      <c r="F1386" s="187"/>
    </row>
    <row r="1387" spans="1:6" x14ac:dyDescent="0.2">
      <c r="A1387" s="275"/>
      <c r="B1387" s="78"/>
      <c r="C1387" s="189"/>
      <c r="D1387" s="185"/>
      <c r="E1387" s="186"/>
      <c r="F1387" s="187"/>
    </row>
    <row r="1388" spans="1:6" x14ac:dyDescent="0.2">
      <c r="A1388" s="275"/>
      <c r="B1388" s="78"/>
      <c r="C1388" s="189"/>
      <c r="D1388" s="185"/>
      <c r="E1388" s="186"/>
      <c r="F1388" s="187"/>
    </row>
    <row r="1389" spans="1:6" x14ac:dyDescent="0.2">
      <c r="A1389" s="275"/>
      <c r="B1389" s="78"/>
      <c r="C1389" s="189"/>
      <c r="D1389" s="185"/>
      <c r="E1389" s="186"/>
      <c r="F1389" s="187"/>
    </row>
    <row r="1390" spans="1:6" x14ac:dyDescent="0.2">
      <c r="A1390" s="275"/>
      <c r="B1390" s="78"/>
      <c r="C1390" s="189"/>
      <c r="D1390" s="185"/>
      <c r="E1390" s="186"/>
      <c r="F1390" s="187"/>
    </row>
    <row r="1391" spans="1:6" x14ac:dyDescent="0.2">
      <c r="A1391" s="275"/>
      <c r="B1391" s="78"/>
      <c r="C1391" s="189"/>
      <c r="D1391" s="185"/>
      <c r="E1391" s="186"/>
      <c r="F1391" s="187"/>
    </row>
    <row r="1392" spans="1:6" x14ac:dyDescent="0.2">
      <c r="A1392" s="275"/>
      <c r="B1392" s="78"/>
      <c r="C1392" s="189"/>
      <c r="D1392" s="185"/>
      <c r="E1392" s="186"/>
      <c r="F1392" s="187"/>
    </row>
    <row r="1393" spans="1:6" x14ac:dyDescent="0.2">
      <c r="A1393" s="275"/>
      <c r="B1393" s="78"/>
      <c r="C1393" s="189"/>
      <c r="D1393" s="185"/>
      <c r="E1393" s="186"/>
      <c r="F1393" s="187"/>
    </row>
    <row r="1394" spans="1:6" x14ac:dyDescent="0.2">
      <c r="A1394" s="275"/>
      <c r="B1394" s="78"/>
      <c r="C1394" s="189"/>
      <c r="D1394" s="185"/>
      <c r="E1394" s="186"/>
      <c r="F1394" s="187"/>
    </row>
    <row r="1395" spans="1:6" x14ac:dyDescent="0.2">
      <c r="A1395" s="275"/>
      <c r="B1395" s="78"/>
      <c r="C1395" s="189"/>
      <c r="D1395" s="185"/>
      <c r="E1395" s="186"/>
      <c r="F1395" s="187"/>
    </row>
    <row r="1396" spans="1:6" x14ac:dyDescent="0.2">
      <c r="A1396" s="275"/>
      <c r="B1396" s="78"/>
      <c r="C1396" s="189"/>
      <c r="D1396" s="185"/>
      <c r="E1396" s="186"/>
      <c r="F1396" s="187"/>
    </row>
    <row r="1397" spans="1:6" x14ac:dyDescent="0.2">
      <c r="A1397" s="275"/>
      <c r="B1397" s="78"/>
      <c r="C1397" s="189"/>
      <c r="D1397" s="185"/>
      <c r="E1397" s="186"/>
      <c r="F1397" s="187"/>
    </row>
    <row r="1398" spans="1:6" x14ac:dyDescent="0.2">
      <c r="A1398" s="275"/>
      <c r="B1398" s="78"/>
      <c r="C1398" s="189"/>
      <c r="D1398" s="185"/>
      <c r="E1398" s="186"/>
      <c r="F1398" s="187"/>
    </row>
    <row r="1399" spans="1:6" x14ac:dyDescent="0.2">
      <c r="A1399" s="275"/>
      <c r="B1399" s="78"/>
      <c r="C1399" s="189"/>
      <c r="D1399" s="185"/>
      <c r="E1399" s="186"/>
      <c r="F1399" s="187"/>
    </row>
    <row r="1400" spans="1:6" x14ac:dyDescent="0.2">
      <c r="A1400" s="275"/>
      <c r="B1400" s="78"/>
      <c r="C1400" s="189"/>
      <c r="D1400" s="185"/>
      <c r="E1400" s="186"/>
      <c r="F1400" s="187"/>
    </row>
    <row r="1401" spans="1:6" x14ac:dyDescent="0.2">
      <c r="A1401" s="275"/>
      <c r="B1401" s="78"/>
      <c r="C1401" s="189"/>
      <c r="D1401" s="185"/>
      <c r="E1401" s="186"/>
      <c r="F1401" s="187"/>
    </row>
    <row r="1402" spans="1:6" x14ac:dyDescent="0.2">
      <c r="A1402" s="275"/>
      <c r="B1402" s="78"/>
      <c r="C1402" s="189"/>
      <c r="D1402" s="185"/>
      <c r="E1402" s="186"/>
      <c r="F1402" s="187"/>
    </row>
    <row r="1403" spans="1:6" x14ac:dyDescent="0.2">
      <c r="A1403" s="275"/>
      <c r="B1403" s="78"/>
      <c r="C1403" s="189"/>
      <c r="D1403" s="185"/>
      <c r="E1403" s="186"/>
      <c r="F1403" s="187"/>
    </row>
    <row r="1404" spans="1:6" x14ac:dyDescent="0.2">
      <c r="A1404" s="275"/>
      <c r="B1404" s="78"/>
      <c r="C1404" s="189"/>
      <c r="D1404" s="185"/>
      <c r="E1404" s="186"/>
      <c r="F1404" s="187"/>
    </row>
    <row r="1405" spans="1:6" x14ac:dyDescent="0.2">
      <c r="A1405" s="275"/>
      <c r="B1405" s="78"/>
      <c r="C1405" s="189"/>
      <c r="D1405" s="185"/>
      <c r="E1405" s="186"/>
      <c r="F1405" s="187"/>
    </row>
    <row r="1406" spans="1:6" x14ac:dyDescent="0.2">
      <c r="A1406" s="275"/>
      <c r="B1406" s="78"/>
      <c r="C1406" s="189"/>
      <c r="D1406" s="185"/>
      <c r="E1406" s="186"/>
      <c r="F1406" s="187"/>
    </row>
    <row r="1407" spans="1:6" x14ac:dyDescent="0.2">
      <c r="A1407" s="275"/>
      <c r="B1407" s="78"/>
      <c r="C1407" s="189"/>
      <c r="D1407" s="185"/>
      <c r="E1407" s="186"/>
      <c r="F1407" s="187"/>
    </row>
    <row r="1408" spans="1:6" x14ac:dyDescent="0.2">
      <c r="A1408" s="275"/>
      <c r="B1408" s="78"/>
      <c r="C1408" s="189"/>
      <c r="D1408" s="185"/>
      <c r="E1408" s="186"/>
      <c r="F1408" s="187"/>
    </row>
    <row r="1409" spans="1:6" x14ac:dyDescent="0.2">
      <c r="A1409" s="275"/>
      <c r="B1409" s="78"/>
      <c r="C1409" s="189"/>
      <c r="D1409" s="185"/>
      <c r="E1409" s="186"/>
      <c r="F1409" s="187"/>
    </row>
    <row r="1410" spans="1:6" x14ac:dyDescent="0.2">
      <c r="A1410" s="275"/>
      <c r="B1410" s="78"/>
      <c r="C1410" s="189"/>
      <c r="D1410" s="185"/>
      <c r="E1410" s="186"/>
      <c r="F1410" s="187"/>
    </row>
    <row r="1411" spans="1:6" x14ac:dyDescent="0.2">
      <c r="A1411" s="275"/>
      <c r="B1411" s="78"/>
      <c r="C1411" s="189"/>
      <c r="D1411" s="185"/>
      <c r="E1411" s="186"/>
      <c r="F1411" s="187"/>
    </row>
    <row r="1412" spans="1:6" x14ac:dyDescent="0.2">
      <c r="A1412" s="275"/>
      <c r="B1412" s="78"/>
      <c r="C1412" s="189"/>
      <c r="D1412" s="185"/>
      <c r="E1412" s="186"/>
      <c r="F1412" s="187"/>
    </row>
    <row r="1413" spans="1:6" x14ac:dyDescent="0.2">
      <c r="A1413" s="275"/>
      <c r="B1413" s="78"/>
      <c r="C1413" s="189"/>
      <c r="D1413" s="185"/>
      <c r="E1413" s="186"/>
      <c r="F1413" s="187"/>
    </row>
    <row r="1414" spans="1:6" x14ac:dyDescent="0.2">
      <c r="A1414" s="275"/>
      <c r="B1414" s="78"/>
      <c r="C1414" s="189"/>
      <c r="D1414" s="185"/>
      <c r="E1414" s="186"/>
      <c r="F1414" s="187"/>
    </row>
    <row r="1415" spans="1:6" x14ac:dyDescent="0.2">
      <c r="A1415" s="275"/>
      <c r="B1415" s="78"/>
      <c r="C1415" s="189"/>
      <c r="D1415" s="185"/>
      <c r="E1415" s="186"/>
      <c r="F1415" s="187"/>
    </row>
    <row r="1416" spans="1:6" x14ac:dyDescent="0.2">
      <c r="A1416" s="275"/>
      <c r="B1416" s="78"/>
      <c r="C1416" s="189"/>
      <c r="D1416" s="185"/>
      <c r="E1416" s="186"/>
      <c r="F1416" s="187"/>
    </row>
    <row r="1417" spans="1:6" x14ac:dyDescent="0.2">
      <c r="A1417" s="275"/>
      <c r="B1417" s="78"/>
      <c r="C1417" s="189"/>
      <c r="D1417" s="185"/>
      <c r="E1417" s="186"/>
      <c r="F1417" s="187"/>
    </row>
    <row r="1418" spans="1:6" x14ac:dyDescent="0.2">
      <c r="A1418" s="275"/>
      <c r="B1418" s="78"/>
      <c r="C1418" s="189"/>
      <c r="D1418" s="185"/>
      <c r="E1418" s="186"/>
      <c r="F1418" s="187"/>
    </row>
    <row r="1419" spans="1:6" x14ac:dyDescent="0.2">
      <c r="A1419" s="275"/>
      <c r="B1419" s="78"/>
      <c r="C1419" s="189"/>
      <c r="D1419" s="185"/>
      <c r="E1419" s="186"/>
      <c r="F1419" s="187"/>
    </row>
    <row r="1420" spans="1:6" x14ac:dyDescent="0.2">
      <c r="A1420" s="275"/>
      <c r="B1420" s="78"/>
      <c r="C1420" s="189"/>
      <c r="D1420" s="185"/>
      <c r="E1420" s="186"/>
      <c r="F1420" s="187"/>
    </row>
    <row r="1421" spans="1:6" x14ac:dyDescent="0.2">
      <c r="A1421" s="275"/>
      <c r="B1421" s="78"/>
      <c r="C1421" s="189"/>
      <c r="D1421" s="185"/>
      <c r="E1421" s="186"/>
      <c r="F1421" s="187"/>
    </row>
    <row r="1422" spans="1:6" x14ac:dyDescent="0.2">
      <c r="A1422" s="275"/>
      <c r="B1422" s="78"/>
      <c r="C1422" s="189"/>
      <c r="D1422" s="185"/>
      <c r="E1422" s="186"/>
      <c r="F1422" s="187"/>
    </row>
    <row r="1423" spans="1:6" x14ac:dyDescent="0.2">
      <c r="A1423" s="275"/>
      <c r="B1423" s="78"/>
      <c r="C1423" s="189"/>
      <c r="D1423" s="185"/>
      <c r="E1423" s="186"/>
      <c r="F1423" s="187"/>
    </row>
    <row r="1424" spans="1:6" x14ac:dyDescent="0.2">
      <c r="A1424" s="275"/>
      <c r="B1424" s="78"/>
      <c r="C1424" s="189"/>
      <c r="D1424" s="185"/>
      <c r="E1424" s="186"/>
      <c r="F1424" s="187"/>
    </row>
    <row r="1425" spans="1:6" x14ac:dyDescent="0.2">
      <c r="A1425" s="275"/>
      <c r="B1425" s="78"/>
      <c r="C1425" s="189"/>
      <c r="D1425" s="185"/>
      <c r="E1425" s="186"/>
      <c r="F1425" s="187"/>
    </row>
    <row r="1426" spans="1:6" x14ac:dyDescent="0.2">
      <c r="A1426" s="275"/>
      <c r="B1426" s="78"/>
      <c r="C1426" s="189"/>
      <c r="D1426" s="185"/>
      <c r="E1426" s="186"/>
      <c r="F1426" s="187"/>
    </row>
    <row r="1427" spans="1:6" x14ac:dyDescent="0.2">
      <c r="A1427" s="275"/>
      <c r="B1427" s="78"/>
      <c r="C1427" s="189"/>
      <c r="D1427" s="185"/>
      <c r="E1427" s="186"/>
      <c r="F1427" s="187"/>
    </row>
    <row r="1428" spans="1:6" x14ac:dyDescent="0.2">
      <c r="A1428" s="275"/>
      <c r="B1428" s="78"/>
      <c r="C1428" s="189"/>
      <c r="D1428" s="185"/>
      <c r="E1428" s="186"/>
      <c r="F1428" s="187"/>
    </row>
    <row r="1429" spans="1:6" x14ac:dyDescent="0.2">
      <c r="A1429" s="275"/>
      <c r="B1429" s="78"/>
      <c r="C1429" s="189"/>
      <c r="D1429" s="185"/>
      <c r="E1429" s="186"/>
      <c r="F1429" s="187"/>
    </row>
    <row r="1430" spans="1:6" x14ac:dyDescent="0.2">
      <c r="A1430" s="275"/>
      <c r="B1430" s="78"/>
      <c r="C1430" s="189"/>
      <c r="D1430" s="185"/>
      <c r="E1430" s="186"/>
      <c r="F1430" s="187"/>
    </row>
    <row r="1431" spans="1:6" x14ac:dyDescent="0.2">
      <c r="A1431" s="275"/>
      <c r="B1431" s="78"/>
      <c r="C1431" s="189"/>
      <c r="D1431" s="185"/>
      <c r="E1431" s="186"/>
      <c r="F1431" s="187"/>
    </row>
    <row r="1432" spans="1:6" x14ac:dyDescent="0.2">
      <c r="A1432" s="275"/>
      <c r="B1432" s="78"/>
      <c r="C1432" s="189"/>
      <c r="D1432" s="185"/>
      <c r="E1432" s="186"/>
      <c r="F1432" s="187"/>
    </row>
    <row r="1433" spans="1:6" x14ac:dyDescent="0.2">
      <c r="A1433" s="275"/>
      <c r="B1433" s="78"/>
      <c r="C1433" s="189"/>
      <c r="D1433" s="185"/>
      <c r="E1433" s="186"/>
      <c r="F1433" s="187"/>
    </row>
    <row r="1434" spans="1:6" x14ac:dyDescent="0.2">
      <c r="A1434" s="275"/>
      <c r="B1434" s="78"/>
      <c r="C1434" s="189"/>
      <c r="D1434" s="185"/>
      <c r="E1434" s="186"/>
      <c r="F1434" s="187"/>
    </row>
    <row r="1435" spans="1:6" x14ac:dyDescent="0.2">
      <c r="A1435" s="275"/>
      <c r="B1435" s="78"/>
      <c r="C1435" s="189"/>
      <c r="D1435" s="185"/>
      <c r="E1435" s="186"/>
      <c r="F1435" s="187"/>
    </row>
    <row r="1436" spans="1:6" x14ac:dyDescent="0.2">
      <c r="A1436" s="275"/>
      <c r="B1436" s="78"/>
      <c r="C1436" s="189"/>
      <c r="D1436" s="185"/>
      <c r="E1436" s="186"/>
      <c r="F1436" s="187"/>
    </row>
    <row r="1437" spans="1:6" x14ac:dyDescent="0.2">
      <c r="A1437" s="275"/>
      <c r="B1437" s="78"/>
      <c r="C1437" s="189"/>
      <c r="D1437" s="185"/>
      <c r="E1437" s="186"/>
      <c r="F1437" s="187"/>
    </row>
    <row r="1438" spans="1:6" x14ac:dyDescent="0.2">
      <c r="A1438" s="275"/>
      <c r="B1438" s="78"/>
      <c r="C1438" s="189"/>
      <c r="D1438" s="185"/>
      <c r="E1438" s="186"/>
      <c r="F1438" s="187"/>
    </row>
    <row r="1439" spans="1:6" x14ac:dyDescent="0.2">
      <c r="A1439" s="275"/>
      <c r="B1439" s="78"/>
      <c r="C1439" s="189"/>
      <c r="D1439" s="185"/>
      <c r="E1439" s="186"/>
      <c r="F1439" s="187"/>
    </row>
    <row r="1440" spans="1:6" x14ac:dyDescent="0.2">
      <c r="A1440" s="275"/>
      <c r="B1440" s="78"/>
      <c r="C1440" s="189"/>
      <c r="D1440" s="185"/>
      <c r="E1440" s="186"/>
      <c r="F1440" s="187"/>
    </row>
    <row r="1441" spans="1:6" x14ac:dyDescent="0.2">
      <c r="A1441" s="275"/>
      <c r="B1441" s="78"/>
      <c r="C1441" s="189"/>
      <c r="D1441" s="185"/>
      <c r="E1441" s="186"/>
      <c r="F1441" s="187"/>
    </row>
    <row r="1442" spans="1:6" x14ac:dyDescent="0.2">
      <c r="A1442" s="275"/>
      <c r="B1442" s="78"/>
      <c r="C1442" s="189"/>
      <c r="D1442" s="185"/>
      <c r="E1442" s="186"/>
      <c r="F1442" s="187"/>
    </row>
    <row r="1443" spans="1:6" x14ac:dyDescent="0.2">
      <c r="A1443" s="275"/>
      <c r="B1443" s="78"/>
      <c r="C1443" s="189"/>
      <c r="D1443" s="185"/>
      <c r="E1443" s="186"/>
      <c r="F1443" s="187"/>
    </row>
    <row r="1444" spans="1:6" x14ac:dyDescent="0.2">
      <c r="A1444" s="275"/>
      <c r="B1444" s="78"/>
      <c r="C1444" s="189"/>
      <c r="D1444" s="185"/>
      <c r="E1444" s="186"/>
      <c r="F1444" s="187"/>
    </row>
    <row r="1445" spans="1:6" x14ac:dyDescent="0.2">
      <c r="A1445" s="275"/>
      <c r="B1445" s="78"/>
      <c r="C1445" s="189"/>
      <c r="D1445" s="185"/>
      <c r="E1445" s="186"/>
      <c r="F1445" s="187"/>
    </row>
    <row r="1446" spans="1:6" x14ac:dyDescent="0.2">
      <c r="A1446" s="275"/>
      <c r="B1446" s="78"/>
      <c r="C1446" s="189"/>
      <c r="D1446" s="185"/>
      <c r="E1446" s="186"/>
      <c r="F1446" s="187"/>
    </row>
    <row r="1447" spans="1:6" x14ac:dyDescent="0.2">
      <c r="A1447" s="275"/>
      <c r="B1447" s="78"/>
      <c r="C1447" s="189"/>
      <c r="D1447" s="185"/>
      <c r="E1447" s="186"/>
      <c r="F1447" s="187"/>
    </row>
    <row r="1448" spans="1:6" x14ac:dyDescent="0.2">
      <c r="A1448" s="275"/>
      <c r="B1448" s="78"/>
      <c r="C1448" s="189"/>
      <c r="D1448" s="185"/>
      <c r="E1448" s="186"/>
      <c r="F1448" s="187"/>
    </row>
    <row r="1449" spans="1:6" x14ac:dyDescent="0.2">
      <c r="A1449" s="275"/>
      <c r="B1449" s="78"/>
      <c r="C1449" s="189"/>
      <c r="D1449" s="185"/>
      <c r="E1449" s="186"/>
      <c r="F1449" s="187"/>
    </row>
    <row r="1450" spans="1:6" x14ac:dyDescent="0.2">
      <c r="A1450" s="275"/>
      <c r="B1450" s="78"/>
      <c r="C1450" s="189"/>
      <c r="D1450" s="185"/>
      <c r="E1450" s="186"/>
      <c r="F1450" s="187"/>
    </row>
    <row r="1451" spans="1:6" x14ac:dyDescent="0.2">
      <c r="A1451" s="275"/>
      <c r="B1451" s="78"/>
      <c r="C1451" s="189"/>
      <c r="D1451" s="185"/>
      <c r="E1451" s="186"/>
      <c r="F1451" s="187"/>
    </row>
    <row r="1452" spans="1:6" x14ac:dyDescent="0.2">
      <c r="A1452" s="275"/>
      <c r="B1452" s="78"/>
      <c r="C1452" s="189"/>
      <c r="D1452" s="185"/>
      <c r="E1452" s="186"/>
      <c r="F1452" s="187"/>
    </row>
    <row r="1453" spans="1:6" x14ac:dyDescent="0.2">
      <c r="A1453" s="275"/>
      <c r="B1453" s="78"/>
      <c r="C1453" s="189"/>
      <c r="D1453" s="185"/>
      <c r="E1453" s="186"/>
      <c r="F1453" s="187"/>
    </row>
    <row r="1454" spans="1:6" x14ac:dyDescent="0.2">
      <c r="A1454" s="275"/>
      <c r="B1454" s="78"/>
      <c r="C1454" s="189"/>
      <c r="D1454" s="185"/>
      <c r="E1454" s="186"/>
      <c r="F1454" s="187"/>
    </row>
    <row r="1455" spans="1:6" x14ac:dyDescent="0.2">
      <c r="A1455" s="275"/>
      <c r="B1455" s="78"/>
      <c r="C1455" s="189"/>
      <c r="D1455" s="185"/>
      <c r="E1455" s="186"/>
      <c r="F1455" s="187"/>
    </row>
    <row r="1456" spans="1:6" x14ac:dyDescent="0.2">
      <c r="A1456" s="275"/>
      <c r="B1456" s="78"/>
      <c r="C1456" s="189"/>
      <c r="D1456" s="185"/>
      <c r="E1456" s="186"/>
      <c r="F1456" s="187"/>
    </row>
    <row r="1457" spans="1:6" x14ac:dyDescent="0.2">
      <c r="A1457" s="275"/>
      <c r="B1457" s="78"/>
      <c r="C1457" s="189"/>
      <c r="D1457" s="185"/>
      <c r="E1457" s="186"/>
      <c r="F1457" s="187"/>
    </row>
    <row r="1458" spans="1:6" x14ac:dyDescent="0.2">
      <c r="A1458" s="275"/>
      <c r="B1458" s="78"/>
      <c r="C1458" s="189"/>
      <c r="D1458" s="185"/>
      <c r="E1458" s="186"/>
      <c r="F1458" s="187"/>
    </row>
    <row r="1459" spans="1:6" x14ac:dyDescent="0.2">
      <c r="A1459" s="275"/>
      <c r="B1459" s="78"/>
      <c r="C1459" s="189"/>
      <c r="D1459" s="185"/>
      <c r="E1459" s="186"/>
      <c r="F1459" s="187"/>
    </row>
    <row r="1460" spans="1:6" x14ac:dyDescent="0.2">
      <c r="A1460" s="275"/>
      <c r="B1460" s="78"/>
      <c r="C1460" s="189"/>
      <c r="D1460" s="185"/>
      <c r="E1460" s="186"/>
      <c r="F1460" s="187"/>
    </row>
    <row r="1461" spans="1:6" x14ac:dyDescent="0.2">
      <c r="A1461" s="275"/>
      <c r="B1461" s="78"/>
      <c r="C1461" s="189"/>
      <c r="D1461" s="185"/>
      <c r="E1461" s="186"/>
      <c r="F1461" s="187"/>
    </row>
    <row r="1462" spans="1:6" x14ac:dyDescent="0.2">
      <c r="A1462" s="275"/>
      <c r="B1462" s="78"/>
      <c r="C1462" s="189"/>
      <c r="D1462" s="185"/>
      <c r="E1462" s="186"/>
      <c r="F1462" s="187"/>
    </row>
    <row r="1463" spans="1:6" x14ac:dyDescent="0.2">
      <c r="A1463" s="275"/>
      <c r="B1463" s="78"/>
      <c r="C1463" s="189"/>
      <c r="D1463" s="185"/>
      <c r="E1463" s="186"/>
      <c r="F1463" s="187"/>
    </row>
    <row r="1464" spans="1:6" x14ac:dyDescent="0.2">
      <c r="A1464" s="275"/>
      <c r="B1464" s="78"/>
      <c r="C1464" s="189"/>
      <c r="D1464" s="185"/>
      <c r="E1464" s="186"/>
      <c r="F1464" s="187"/>
    </row>
    <row r="1465" spans="1:6" x14ac:dyDescent="0.2">
      <c r="A1465" s="275"/>
      <c r="B1465" s="78"/>
      <c r="C1465" s="189"/>
      <c r="D1465" s="185"/>
      <c r="E1465" s="186"/>
      <c r="F1465" s="187"/>
    </row>
    <row r="1466" spans="1:6" x14ac:dyDescent="0.2">
      <c r="A1466" s="275"/>
      <c r="B1466" s="78"/>
      <c r="C1466" s="189"/>
      <c r="D1466" s="185"/>
      <c r="E1466" s="186"/>
      <c r="F1466" s="187"/>
    </row>
    <row r="1467" spans="1:6" x14ac:dyDescent="0.2">
      <c r="A1467" s="275"/>
      <c r="B1467" s="78"/>
      <c r="C1467" s="189"/>
      <c r="D1467" s="185"/>
      <c r="E1467" s="186"/>
      <c r="F1467" s="187"/>
    </row>
    <row r="1468" spans="1:6" x14ac:dyDescent="0.2">
      <c r="A1468" s="275"/>
      <c r="B1468" s="78"/>
      <c r="C1468" s="189"/>
      <c r="D1468" s="185"/>
      <c r="E1468" s="186"/>
      <c r="F1468" s="187"/>
    </row>
    <row r="1469" spans="1:6" x14ac:dyDescent="0.2">
      <c r="A1469" s="275"/>
      <c r="B1469" s="78"/>
      <c r="C1469" s="189"/>
      <c r="D1469" s="185"/>
      <c r="E1469" s="186"/>
      <c r="F1469" s="187"/>
    </row>
    <row r="1470" spans="1:6" x14ac:dyDescent="0.2">
      <c r="A1470" s="275"/>
      <c r="B1470" s="78"/>
      <c r="C1470" s="189"/>
      <c r="D1470" s="185"/>
      <c r="E1470" s="186"/>
      <c r="F1470" s="187"/>
    </row>
    <row r="1471" spans="1:6" x14ac:dyDescent="0.2">
      <c r="A1471" s="275"/>
      <c r="B1471" s="78"/>
      <c r="C1471" s="189"/>
      <c r="D1471" s="185"/>
      <c r="E1471" s="186"/>
      <c r="F1471" s="187"/>
    </row>
    <row r="1472" spans="1:6" x14ac:dyDescent="0.2">
      <c r="A1472" s="275"/>
      <c r="B1472" s="78"/>
      <c r="C1472" s="189"/>
      <c r="D1472" s="185"/>
      <c r="E1472" s="186"/>
      <c r="F1472" s="187"/>
    </row>
    <row r="1473" spans="1:6" x14ac:dyDescent="0.2">
      <c r="A1473" s="275"/>
      <c r="B1473" s="78"/>
      <c r="C1473" s="189"/>
      <c r="D1473" s="185"/>
      <c r="E1473" s="186"/>
      <c r="F1473" s="187"/>
    </row>
    <row r="1474" spans="1:6" x14ac:dyDescent="0.2">
      <c r="A1474" s="275"/>
      <c r="B1474" s="78"/>
      <c r="C1474" s="189"/>
      <c r="D1474" s="185"/>
      <c r="E1474" s="186"/>
      <c r="F1474" s="187"/>
    </row>
    <row r="1475" spans="1:6" x14ac:dyDescent="0.2">
      <c r="A1475" s="275"/>
      <c r="B1475" s="78"/>
      <c r="C1475" s="189"/>
      <c r="D1475" s="185"/>
      <c r="E1475" s="186"/>
      <c r="F1475" s="187"/>
    </row>
    <row r="1476" spans="1:6" x14ac:dyDescent="0.2">
      <c r="A1476" s="275"/>
      <c r="B1476" s="78"/>
      <c r="C1476" s="189"/>
      <c r="D1476" s="185"/>
      <c r="E1476" s="186"/>
      <c r="F1476" s="187"/>
    </row>
    <row r="1477" spans="1:6" x14ac:dyDescent="0.2">
      <c r="A1477" s="275"/>
      <c r="B1477" s="78"/>
      <c r="C1477" s="189"/>
      <c r="D1477" s="185"/>
      <c r="E1477" s="186"/>
      <c r="F1477" s="187"/>
    </row>
    <row r="1478" spans="1:6" x14ac:dyDescent="0.2">
      <c r="A1478" s="275"/>
      <c r="B1478" s="78"/>
      <c r="C1478" s="189"/>
      <c r="D1478" s="185"/>
      <c r="E1478" s="186"/>
      <c r="F1478" s="187"/>
    </row>
    <row r="1479" spans="1:6" x14ac:dyDescent="0.2">
      <c r="A1479" s="275"/>
      <c r="B1479" s="78"/>
      <c r="C1479" s="189"/>
      <c r="D1479" s="185"/>
      <c r="E1479" s="186"/>
      <c r="F1479" s="187"/>
    </row>
    <row r="1480" spans="1:6" x14ac:dyDescent="0.2">
      <c r="A1480" s="275"/>
      <c r="B1480" s="78"/>
      <c r="C1480" s="189"/>
      <c r="D1480" s="185"/>
      <c r="E1480" s="186"/>
      <c r="F1480" s="187"/>
    </row>
    <row r="1481" spans="1:6" x14ac:dyDescent="0.2">
      <c r="A1481" s="275"/>
      <c r="B1481" s="78"/>
      <c r="C1481" s="189"/>
      <c r="D1481" s="185"/>
      <c r="E1481" s="186"/>
      <c r="F1481" s="187"/>
    </row>
    <row r="1482" spans="1:6" x14ac:dyDescent="0.2">
      <c r="A1482" s="275"/>
      <c r="B1482" s="78"/>
      <c r="C1482" s="189"/>
      <c r="D1482" s="185"/>
      <c r="E1482" s="186"/>
      <c r="F1482" s="187"/>
    </row>
    <row r="1483" spans="1:6" x14ac:dyDescent="0.2">
      <c r="A1483" s="275"/>
      <c r="B1483" s="78"/>
      <c r="C1483" s="189"/>
      <c r="D1483" s="185"/>
      <c r="E1483" s="186"/>
      <c r="F1483" s="187"/>
    </row>
    <row r="1484" spans="1:6" x14ac:dyDescent="0.2">
      <c r="A1484" s="275"/>
      <c r="B1484" s="78"/>
      <c r="C1484" s="189"/>
      <c r="D1484" s="185"/>
      <c r="E1484" s="186"/>
      <c r="F1484" s="187"/>
    </row>
    <row r="1485" spans="1:6" x14ac:dyDescent="0.2">
      <c r="A1485" s="275"/>
      <c r="B1485" s="78"/>
      <c r="C1485" s="189"/>
      <c r="D1485" s="185"/>
      <c r="E1485" s="186"/>
      <c r="F1485" s="187"/>
    </row>
    <row r="1486" spans="1:6" x14ac:dyDescent="0.2">
      <c r="A1486" s="275"/>
      <c r="B1486" s="78"/>
      <c r="C1486" s="189"/>
      <c r="D1486" s="185"/>
      <c r="E1486" s="186"/>
      <c r="F1486" s="187"/>
    </row>
    <row r="1487" spans="1:6" x14ac:dyDescent="0.2">
      <c r="A1487" s="275"/>
      <c r="B1487" s="78"/>
      <c r="C1487" s="189"/>
      <c r="D1487" s="185"/>
      <c r="E1487" s="186"/>
      <c r="F1487" s="187"/>
    </row>
    <row r="1488" spans="1:6" x14ac:dyDescent="0.2">
      <c r="A1488" s="275"/>
      <c r="B1488" s="78"/>
      <c r="C1488" s="189"/>
      <c r="D1488" s="185"/>
      <c r="E1488" s="186"/>
      <c r="F1488" s="187"/>
    </row>
    <row r="1489" spans="1:6" x14ac:dyDescent="0.2">
      <c r="A1489" s="275"/>
      <c r="B1489" s="78"/>
      <c r="C1489" s="189"/>
      <c r="D1489" s="185"/>
      <c r="E1489" s="186"/>
      <c r="F1489" s="187"/>
    </row>
    <row r="1490" spans="1:6" x14ac:dyDescent="0.2">
      <c r="A1490" s="275"/>
      <c r="B1490" s="78"/>
      <c r="C1490" s="189"/>
      <c r="D1490" s="185"/>
      <c r="E1490" s="186"/>
      <c r="F1490" s="187"/>
    </row>
    <row r="1491" spans="1:6" x14ac:dyDescent="0.2">
      <c r="A1491" s="275"/>
      <c r="B1491" s="78"/>
      <c r="C1491" s="189"/>
      <c r="D1491" s="185"/>
      <c r="E1491" s="186"/>
      <c r="F1491" s="187"/>
    </row>
    <row r="1492" spans="1:6" x14ac:dyDescent="0.2">
      <c r="A1492" s="275"/>
      <c r="B1492" s="78"/>
      <c r="C1492" s="189"/>
      <c r="D1492" s="185"/>
      <c r="E1492" s="186"/>
      <c r="F1492" s="187"/>
    </row>
    <row r="1493" spans="1:6" x14ac:dyDescent="0.2">
      <c r="A1493" s="275"/>
      <c r="B1493" s="78"/>
      <c r="C1493" s="189"/>
      <c r="D1493" s="185"/>
      <c r="E1493" s="186"/>
      <c r="F1493" s="187"/>
    </row>
    <row r="1494" spans="1:6" x14ac:dyDescent="0.2">
      <c r="A1494" s="275"/>
      <c r="B1494" s="78"/>
      <c r="C1494" s="189"/>
      <c r="D1494" s="185"/>
      <c r="E1494" s="186"/>
      <c r="F1494" s="187"/>
    </row>
    <row r="1495" spans="1:6" x14ac:dyDescent="0.2">
      <c r="A1495" s="275"/>
      <c r="B1495" s="78"/>
      <c r="C1495" s="189"/>
      <c r="D1495" s="185"/>
      <c r="E1495" s="186"/>
      <c r="F1495" s="187"/>
    </row>
    <row r="1496" spans="1:6" x14ac:dyDescent="0.2">
      <c r="A1496" s="275"/>
      <c r="B1496" s="78"/>
      <c r="C1496" s="189"/>
      <c r="D1496" s="185"/>
      <c r="E1496" s="186"/>
      <c r="F1496" s="187"/>
    </row>
    <row r="1497" spans="1:6" x14ac:dyDescent="0.2">
      <c r="A1497" s="275"/>
      <c r="B1497" s="78"/>
      <c r="C1497" s="189"/>
      <c r="D1497" s="185"/>
      <c r="E1497" s="186"/>
      <c r="F1497" s="187"/>
    </row>
    <row r="1498" spans="1:6" x14ac:dyDescent="0.2">
      <c r="A1498" s="275"/>
      <c r="B1498" s="78"/>
      <c r="C1498" s="189"/>
      <c r="D1498" s="185"/>
      <c r="E1498" s="186"/>
      <c r="F1498" s="187"/>
    </row>
    <row r="1499" spans="1:6" x14ac:dyDescent="0.2">
      <c r="A1499" s="275"/>
      <c r="B1499" s="78"/>
      <c r="C1499" s="189"/>
      <c r="D1499" s="185"/>
      <c r="E1499" s="186"/>
      <c r="F1499" s="187"/>
    </row>
    <row r="1500" spans="1:6" x14ac:dyDescent="0.2">
      <c r="A1500" s="275"/>
      <c r="B1500" s="78"/>
      <c r="C1500" s="189"/>
      <c r="D1500" s="185"/>
      <c r="E1500" s="186"/>
      <c r="F1500" s="187"/>
    </row>
    <row r="1501" spans="1:6" x14ac:dyDescent="0.2">
      <c r="A1501" s="275"/>
      <c r="B1501" s="78"/>
      <c r="C1501" s="189"/>
      <c r="D1501" s="185"/>
      <c r="E1501" s="186"/>
      <c r="F1501" s="187"/>
    </row>
    <row r="1502" spans="1:6" x14ac:dyDescent="0.2">
      <c r="A1502" s="275"/>
      <c r="B1502" s="78"/>
      <c r="C1502" s="189"/>
      <c r="D1502" s="185"/>
      <c r="E1502" s="186"/>
      <c r="F1502" s="187"/>
    </row>
    <row r="1503" spans="1:6" x14ac:dyDescent="0.2">
      <c r="A1503" s="275"/>
      <c r="B1503" s="78"/>
      <c r="C1503" s="189"/>
      <c r="D1503" s="185"/>
      <c r="E1503" s="186"/>
      <c r="F1503" s="187"/>
    </row>
    <row r="1504" spans="1:6" x14ac:dyDescent="0.2">
      <c r="A1504" s="275"/>
      <c r="B1504" s="78"/>
      <c r="C1504" s="189"/>
      <c r="D1504" s="185"/>
      <c r="E1504" s="186"/>
      <c r="F1504" s="187"/>
    </row>
    <row r="1505" spans="1:6" x14ac:dyDescent="0.2">
      <c r="A1505" s="275"/>
      <c r="B1505" s="78"/>
      <c r="C1505" s="189"/>
      <c r="D1505" s="185"/>
      <c r="E1505" s="186"/>
      <c r="F1505" s="187"/>
    </row>
    <row r="1506" spans="1:6" x14ac:dyDescent="0.2">
      <c r="A1506" s="275"/>
      <c r="B1506" s="78"/>
      <c r="C1506" s="189"/>
      <c r="D1506" s="185"/>
      <c r="E1506" s="186"/>
      <c r="F1506" s="187"/>
    </row>
    <row r="1507" spans="1:6" x14ac:dyDescent="0.2">
      <c r="A1507" s="275"/>
      <c r="B1507" s="78"/>
      <c r="C1507" s="189"/>
      <c r="D1507" s="185"/>
      <c r="E1507" s="186"/>
      <c r="F1507" s="187"/>
    </row>
    <row r="1508" spans="1:6" x14ac:dyDescent="0.2">
      <c r="A1508" s="275"/>
      <c r="B1508" s="78"/>
      <c r="C1508" s="189"/>
      <c r="D1508" s="185"/>
      <c r="E1508" s="186"/>
      <c r="F1508" s="187"/>
    </row>
    <row r="1509" spans="1:6" x14ac:dyDescent="0.2">
      <c r="A1509" s="275"/>
      <c r="B1509" s="78"/>
      <c r="C1509" s="189"/>
      <c r="D1509" s="185"/>
      <c r="E1509" s="186"/>
      <c r="F1509" s="187"/>
    </row>
    <row r="1510" spans="1:6" x14ac:dyDescent="0.2">
      <c r="A1510" s="275"/>
      <c r="B1510" s="78"/>
      <c r="C1510" s="189"/>
      <c r="D1510" s="185"/>
      <c r="E1510" s="186"/>
      <c r="F1510" s="187"/>
    </row>
    <row r="1511" spans="1:6" x14ac:dyDescent="0.2">
      <c r="A1511" s="275"/>
      <c r="B1511" s="78"/>
      <c r="C1511" s="189"/>
      <c r="D1511" s="185"/>
      <c r="E1511" s="186"/>
      <c r="F1511" s="187"/>
    </row>
    <row r="1512" spans="1:6" x14ac:dyDescent="0.2">
      <c r="A1512" s="275"/>
      <c r="B1512" s="78"/>
      <c r="C1512" s="189"/>
      <c r="D1512" s="185"/>
      <c r="E1512" s="186"/>
      <c r="F1512" s="187"/>
    </row>
    <row r="1513" spans="1:6" x14ac:dyDescent="0.2">
      <c r="A1513" s="275"/>
      <c r="B1513" s="78"/>
      <c r="C1513" s="189"/>
      <c r="D1513" s="185"/>
      <c r="E1513" s="186"/>
      <c r="F1513" s="187"/>
    </row>
    <row r="1514" spans="1:6" x14ac:dyDescent="0.2">
      <c r="A1514" s="275"/>
      <c r="B1514" s="78"/>
      <c r="C1514" s="189"/>
      <c r="D1514" s="185"/>
      <c r="E1514" s="186"/>
      <c r="F1514" s="187"/>
    </row>
    <row r="1515" spans="1:6" x14ac:dyDescent="0.2">
      <c r="A1515" s="275"/>
      <c r="B1515" s="78"/>
      <c r="C1515" s="189"/>
      <c r="D1515" s="185"/>
      <c r="E1515" s="186"/>
      <c r="F1515" s="187"/>
    </row>
    <row r="1516" spans="1:6" x14ac:dyDescent="0.2">
      <c r="A1516" s="275"/>
      <c r="B1516" s="78"/>
      <c r="C1516" s="189"/>
      <c r="D1516" s="185"/>
      <c r="E1516" s="186"/>
      <c r="F1516" s="187"/>
    </row>
    <row r="1517" spans="1:6" x14ac:dyDescent="0.2">
      <c r="A1517" s="275"/>
      <c r="B1517" s="78"/>
      <c r="C1517" s="189"/>
      <c r="D1517" s="185"/>
      <c r="E1517" s="186"/>
      <c r="F1517" s="187"/>
    </row>
    <row r="1518" spans="1:6" x14ac:dyDescent="0.2">
      <c r="A1518" s="275"/>
      <c r="B1518" s="78"/>
      <c r="C1518" s="189"/>
      <c r="D1518" s="185"/>
      <c r="E1518" s="186"/>
      <c r="F1518" s="187"/>
    </row>
    <row r="1519" spans="1:6" x14ac:dyDescent="0.2">
      <c r="A1519" s="275"/>
      <c r="B1519" s="78"/>
      <c r="C1519" s="189"/>
      <c r="D1519" s="185"/>
      <c r="E1519" s="186"/>
      <c r="F1519" s="187"/>
    </row>
    <row r="1520" spans="1:6" x14ac:dyDescent="0.2">
      <c r="A1520" s="275"/>
      <c r="B1520" s="78"/>
      <c r="C1520" s="189"/>
      <c r="D1520" s="185"/>
      <c r="E1520" s="186"/>
      <c r="F1520" s="187"/>
    </row>
    <row r="1521" spans="1:6" x14ac:dyDescent="0.2">
      <c r="A1521" s="275"/>
      <c r="B1521" s="78"/>
      <c r="C1521" s="189"/>
      <c r="D1521" s="185"/>
      <c r="E1521" s="186"/>
      <c r="F1521" s="187"/>
    </row>
    <row r="1522" spans="1:6" x14ac:dyDescent="0.2">
      <c r="A1522" s="275"/>
      <c r="B1522" s="78"/>
      <c r="C1522" s="189"/>
      <c r="D1522" s="185"/>
      <c r="E1522" s="186"/>
      <c r="F1522" s="187"/>
    </row>
    <row r="1523" spans="1:6" x14ac:dyDescent="0.2">
      <c r="A1523" s="275"/>
      <c r="B1523" s="78"/>
      <c r="C1523" s="189"/>
      <c r="D1523" s="185"/>
      <c r="E1523" s="186"/>
      <c r="F1523" s="187"/>
    </row>
    <row r="1524" spans="1:6" x14ac:dyDescent="0.2">
      <c r="A1524" s="275"/>
      <c r="B1524" s="78"/>
      <c r="C1524" s="189"/>
      <c r="D1524" s="185"/>
      <c r="E1524" s="186"/>
      <c r="F1524" s="187"/>
    </row>
    <row r="1525" spans="1:6" x14ac:dyDescent="0.2">
      <c r="A1525" s="275"/>
      <c r="B1525" s="78"/>
      <c r="C1525" s="189"/>
      <c r="D1525" s="185"/>
      <c r="E1525" s="186"/>
      <c r="F1525" s="187"/>
    </row>
    <row r="1526" spans="1:6" x14ac:dyDescent="0.2">
      <c r="A1526" s="275"/>
      <c r="B1526" s="78"/>
      <c r="C1526" s="189"/>
      <c r="D1526" s="185"/>
      <c r="E1526" s="186"/>
      <c r="F1526" s="187"/>
    </row>
    <row r="1527" spans="1:6" x14ac:dyDescent="0.2">
      <c r="A1527" s="275"/>
      <c r="B1527" s="78"/>
      <c r="C1527" s="189"/>
      <c r="D1527" s="185"/>
      <c r="E1527" s="186"/>
      <c r="F1527" s="187"/>
    </row>
    <row r="1528" spans="1:6" x14ac:dyDescent="0.2">
      <c r="A1528" s="275"/>
      <c r="B1528" s="78"/>
      <c r="C1528" s="189"/>
      <c r="D1528" s="185"/>
      <c r="E1528" s="186"/>
      <c r="F1528" s="187"/>
    </row>
    <row r="1529" spans="1:6" x14ac:dyDescent="0.2">
      <c r="A1529" s="275"/>
      <c r="B1529" s="78"/>
      <c r="C1529" s="189"/>
      <c r="D1529" s="185"/>
      <c r="E1529" s="186"/>
      <c r="F1529" s="187"/>
    </row>
    <row r="1530" spans="1:6" x14ac:dyDescent="0.2">
      <c r="A1530" s="275"/>
      <c r="B1530" s="78"/>
      <c r="C1530" s="189"/>
      <c r="D1530" s="185"/>
      <c r="E1530" s="186"/>
      <c r="F1530" s="187"/>
    </row>
    <row r="1531" spans="1:6" x14ac:dyDescent="0.2">
      <c r="A1531" s="275"/>
      <c r="B1531" s="78"/>
      <c r="C1531" s="189"/>
      <c r="D1531" s="185"/>
      <c r="E1531" s="186"/>
      <c r="F1531" s="187"/>
    </row>
    <row r="1532" spans="1:6" x14ac:dyDescent="0.2">
      <c r="A1532" s="275"/>
      <c r="B1532" s="78"/>
      <c r="C1532" s="189"/>
      <c r="D1532" s="185"/>
      <c r="E1532" s="186"/>
      <c r="F1532" s="187"/>
    </row>
    <row r="1533" spans="1:6" x14ac:dyDescent="0.2">
      <c r="A1533" s="275"/>
      <c r="B1533" s="78"/>
      <c r="C1533" s="189"/>
      <c r="D1533" s="185"/>
      <c r="E1533" s="186"/>
      <c r="F1533" s="187"/>
    </row>
    <row r="1534" spans="1:6" x14ac:dyDescent="0.2">
      <c r="A1534" s="275"/>
      <c r="B1534" s="78"/>
      <c r="C1534" s="189"/>
      <c r="D1534" s="185"/>
      <c r="E1534" s="186"/>
      <c r="F1534" s="187"/>
    </row>
    <row r="1535" spans="1:6" x14ac:dyDescent="0.2">
      <c r="A1535" s="275"/>
      <c r="B1535" s="78"/>
      <c r="C1535" s="189"/>
      <c r="D1535" s="185"/>
      <c r="E1535" s="186"/>
      <c r="F1535" s="187"/>
    </row>
    <row r="1536" spans="1:6" x14ac:dyDescent="0.2">
      <c r="A1536" s="275"/>
      <c r="B1536" s="78"/>
      <c r="C1536" s="189"/>
      <c r="D1536" s="185"/>
      <c r="E1536" s="186"/>
      <c r="F1536" s="187"/>
    </row>
    <row r="1537" spans="1:6" x14ac:dyDescent="0.2">
      <c r="A1537" s="275"/>
      <c r="B1537" s="78"/>
      <c r="C1537" s="189"/>
      <c r="D1537" s="185"/>
      <c r="E1537" s="186"/>
      <c r="F1537" s="187"/>
    </row>
    <row r="1538" spans="1:6" x14ac:dyDescent="0.2">
      <c r="A1538" s="275"/>
      <c r="B1538" s="78"/>
      <c r="C1538" s="189"/>
      <c r="D1538" s="185"/>
      <c r="E1538" s="186"/>
      <c r="F1538" s="187"/>
    </row>
    <row r="1539" spans="1:6" x14ac:dyDescent="0.2">
      <c r="A1539" s="275"/>
      <c r="B1539" s="78"/>
      <c r="C1539" s="189"/>
      <c r="D1539" s="185"/>
      <c r="E1539" s="186"/>
      <c r="F1539" s="187"/>
    </row>
    <row r="1540" spans="1:6" x14ac:dyDescent="0.2">
      <c r="A1540" s="275"/>
      <c r="B1540" s="78"/>
      <c r="C1540" s="189"/>
      <c r="D1540" s="185"/>
      <c r="E1540" s="186"/>
      <c r="F1540" s="187"/>
    </row>
    <row r="1541" spans="1:6" x14ac:dyDescent="0.2">
      <c r="A1541" s="275"/>
      <c r="B1541" s="78"/>
      <c r="C1541" s="189"/>
      <c r="D1541" s="185"/>
      <c r="E1541" s="186"/>
      <c r="F1541" s="187"/>
    </row>
    <row r="1542" spans="1:6" x14ac:dyDescent="0.2">
      <c r="A1542" s="275"/>
      <c r="B1542" s="78"/>
      <c r="C1542" s="189"/>
      <c r="D1542" s="185"/>
      <c r="E1542" s="186"/>
      <c r="F1542" s="187"/>
    </row>
    <row r="1543" spans="1:6" x14ac:dyDescent="0.2">
      <c r="A1543" s="275"/>
      <c r="B1543" s="78"/>
      <c r="C1543" s="189"/>
      <c r="D1543" s="185"/>
      <c r="E1543" s="186"/>
      <c r="F1543" s="187"/>
    </row>
    <row r="1544" spans="1:6" x14ac:dyDescent="0.2">
      <c r="A1544" s="275"/>
      <c r="B1544" s="78"/>
      <c r="C1544" s="189"/>
      <c r="D1544" s="185"/>
      <c r="E1544" s="186"/>
      <c r="F1544" s="187"/>
    </row>
    <row r="1545" spans="1:6" x14ac:dyDescent="0.2">
      <c r="A1545" s="275"/>
      <c r="B1545" s="78"/>
      <c r="C1545" s="189"/>
      <c r="D1545" s="185"/>
      <c r="E1545" s="186"/>
      <c r="F1545" s="187"/>
    </row>
    <row r="1546" spans="1:6" x14ac:dyDescent="0.2">
      <c r="A1546" s="275"/>
      <c r="B1546" s="78"/>
      <c r="C1546" s="189"/>
      <c r="D1546" s="185"/>
      <c r="E1546" s="186"/>
      <c r="F1546" s="187"/>
    </row>
    <row r="1547" spans="1:6" x14ac:dyDescent="0.2">
      <c r="A1547" s="275"/>
      <c r="B1547" s="78"/>
      <c r="C1547" s="189"/>
      <c r="D1547" s="185"/>
      <c r="E1547" s="186"/>
      <c r="F1547" s="187"/>
    </row>
    <row r="1548" spans="1:6" x14ac:dyDescent="0.2">
      <c r="A1548" s="275"/>
      <c r="B1548" s="78"/>
      <c r="C1548" s="189"/>
      <c r="D1548" s="185"/>
      <c r="E1548" s="186"/>
      <c r="F1548" s="187"/>
    </row>
    <row r="1549" spans="1:6" x14ac:dyDescent="0.2">
      <c r="A1549" s="275"/>
      <c r="B1549" s="78"/>
      <c r="C1549" s="189"/>
      <c r="D1549" s="185"/>
      <c r="E1549" s="186"/>
      <c r="F1549" s="187"/>
    </row>
    <row r="1550" spans="1:6" x14ac:dyDescent="0.2">
      <c r="A1550" s="275"/>
      <c r="B1550" s="78"/>
      <c r="C1550" s="189"/>
      <c r="D1550" s="185"/>
      <c r="E1550" s="186"/>
      <c r="F1550" s="187"/>
    </row>
    <row r="1551" spans="1:6" x14ac:dyDescent="0.2">
      <c r="A1551" s="275"/>
      <c r="B1551" s="78"/>
      <c r="C1551" s="189"/>
      <c r="D1551" s="185"/>
      <c r="E1551" s="186"/>
      <c r="F1551" s="187"/>
    </row>
    <row r="1552" spans="1:6" x14ac:dyDescent="0.2">
      <c r="A1552" s="275"/>
      <c r="B1552" s="78"/>
      <c r="C1552" s="189"/>
      <c r="D1552" s="185"/>
      <c r="E1552" s="186"/>
      <c r="F1552" s="187"/>
    </row>
    <row r="1553" spans="1:6" x14ac:dyDescent="0.2">
      <c r="A1553" s="275"/>
      <c r="B1553" s="78"/>
      <c r="C1553" s="189"/>
      <c r="D1553" s="185"/>
      <c r="E1553" s="186"/>
      <c r="F1553" s="187"/>
    </row>
    <row r="1554" spans="1:6" x14ac:dyDescent="0.2">
      <c r="A1554" s="275"/>
      <c r="B1554" s="78"/>
      <c r="C1554" s="189"/>
      <c r="D1554" s="185"/>
      <c r="E1554" s="186"/>
      <c r="F1554" s="187"/>
    </row>
    <row r="1555" spans="1:6" x14ac:dyDescent="0.2">
      <c r="A1555" s="275"/>
      <c r="B1555" s="78"/>
      <c r="C1555" s="189"/>
      <c r="D1555" s="185"/>
      <c r="E1555" s="186"/>
      <c r="F1555" s="187"/>
    </row>
    <row r="1556" spans="1:6" x14ac:dyDescent="0.2">
      <c r="A1556" s="275"/>
      <c r="B1556" s="78"/>
      <c r="C1556" s="189"/>
      <c r="D1556" s="185"/>
      <c r="E1556" s="186"/>
      <c r="F1556" s="187"/>
    </row>
    <row r="1557" spans="1:6" x14ac:dyDescent="0.2">
      <c r="A1557" s="275"/>
      <c r="B1557" s="78"/>
      <c r="C1557" s="189"/>
      <c r="D1557" s="185"/>
      <c r="E1557" s="186"/>
      <c r="F1557" s="187"/>
    </row>
    <row r="1558" spans="1:6" x14ac:dyDescent="0.2">
      <c r="A1558" s="275"/>
      <c r="B1558" s="78"/>
      <c r="C1558" s="189"/>
      <c r="D1558" s="185"/>
      <c r="E1558" s="186"/>
      <c r="F1558" s="187"/>
    </row>
    <row r="1559" spans="1:6" x14ac:dyDescent="0.2">
      <c r="A1559" s="275"/>
      <c r="B1559" s="78"/>
      <c r="C1559" s="189"/>
      <c r="D1559" s="185"/>
      <c r="E1559" s="186"/>
      <c r="F1559" s="187"/>
    </row>
    <row r="1560" spans="1:6" x14ac:dyDescent="0.2">
      <c r="A1560" s="275"/>
      <c r="B1560" s="78"/>
      <c r="C1560" s="189"/>
      <c r="D1560" s="185"/>
      <c r="E1560" s="186"/>
      <c r="F1560" s="187"/>
    </row>
    <row r="1561" spans="1:6" x14ac:dyDescent="0.2">
      <c r="A1561" s="275"/>
      <c r="B1561" s="78"/>
      <c r="C1561" s="189"/>
      <c r="D1561" s="185"/>
      <c r="E1561" s="186"/>
      <c r="F1561" s="187"/>
    </row>
    <row r="1562" spans="1:6" x14ac:dyDescent="0.2">
      <c r="A1562" s="275"/>
      <c r="B1562" s="78"/>
      <c r="C1562" s="189"/>
      <c r="D1562" s="185"/>
      <c r="E1562" s="186"/>
      <c r="F1562" s="187"/>
    </row>
    <row r="1563" spans="1:6" x14ac:dyDescent="0.2">
      <c r="A1563" s="275"/>
      <c r="B1563" s="78"/>
      <c r="C1563" s="189"/>
      <c r="D1563" s="185"/>
      <c r="E1563" s="186"/>
      <c r="F1563" s="187"/>
    </row>
    <row r="1564" spans="1:6" x14ac:dyDescent="0.2">
      <c r="A1564" s="275"/>
      <c r="B1564" s="78"/>
      <c r="C1564" s="189"/>
      <c r="D1564" s="185"/>
      <c r="E1564" s="186"/>
      <c r="F1564" s="187"/>
    </row>
    <row r="1565" spans="1:6" x14ac:dyDescent="0.2">
      <c r="A1565" s="275"/>
      <c r="B1565" s="78"/>
      <c r="C1565" s="189"/>
      <c r="D1565" s="185"/>
      <c r="E1565" s="186"/>
      <c r="F1565" s="187"/>
    </row>
    <row r="1566" spans="1:6" x14ac:dyDescent="0.2">
      <c r="A1566" s="275"/>
      <c r="B1566" s="78"/>
      <c r="C1566" s="189"/>
      <c r="D1566" s="185"/>
      <c r="E1566" s="186"/>
      <c r="F1566" s="187"/>
    </row>
    <row r="1567" spans="1:6" x14ac:dyDescent="0.2">
      <c r="A1567" s="275"/>
      <c r="B1567" s="78"/>
      <c r="C1567" s="189"/>
      <c r="D1567" s="185"/>
      <c r="E1567" s="186"/>
      <c r="F1567" s="187"/>
    </row>
    <row r="1568" spans="1:6" x14ac:dyDescent="0.2">
      <c r="A1568" s="275"/>
      <c r="B1568" s="78"/>
      <c r="C1568" s="189"/>
      <c r="D1568" s="185"/>
      <c r="E1568" s="186"/>
      <c r="F1568" s="187"/>
    </row>
    <row r="1569" spans="1:6" x14ac:dyDescent="0.2">
      <c r="A1569" s="275"/>
      <c r="B1569" s="78"/>
      <c r="C1569" s="189"/>
      <c r="D1569" s="185"/>
      <c r="E1569" s="186"/>
      <c r="F1569" s="187"/>
    </row>
    <row r="1570" spans="1:6" x14ac:dyDescent="0.2">
      <c r="A1570" s="275"/>
      <c r="B1570" s="78"/>
      <c r="C1570" s="189"/>
      <c r="D1570" s="185"/>
      <c r="E1570" s="186"/>
      <c r="F1570" s="187"/>
    </row>
    <row r="1571" spans="1:6" x14ac:dyDescent="0.2">
      <c r="A1571" s="275"/>
      <c r="B1571" s="78"/>
      <c r="C1571" s="189"/>
      <c r="D1571" s="185"/>
      <c r="E1571" s="186"/>
      <c r="F1571" s="187"/>
    </row>
    <row r="1572" spans="1:6" x14ac:dyDescent="0.2">
      <c r="A1572" s="275"/>
      <c r="B1572" s="78"/>
      <c r="C1572" s="189"/>
      <c r="D1572" s="185"/>
      <c r="E1572" s="186"/>
      <c r="F1572" s="187"/>
    </row>
    <row r="1573" spans="1:6" x14ac:dyDescent="0.2">
      <c r="A1573" s="275"/>
      <c r="B1573" s="78"/>
      <c r="C1573" s="189"/>
      <c r="D1573" s="185"/>
      <c r="E1573" s="186"/>
      <c r="F1573" s="187"/>
    </row>
    <row r="1574" spans="1:6" x14ac:dyDescent="0.2">
      <c r="A1574" s="275"/>
      <c r="B1574" s="78"/>
      <c r="C1574" s="189"/>
      <c r="D1574" s="185"/>
      <c r="E1574" s="186"/>
      <c r="F1574" s="187"/>
    </row>
    <row r="1575" spans="1:6" x14ac:dyDescent="0.2">
      <c r="A1575" s="275"/>
      <c r="B1575" s="78"/>
      <c r="C1575" s="189"/>
      <c r="D1575" s="185"/>
      <c r="E1575" s="186"/>
      <c r="F1575" s="187"/>
    </row>
    <row r="1576" spans="1:6" x14ac:dyDescent="0.2">
      <c r="A1576" s="275"/>
      <c r="B1576" s="78"/>
      <c r="C1576" s="189"/>
      <c r="D1576" s="185"/>
      <c r="E1576" s="186"/>
      <c r="F1576" s="187"/>
    </row>
    <row r="1577" spans="1:6" x14ac:dyDescent="0.2">
      <c r="A1577" s="275"/>
      <c r="B1577" s="78"/>
      <c r="C1577" s="189"/>
      <c r="D1577" s="185"/>
      <c r="E1577" s="186"/>
      <c r="F1577" s="187"/>
    </row>
    <row r="1578" spans="1:6" x14ac:dyDescent="0.2">
      <c r="A1578" s="275"/>
      <c r="B1578" s="78"/>
      <c r="C1578" s="189"/>
      <c r="D1578" s="185"/>
      <c r="E1578" s="186"/>
      <c r="F1578" s="187"/>
    </row>
    <row r="1579" spans="1:6" x14ac:dyDescent="0.2">
      <c r="A1579" s="275"/>
      <c r="B1579" s="78"/>
      <c r="C1579" s="189"/>
      <c r="D1579" s="185"/>
      <c r="E1579" s="186"/>
      <c r="F1579" s="187"/>
    </row>
    <row r="1580" spans="1:6" x14ac:dyDescent="0.2">
      <c r="A1580" s="275"/>
      <c r="B1580" s="78"/>
      <c r="C1580" s="189"/>
      <c r="D1580" s="185"/>
      <c r="E1580" s="186"/>
      <c r="F1580" s="187"/>
    </row>
    <row r="1581" spans="1:6" x14ac:dyDescent="0.2">
      <c r="A1581" s="275"/>
      <c r="B1581" s="78"/>
      <c r="C1581" s="189"/>
      <c r="D1581" s="185"/>
      <c r="E1581" s="186"/>
      <c r="F1581" s="187"/>
    </row>
    <row r="1582" spans="1:6" x14ac:dyDescent="0.2">
      <c r="A1582" s="275"/>
      <c r="B1582" s="78"/>
      <c r="C1582" s="189"/>
      <c r="D1582" s="185"/>
      <c r="E1582" s="186"/>
      <c r="F1582" s="187"/>
    </row>
    <row r="1583" spans="1:6" x14ac:dyDescent="0.2">
      <c r="A1583" s="275"/>
      <c r="B1583" s="78"/>
      <c r="C1583" s="189"/>
      <c r="D1583" s="185"/>
      <c r="E1583" s="186"/>
      <c r="F1583" s="187"/>
    </row>
    <row r="1584" spans="1:6" x14ac:dyDescent="0.2">
      <c r="A1584" s="275"/>
      <c r="B1584" s="78"/>
      <c r="C1584" s="189"/>
      <c r="D1584" s="185"/>
      <c r="E1584" s="186"/>
      <c r="F1584" s="187"/>
    </row>
    <row r="1585" spans="1:6" x14ac:dyDescent="0.2">
      <c r="A1585" s="275"/>
      <c r="B1585" s="78"/>
      <c r="C1585" s="189"/>
      <c r="D1585" s="185"/>
      <c r="E1585" s="186"/>
      <c r="F1585" s="187"/>
    </row>
    <row r="1586" spans="1:6" x14ac:dyDescent="0.2">
      <c r="A1586" s="275"/>
      <c r="B1586" s="78"/>
      <c r="C1586" s="189"/>
      <c r="D1586" s="185"/>
      <c r="E1586" s="186"/>
      <c r="F1586" s="187"/>
    </row>
    <row r="1587" spans="1:6" x14ac:dyDescent="0.2">
      <c r="A1587" s="275"/>
      <c r="B1587" s="78"/>
      <c r="C1587" s="189"/>
      <c r="D1587" s="185"/>
      <c r="E1587" s="186"/>
      <c r="F1587" s="187"/>
    </row>
    <row r="1588" spans="1:6" x14ac:dyDescent="0.2">
      <c r="A1588" s="275"/>
      <c r="B1588" s="78"/>
      <c r="C1588" s="189"/>
      <c r="D1588" s="185"/>
      <c r="E1588" s="186"/>
      <c r="F1588" s="187"/>
    </row>
    <row r="1589" spans="1:6" x14ac:dyDescent="0.2">
      <c r="A1589" s="275"/>
      <c r="B1589" s="78"/>
      <c r="C1589" s="189"/>
      <c r="D1589" s="185"/>
      <c r="E1589" s="186"/>
      <c r="F1589" s="187"/>
    </row>
    <row r="1590" spans="1:6" x14ac:dyDescent="0.2">
      <c r="A1590" s="275"/>
      <c r="B1590" s="78"/>
      <c r="C1590" s="189"/>
      <c r="D1590" s="185"/>
      <c r="E1590" s="186"/>
      <c r="F1590" s="187"/>
    </row>
    <row r="1591" spans="1:6" x14ac:dyDescent="0.2">
      <c r="A1591" s="275"/>
      <c r="B1591" s="78"/>
      <c r="C1591" s="189"/>
      <c r="D1591" s="185"/>
      <c r="E1591" s="186"/>
      <c r="F1591" s="187"/>
    </row>
    <row r="1592" spans="1:6" x14ac:dyDescent="0.2">
      <c r="A1592" s="275"/>
      <c r="B1592" s="78"/>
      <c r="C1592" s="189"/>
      <c r="D1592" s="185"/>
      <c r="E1592" s="186"/>
      <c r="F1592" s="187"/>
    </row>
    <row r="1593" spans="1:6" x14ac:dyDescent="0.2">
      <c r="A1593" s="275"/>
      <c r="B1593" s="78"/>
      <c r="C1593" s="189"/>
      <c r="D1593" s="185"/>
      <c r="E1593" s="186"/>
      <c r="F1593" s="187"/>
    </row>
    <row r="1594" spans="1:6" x14ac:dyDescent="0.2">
      <c r="A1594" s="275"/>
      <c r="B1594" s="78"/>
      <c r="C1594" s="189"/>
      <c r="D1594" s="185"/>
      <c r="E1594" s="186"/>
      <c r="F1594" s="187"/>
    </row>
    <row r="1595" spans="1:6" x14ac:dyDescent="0.2">
      <c r="A1595" s="275"/>
      <c r="B1595" s="78"/>
      <c r="C1595" s="189"/>
      <c r="D1595" s="185"/>
      <c r="E1595" s="186"/>
      <c r="F1595" s="187"/>
    </row>
    <row r="1596" spans="1:6" x14ac:dyDescent="0.2">
      <c r="A1596" s="275"/>
      <c r="B1596" s="78"/>
      <c r="C1596" s="189"/>
      <c r="D1596" s="185"/>
      <c r="E1596" s="186"/>
      <c r="F1596" s="187"/>
    </row>
    <row r="1597" spans="1:6" x14ac:dyDescent="0.2">
      <c r="A1597" s="275"/>
      <c r="B1597" s="78"/>
      <c r="C1597" s="189"/>
      <c r="D1597" s="185"/>
      <c r="E1597" s="186"/>
      <c r="F1597" s="187"/>
    </row>
    <row r="1598" spans="1:6" x14ac:dyDescent="0.2">
      <c r="A1598" s="275"/>
      <c r="B1598" s="78"/>
      <c r="C1598" s="189"/>
      <c r="D1598" s="185"/>
      <c r="E1598" s="186"/>
      <c r="F1598" s="187"/>
    </row>
    <row r="1599" spans="1:6" x14ac:dyDescent="0.2">
      <c r="A1599" s="275"/>
      <c r="B1599" s="78"/>
      <c r="C1599" s="189"/>
      <c r="D1599" s="185"/>
      <c r="E1599" s="186"/>
      <c r="F1599" s="187"/>
    </row>
    <row r="1600" spans="1:6" x14ac:dyDescent="0.2">
      <c r="A1600" s="275"/>
      <c r="B1600" s="78"/>
      <c r="C1600" s="189"/>
      <c r="D1600" s="185"/>
      <c r="E1600" s="186"/>
      <c r="F1600" s="187"/>
    </row>
    <row r="1601" spans="1:6" x14ac:dyDescent="0.2">
      <c r="A1601" s="275"/>
      <c r="B1601" s="78"/>
      <c r="C1601" s="189"/>
      <c r="D1601" s="185"/>
      <c r="E1601" s="186"/>
      <c r="F1601" s="187"/>
    </row>
    <row r="1602" spans="1:6" x14ac:dyDescent="0.2">
      <c r="A1602" s="275"/>
      <c r="B1602" s="78"/>
      <c r="C1602" s="189"/>
      <c r="D1602" s="185"/>
      <c r="E1602" s="186"/>
      <c r="F1602" s="187"/>
    </row>
    <row r="1603" spans="1:6" x14ac:dyDescent="0.2">
      <c r="A1603" s="275"/>
      <c r="B1603" s="78"/>
      <c r="C1603" s="189"/>
      <c r="D1603" s="185"/>
      <c r="E1603" s="186"/>
      <c r="F1603" s="187"/>
    </row>
    <row r="1604" spans="1:6" x14ac:dyDescent="0.2">
      <c r="A1604" s="275"/>
      <c r="B1604" s="78"/>
      <c r="C1604" s="189"/>
      <c r="D1604" s="185"/>
      <c r="E1604" s="186"/>
      <c r="F1604" s="187"/>
    </row>
    <row r="1605" spans="1:6" x14ac:dyDescent="0.2">
      <c r="A1605" s="275"/>
      <c r="B1605" s="78"/>
      <c r="C1605" s="189"/>
      <c r="D1605" s="185"/>
      <c r="E1605" s="186"/>
      <c r="F1605" s="187"/>
    </row>
    <row r="1606" spans="1:6" x14ac:dyDescent="0.2">
      <c r="A1606" s="275"/>
      <c r="B1606" s="78"/>
      <c r="C1606" s="189"/>
      <c r="D1606" s="185"/>
      <c r="E1606" s="186"/>
      <c r="F1606" s="187"/>
    </row>
    <row r="1607" spans="1:6" x14ac:dyDescent="0.2">
      <c r="A1607" s="275"/>
      <c r="B1607" s="78"/>
      <c r="C1607" s="189"/>
      <c r="D1607" s="185"/>
      <c r="E1607" s="186"/>
      <c r="F1607" s="187"/>
    </row>
    <row r="1608" spans="1:6" x14ac:dyDescent="0.2">
      <c r="A1608" s="275"/>
      <c r="B1608" s="78"/>
      <c r="C1608" s="189"/>
      <c r="D1608" s="185"/>
      <c r="E1608" s="186"/>
      <c r="F1608" s="187"/>
    </row>
    <row r="1609" spans="1:6" x14ac:dyDescent="0.2">
      <c r="A1609" s="275"/>
      <c r="B1609" s="78"/>
      <c r="C1609" s="189"/>
      <c r="D1609" s="185"/>
      <c r="E1609" s="186"/>
      <c r="F1609" s="187"/>
    </row>
    <row r="1610" spans="1:6" x14ac:dyDescent="0.2">
      <c r="A1610" s="275"/>
      <c r="B1610" s="78"/>
      <c r="C1610" s="189"/>
      <c r="D1610" s="185"/>
      <c r="E1610" s="186"/>
      <c r="F1610" s="187"/>
    </row>
    <row r="1611" spans="1:6" x14ac:dyDescent="0.2">
      <c r="A1611" s="275"/>
      <c r="B1611" s="78"/>
      <c r="C1611" s="189"/>
      <c r="D1611" s="185"/>
      <c r="E1611" s="186"/>
      <c r="F1611" s="187"/>
    </row>
    <row r="1612" spans="1:6" x14ac:dyDescent="0.2">
      <c r="A1612" s="275"/>
      <c r="B1612" s="78"/>
      <c r="C1612" s="189"/>
      <c r="D1612" s="185"/>
      <c r="E1612" s="186"/>
      <c r="F1612" s="187"/>
    </row>
    <row r="1613" spans="1:6" x14ac:dyDescent="0.2">
      <c r="A1613" s="275"/>
      <c r="B1613" s="78"/>
      <c r="C1613" s="189"/>
      <c r="D1613" s="185"/>
      <c r="E1613" s="186"/>
      <c r="F1613" s="187"/>
    </row>
    <row r="1614" spans="1:6" x14ac:dyDescent="0.2">
      <c r="A1614" s="275"/>
      <c r="B1614" s="78"/>
      <c r="C1614" s="189"/>
      <c r="D1614" s="185"/>
      <c r="E1614" s="186"/>
      <c r="F1614" s="187"/>
    </row>
    <row r="1615" spans="1:6" x14ac:dyDescent="0.2">
      <c r="A1615" s="275"/>
      <c r="B1615" s="78"/>
      <c r="C1615" s="189"/>
      <c r="D1615" s="185"/>
      <c r="E1615" s="186"/>
      <c r="F1615" s="187"/>
    </row>
    <row r="1616" spans="1:6" x14ac:dyDescent="0.2">
      <c r="A1616" s="275"/>
      <c r="B1616" s="78"/>
      <c r="C1616" s="189"/>
      <c r="D1616" s="185"/>
      <c r="E1616" s="186"/>
      <c r="F1616" s="187"/>
    </row>
    <row r="1617" spans="1:6" x14ac:dyDescent="0.2">
      <c r="A1617" s="275"/>
      <c r="B1617" s="78"/>
      <c r="C1617" s="189"/>
      <c r="D1617" s="185"/>
      <c r="E1617" s="186"/>
      <c r="F1617" s="187"/>
    </row>
    <row r="1618" spans="1:6" x14ac:dyDescent="0.2">
      <c r="A1618" s="275"/>
      <c r="B1618" s="78"/>
      <c r="C1618" s="189"/>
      <c r="D1618" s="185"/>
      <c r="E1618" s="186"/>
      <c r="F1618" s="187"/>
    </row>
    <row r="1619" spans="1:6" x14ac:dyDescent="0.2">
      <c r="A1619" s="275"/>
      <c r="B1619" s="78"/>
      <c r="C1619" s="189"/>
      <c r="D1619" s="185"/>
      <c r="E1619" s="186"/>
      <c r="F1619" s="187"/>
    </row>
    <row r="1620" spans="1:6" x14ac:dyDescent="0.2">
      <c r="A1620" s="275"/>
      <c r="B1620" s="78"/>
      <c r="C1620" s="189"/>
      <c r="D1620" s="185"/>
      <c r="E1620" s="186"/>
      <c r="F1620" s="187"/>
    </row>
    <row r="1621" spans="1:6" x14ac:dyDescent="0.2">
      <c r="A1621" s="275"/>
      <c r="B1621" s="78"/>
      <c r="C1621" s="189"/>
      <c r="D1621" s="185"/>
      <c r="E1621" s="186"/>
      <c r="F1621" s="187"/>
    </row>
    <row r="1622" spans="1:6" x14ac:dyDescent="0.2">
      <c r="A1622" s="275"/>
      <c r="B1622" s="78"/>
      <c r="C1622" s="189"/>
      <c r="D1622" s="185"/>
      <c r="E1622" s="186"/>
      <c r="F1622" s="187"/>
    </row>
    <row r="1623" spans="1:6" x14ac:dyDescent="0.2">
      <c r="A1623" s="275"/>
      <c r="B1623" s="78"/>
      <c r="C1623" s="189"/>
      <c r="D1623" s="185"/>
      <c r="E1623" s="186"/>
      <c r="F1623" s="187"/>
    </row>
    <row r="1624" spans="1:6" x14ac:dyDescent="0.2">
      <c r="A1624" s="275"/>
      <c r="B1624" s="78"/>
      <c r="C1624" s="189"/>
      <c r="D1624" s="185"/>
      <c r="E1624" s="186"/>
      <c r="F1624" s="187"/>
    </row>
    <row r="1625" spans="1:6" x14ac:dyDescent="0.2">
      <c r="A1625" s="275"/>
      <c r="B1625" s="78"/>
      <c r="C1625" s="189"/>
      <c r="D1625" s="185"/>
      <c r="E1625" s="186"/>
      <c r="F1625" s="187"/>
    </row>
    <row r="1626" spans="1:6" x14ac:dyDescent="0.2">
      <c r="A1626" s="275"/>
      <c r="B1626" s="78"/>
      <c r="C1626" s="189"/>
      <c r="D1626" s="185"/>
      <c r="E1626" s="186"/>
      <c r="F1626" s="187"/>
    </row>
    <row r="1627" spans="1:6" x14ac:dyDescent="0.2">
      <c r="A1627" s="275"/>
      <c r="B1627" s="78"/>
      <c r="C1627" s="189"/>
      <c r="D1627" s="185"/>
      <c r="E1627" s="186"/>
      <c r="F1627" s="187"/>
    </row>
    <row r="1628" spans="1:6" x14ac:dyDescent="0.2">
      <c r="A1628" s="275"/>
      <c r="B1628" s="78"/>
      <c r="C1628" s="189"/>
      <c r="D1628" s="185"/>
      <c r="E1628" s="186"/>
      <c r="F1628" s="187"/>
    </row>
    <row r="1629" spans="1:6" x14ac:dyDescent="0.2">
      <c r="A1629" s="275"/>
      <c r="B1629" s="78"/>
      <c r="C1629" s="189"/>
      <c r="D1629" s="185"/>
      <c r="E1629" s="186"/>
      <c r="F1629" s="187"/>
    </row>
    <row r="1630" spans="1:6" x14ac:dyDescent="0.2">
      <c r="A1630" s="275"/>
      <c r="B1630" s="78"/>
      <c r="C1630" s="189"/>
      <c r="D1630" s="185"/>
      <c r="E1630" s="186"/>
      <c r="F1630" s="187"/>
    </row>
    <row r="1631" spans="1:6" x14ac:dyDescent="0.2">
      <c r="A1631" s="275"/>
      <c r="B1631" s="78"/>
      <c r="C1631" s="189"/>
      <c r="D1631" s="185"/>
      <c r="E1631" s="186"/>
      <c r="F1631" s="187"/>
    </row>
    <row r="1632" spans="1:6" x14ac:dyDescent="0.2">
      <c r="A1632" s="275"/>
      <c r="B1632" s="78"/>
      <c r="C1632" s="189"/>
      <c r="D1632" s="185"/>
      <c r="E1632" s="186"/>
      <c r="F1632" s="187"/>
    </row>
    <row r="1633" spans="1:6" x14ac:dyDescent="0.2">
      <c r="A1633" s="275"/>
      <c r="B1633" s="78"/>
      <c r="C1633" s="189"/>
      <c r="D1633" s="185"/>
      <c r="E1633" s="186"/>
      <c r="F1633" s="187"/>
    </row>
    <row r="1634" spans="1:6" x14ac:dyDescent="0.2">
      <c r="A1634" s="275"/>
      <c r="B1634" s="78"/>
      <c r="C1634" s="189"/>
      <c r="D1634" s="185"/>
      <c r="E1634" s="186"/>
      <c r="F1634" s="187"/>
    </row>
    <row r="1635" spans="1:6" x14ac:dyDescent="0.2">
      <c r="A1635" s="275"/>
      <c r="B1635" s="78"/>
      <c r="C1635" s="189"/>
      <c r="D1635" s="185"/>
      <c r="E1635" s="186"/>
      <c r="F1635" s="187"/>
    </row>
    <row r="1636" spans="1:6" x14ac:dyDescent="0.2">
      <c r="A1636" s="275"/>
      <c r="B1636" s="78"/>
      <c r="C1636" s="189"/>
      <c r="D1636" s="185"/>
      <c r="E1636" s="186"/>
      <c r="F1636" s="187"/>
    </row>
    <row r="1637" spans="1:6" x14ac:dyDescent="0.2">
      <c r="A1637" s="275"/>
      <c r="B1637" s="78"/>
      <c r="C1637" s="189"/>
      <c r="D1637" s="185"/>
      <c r="E1637" s="186"/>
      <c r="F1637" s="187"/>
    </row>
    <row r="1638" spans="1:6" x14ac:dyDescent="0.2">
      <c r="A1638" s="275"/>
      <c r="B1638" s="78"/>
      <c r="C1638" s="189"/>
      <c r="D1638" s="185"/>
      <c r="E1638" s="186"/>
      <c r="F1638" s="187"/>
    </row>
    <row r="1639" spans="1:6" x14ac:dyDescent="0.2">
      <c r="A1639" s="275"/>
      <c r="B1639" s="78"/>
      <c r="C1639" s="189"/>
      <c r="D1639" s="185"/>
      <c r="E1639" s="186"/>
      <c r="F1639" s="187"/>
    </row>
    <row r="1640" spans="1:6" x14ac:dyDescent="0.2">
      <c r="A1640" s="275"/>
      <c r="B1640" s="78"/>
      <c r="C1640" s="189"/>
      <c r="D1640" s="185"/>
      <c r="E1640" s="186"/>
      <c r="F1640" s="187"/>
    </row>
    <row r="1641" spans="1:6" x14ac:dyDescent="0.2">
      <c r="A1641" s="275"/>
      <c r="B1641" s="78"/>
      <c r="C1641" s="189"/>
      <c r="D1641" s="185"/>
      <c r="E1641" s="186"/>
      <c r="F1641" s="187"/>
    </row>
    <row r="1642" spans="1:6" x14ac:dyDescent="0.2">
      <c r="A1642" s="275"/>
      <c r="B1642" s="78"/>
      <c r="C1642" s="189"/>
      <c r="D1642" s="185"/>
      <c r="E1642" s="186"/>
      <c r="F1642" s="187"/>
    </row>
    <row r="1643" spans="1:6" x14ac:dyDescent="0.2">
      <c r="A1643" s="275"/>
      <c r="B1643" s="78"/>
      <c r="C1643" s="189"/>
      <c r="D1643" s="185"/>
      <c r="E1643" s="186"/>
      <c r="F1643" s="187"/>
    </row>
    <row r="1644" spans="1:6" x14ac:dyDescent="0.2">
      <c r="A1644" s="275"/>
      <c r="B1644" s="78"/>
      <c r="C1644" s="189"/>
      <c r="D1644" s="185"/>
      <c r="E1644" s="186"/>
      <c r="F1644" s="187"/>
    </row>
    <row r="1645" spans="1:6" x14ac:dyDescent="0.2">
      <c r="A1645" s="275"/>
      <c r="B1645" s="78"/>
      <c r="C1645" s="189"/>
      <c r="D1645" s="185"/>
      <c r="E1645" s="186"/>
      <c r="F1645" s="187"/>
    </row>
    <row r="1646" spans="1:6" x14ac:dyDescent="0.2">
      <c r="A1646" s="275"/>
      <c r="B1646" s="78"/>
      <c r="C1646" s="189"/>
      <c r="D1646" s="185"/>
      <c r="E1646" s="186"/>
      <c r="F1646" s="187"/>
    </row>
    <row r="1647" spans="1:6" x14ac:dyDescent="0.2">
      <c r="A1647" s="275"/>
      <c r="B1647" s="78"/>
      <c r="C1647" s="189"/>
      <c r="D1647" s="185"/>
      <c r="E1647" s="186"/>
      <c r="F1647" s="187"/>
    </row>
    <row r="1648" spans="1:6" x14ac:dyDescent="0.2">
      <c r="A1648" s="275"/>
      <c r="B1648" s="78"/>
      <c r="C1648" s="189"/>
      <c r="D1648" s="185"/>
      <c r="E1648" s="186"/>
      <c r="F1648" s="187"/>
    </row>
    <row r="1649" spans="1:6" x14ac:dyDescent="0.2">
      <c r="A1649" s="275"/>
      <c r="B1649" s="78"/>
      <c r="C1649" s="189"/>
      <c r="D1649" s="185"/>
      <c r="E1649" s="186"/>
      <c r="F1649" s="187"/>
    </row>
    <row r="1650" spans="1:6" x14ac:dyDescent="0.2">
      <c r="A1650" s="275"/>
      <c r="B1650" s="78"/>
      <c r="C1650" s="189"/>
      <c r="D1650" s="185"/>
      <c r="E1650" s="186"/>
      <c r="F1650" s="187"/>
    </row>
    <row r="1651" spans="1:6" x14ac:dyDescent="0.2">
      <c r="A1651" s="275"/>
      <c r="B1651" s="78"/>
      <c r="C1651" s="189"/>
      <c r="D1651" s="185"/>
      <c r="E1651" s="186"/>
      <c r="F1651" s="187"/>
    </row>
    <row r="1652" spans="1:6" x14ac:dyDescent="0.2">
      <c r="A1652" s="275"/>
      <c r="B1652" s="78"/>
      <c r="C1652" s="189"/>
      <c r="D1652" s="185"/>
      <c r="E1652" s="186"/>
      <c r="F1652" s="187"/>
    </row>
    <row r="1653" spans="1:6" x14ac:dyDescent="0.2">
      <c r="A1653" s="275"/>
      <c r="B1653" s="78"/>
      <c r="C1653" s="189"/>
      <c r="D1653" s="185"/>
      <c r="E1653" s="186"/>
      <c r="F1653" s="187"/>
    </row>
    <row r="1654" spans="1:6" x14ac:dyDescent="0.2">
      <c r="A1654" s="275"/>
      <c r="B1654" s="78"/>
      <c r="C1654" s="189"/>
      <c r="D1654" s="185"/>
      <c r="E1654" s="186"/>
      <c r="F1654" s="187"/>
    </row>
    <row r="1655" spans="1:6" x14ac:dyDescent="0.2">
      <c r="A1655" s="275"/>
      <c r="B1655" s="78"/>
      <c r="C1655" s="189"/>
      <c r="D1655" s="185"/>
      <c r="E1655" s="186"/>
      <c r="F1655" s="187"/>
    </row>
    <row r="1656" spans="1:6" x14ac:dyDescent="0.2">
      <c r="A1656" s="275"/>
      <c r="B1656" s="78"/>
      <c r="C1656" s="189"/>
      <c r="D1656" s="185"/>
      <c r="E1656" s="186"/>
      <c r="F1656" s="187"/>
    </row>
    <row r="1657" spans="1:6" x14ac:dyDescent="0.2">
      <c r="A1657" s="275"/>
      <c r="B1657" s="78"/>
      <c r="C1657" s="189"/>
      <c r="D1657" s="185"/>
      <c r="E1657" s="186"/>
      <c r="F1657" s="187"/>
    </row>
    <row r="1658" spans="1:6" x14ac:dyDescent="0.2">
      <c r="A1658" s="275"/>
      <c r="B1658" s="78"/>
      <c r="C1658" s="189"/>
      <c r="D1658" s="185"/>
      <c r="E1658" s="186"/>
      <c r="F1658" s="187"/>
    </row>
    <row r="1659" spans="1:6" x14ac:dyDescent="0.2">
      <c r="A1659" s="275"/>
      <c r="B1659" s="78"/>
      <c r="C1659" s="189"/>
      <c r="D1659" s="185"/>
      <c r="E1659" s="186"/>
      <c r="F1659" s="187"/>
    </row>
    <row r="1660" spans="1:6" x14ac:dyDescent="0.2">
      <c r="A1660" s="275"/>
      <c r="B1660" s="78"/>
      <c r="C1660" s="189"/>
      <c r="D1660" s="185"/>
      <c r="E1660" s="186"/>
      <c r="F1660" s="187"/>
    </row>
    <row r="1661" spans="1:6" x14ac:dyDescent="0.2">
      <c r="A1661" s="275"/>
      <c r="B1661" s="78"/>
      <c r="C1661" s="189"/>
      <c r="D1661" s="185"/>
      <c r="E1661" s="186"/>
      <c r="F1661" s="187"/>
    </row>
    <row r="1662" spans="1:6" x14ac:dyDescent="0.2">
      <c r="A1662" s="275"/>
      <c r="B1662" s="78"/>
      <c r="C1662" s="189"/>
      <c r="D1662" s="185"/>
      <c r="E1662" s="186"/>
      <c r="F1662" s="187"/>
    </row>
    <row r="1663" spans="1:6" x14ac:dyDescent="0.2">
      <c r="A1663" s="275"/>
      <c r="B1663" s="78"/>
      <c r="C1663" s="189"/>
      <c r="D1663" s="185"/>
      <c r="E1663" s="186"/>
      <c r="F1663" s="187"/>
    </row>
    <row r="1664" spans="1:6" x14ac:dyDescent="0.2">
      <c r="A1664" s="275"/>
      <c r="B1664" s="78"/>
      <c r="C1664" s="189"/>
      <c r="D1664" s="185"/>
      <c r="E1664" s="186"/>
      <c r="F1664" s="187"/>
    </row>
    <row r="1665" spans="1:6" x14ac:dyDescent="0.2">
      <c r="A1665" s="275"/>
      <c r="B1665" s="78"/>
      <c r="C1665" s="189"/>
      <c r="D1665" s="185"/>
      <c r="E1665" s="186"/>
      <c r="F1665" s="187"/>
    </row>
    <row r="1666" spans="1:6" x14ac:dyDescent="0.2">
      <c r="A1666" s="275"/>
      <c r="B1666" s="78"/>
      <c r="C1666" s="189"/>
      <c r="D1666" s="185"/>
      <c r="E1666" s="186"/>
      <c r="F1666" s="187"/>
    </row>
    <row r="1667" spans="1:6" x14ac:dyDescent="0.2">
      <c r="A1667" s="275"/>
      <c r="B1667" s="78"/>
      <c r="C1667" s="189"/>
      <c r="D1667" s="185"/>
      <c r="E1667" s="186"/>
      <c r="F1667" s="187"/>
    </row>
    <row r="1668" spans="1:6" x14ac:dyDescent="0.2">
      <c r="A1668" s="275"/>
      <c r="B1668" s="78"/>
      <c r="C1668" s="189"/>
      <c r="D1668" s="185"/>
      <c r="E1668" s="186"/>
      <c r="F1668" s="187"/>
    </row>
    <row r="1669" spans="1:6" x14ac:dyDescent="0.2">
      <c r="A1669" s="275"/>
      <c r="B1669" s="78"/>
      <c r="C1669" s="189"/>
      <c r="D1669" s="185"/>
      <c r="E1669" s="186"/>
      <c r="F1669" s="187"/>
    </row>
    <row r="1670" spans="1:6" x14ac:dyDescent="0.2">
      <c r="A1670" s="275"/>
      <c r="B1670" s="78"/>
      <c r="C1670" s="189"/>
      <c r="D1670" s="185"/>
      <c r="E1670" s="186"/>
      <c r="F1670" s="187"/>
    </row>
    <row r="1671" spans="1:6" x14ac:dyDescent="0.2">
      <c r="A1671" s="275"/>
      <c r="B1671" s="78"/>
      <c r="C1671" s="189"/>
      <c r="D1671" s="185"/>
      <c r="E1671" s="186"/>
      <c r="F1671" s="187"/>
    </row>
    <row r="1672" spans="1:6" x14ac:dyDescent="0.2">
      <c r="A1672" s="275"/>
      <c r="B1672" s="78"/>
      <c r="C1672" s="189"/>
      <c r="D1672" s="185"/>
      <c r="E1672" s="186"/>
      <c r="F1672" s="187"/>
    </row>
    <row r="1673" spans="1:6" x14ac:dyDescent="0.2">
      <c r="A1673" s="275"/>
      <c r="B1673" s="78"/>
      <c r="C1673" s="189"/>
      <c r="D1673" s="185"/>
      <c r="E1673" s="186"/>
      <c r="F1673" s="187"/>
    </row>
    <row r="1674" spans="1:6" x14ac:dyDescent="0.2">
      <c r="A1674" s="275"/>
      <c r="B1674" s="78"/>
      <c r="C1674" s="189"/>
      <c r="D1674" s="185"/>
      <c r="E1674" s="186"/>
      <c r="F1674" s="187"/>
    </row>
    <row r="1675" spans="1:6" x14ac:dyDescent="0.2">
      <c r="A1675" s="275"/>
      <c r="B1675" s="78"/>
      <c r="C1675" s="189"/>
      <c r="D1675" s="185"/>
      <c r="E1675" s="186"/>
      <c r="F1675" s="187"/>
    </row>
    <row r="1676" spans="1:6" x14ac:dyDescent="0.2">
      <c r="A1676" s="275"/>
      <c r="B1676" s="78"/>
      <c r="C1676" s="189"/>
      <c r="D1676" s="185"/>
      <c r="E1676" s="186"/>
      <c r="F1676" s="187"/>
    </row>
    <row r="1677" spans="1:6" x14ac:dyDescent="0.2">
      <c r="A1677" s="275"/>
      <c r="B1677" s="78"/>
      <c r="C1677" s="189"/>
      <c r="D1677" s="185"/>
      <c r="E1677" s="186"/>
      <c r="F1677" s="187"/>
    </row>
    <row r="1678" spans="1:6" x14ac:dyDescent="0.2">
      <c r="A1678" s="275"/>
      <c r="B1678" s="78"/>
      <c r="C1678" s="189"/>
      <c r="D1678" s="185"/>
      <c r="E1678" s="186"/>
      <c r="F1678" s="187"/>
    </row>
    <row r="1679" spans="1:6" x14ac:dyDescent="0.2">
      <c r="A1679" s="275"/>
      <c r="B1679" s="78"/>
      <c r="C1679" s="189"/>
      <c r="D1679" s="185"/>
      <c r="E1679" s="186"/>
      <c r="F1679" s="187"/>
    </row>
    <row r="1680" spans="1:6" x14ac:dyDescent="0.2">
      <c r="A1680" s="275"/>
      <c r="B1680" s="78"/>
      <c r="C1680" s="189"/>
      <c r="D1680" s="185"/>
      <c r="E1680" s="186"/>
      <c r="F1680" s="187"/>
    </row>
    <row r="1681" spans="1:6" x14ac:dyDescent="0.2">
      <c r="A1681" s="275"/>
      <c r="B1681" s="78"/>
      <c r="C1681" s="189"/>
      <c r="D1681" s="185"/>
      <c r="E1681" s="186"/>
      <c r="F1681" s="187"/>
    </row>
    <row r="1682" spans="1:6" x14ac:dyDescent="0.2">
      <c r="A1682" s="275"/>
      <c r="B1682" s="78"/>
      <c r="C1682" s="189"/>
      <c r="D1682" s="185"/>
      <c r="E1682" s="186"/>
      <c r="F1682" s="187"/>
    </row>
    <row r="1683" spans="1:6" x14ac:dyDescent="0.2">
      <c r="A1683" s="275"/>
      <c r="B1683" s="78"/>
      <c r="C1683" s="189"/>
      <c r="D1683" s="185"/>
      <c r="E1683" s="186"/>
      <c r="F1683" s="187"/>
    </row>
    <row r="1684" spans="1:6" x14ac:dyDescent="0.2">
      <c r="A1684" s="275"/>
      <c r="B1684" s="78"/>
      <c r="C1684" s="189"/>
      <c r="D1684" s="185"/>
      <c r="E1684" s="186"/>
      <c r="F1684" s="187"/>
    </row>
    <row r="1685" spans="1:6" x14ac:dyDescent="0.2">
      <c r="A1685" s="275"/>
      <c r="B1685" s="78"/>
      <c r="C1685" s="189"/>
      <c r="D1685" s="185"/>
      <c r="E1685" s="186"/>
      <c r="F1685" s="187"/>
    </row>
    <row r="1686" spans="1:6" x14ac:dyDescent="0.2">
      <c r="A1686" s="275"/>
      <c r="B1686" s="78"/>
      <c r="C1686" s="189"/>
      <c r="D1686" s="185"/>
      <c r="E1686" s="186"/>
      <c r="F1686" s="187"/>
    </row>
    <row r="1687" spans="1:6" x14ac:dyDescent="0.2">
      <c r="A1687" s="275"/>
      <c r="B1687" s="78"/>
      <c r="C1687" s="189"/>
      <c r="D1687" s="185"/>
      <c r="E1687" s="186"/>
      <c r="F1687" s="187"/>
    </row>
    <row r="1688" spans="1:6" x14ac:dyDescent="0.2">
      <c r="A1688" s="275"/>
      <c r="B1688" s="78"/>
      <c r="C1688" s="189"/>
      <c r="D1688" s="185"/>
      <c r="E1688" s="186"/>
      <c r="F1688" s="187"/>
    </row>
    <row r="1689" spans="1:6" x14ac:dyDescent="0.2">
      <c r="A1689" s="275"/>
      <c r="B1689" s="78"/>
      <c r="C1689" s="189"/>
      <c r="D1689" s="185"/>
      <c r="E1689" s="186"/>
      <c r="F1689" s="187"/>
    </row>
    <row r="1690" spans="1:6" x14ac:dyDescent="0.2">
      <c r="A1690" s="275"/>
      <c r="B1690" s="78"/>
      <c r="C1690" s="189"/>
      <c r="D1690" s="185"/>
      <c r="E1690" s="186"/>
      <c r="F1690" s="187"/>
    </row>
    <row r="1691" spans="1:6" x14ac:dyDescent="0.2">
      <c r="A1691" s="275"/>
      <c r="B1691" s="78"/>
      <c r="C1691" s="189"/>
      <c r="D1691" s="185"/>
      <c r="E1691" s="186"/>
      <c r="F1691" s="187"/>
    </row>
    <row r="1692" spans="1:6" x14ac:dyDescent="0.2">
      <c r="A1692" s="275"/>
      <c r="B1692" s="78"/>
      <c r="C1692" s="189"/>
      <c r="D1692" s="185"/>
      <c r="E1692" s="186"/>
      <c r="F1692" s="187"/>
    </row>
    <row r="1693" spans="1:6" x14ac:dyDescent="0.2">
      <c r="A1693" s="275"/>
      <c r="B1693" s="78"/>
      <c r="C1693" s="189"/>
      <c r="D1693" s="185"/>
      <c r="E1693" s="186"/>
      <c r="F1693" s="187"/>
    </row>
    <row r="1694" spans="1:6" x14ac:dyDescent="0.2">
      <c r="A1694" s="275"/>
      <c r="B1694" s="78"/>
      <c r="C1694" s="189"/>
      <c r="D1694" s="185"/>
      <c r="E1694" s="186"/>
      <c r="F1694" s="187"/>
    </row>
    <row r="1695" spans="1:6" x14ac:dyDescent="0.2">
      <c r="A1695" s="275"/>
      <c r="B1695" s="78"/>
      <c r="C1695" s="189"/>
      <c r="D1695" s="185"/>
      <c r="E1695" s="186"/>
      <c r="F1695" s="187"/>
    </row>
    <row r="1696" spans="1:6" x14ac:dyDescent="0.2">
      <c r="A1696" s="275"/>
      <c r="B1696" s="78"/>
      <c r="C1696" s="189"/>
      <c r="D1696" s="185"/>
      <c r="E1696" s="186"/>
      <c r="F1696" s="187"/>
    </row>
    <row r="1697" spans="1:6" x14ac:dyDescent="0.2">
      <c r="A1697" s="275"/>
      <c r="B1697" s="78"/>
      <c r="C1697" s="189"/>
      <c r="D1697" s="185"/>
      <c r="E1697" s="186"/>
      <c r="F1697" s="187"/>
    </row>
    <row r="1698" spans="1:6" x14ac:dyDescent="0.2">
      <c r="A1698" s="275"/>
      <c r="B1698" s="78"/>
      <c r="C1698" s="189"/>
      <c r="D1698" s="185"/>
      <c r="E1698" s="186"/>
      <c r="F1698" s="187"/>
    </row>
    <row r="1699" spans="1:6" x14ac:dyDescent="0.2">
      <c r="A1699" s="275"/>
      <c r="B1699" s="78"/>
      <c r="C1699" s="189"/>
      <c r="D1699" s="185"/>
      <c r="E1699" s="186"/>
      <c r="F1699" s="187"/>
    </row>
    <row r="1700" spans="1:6" x14ac:dyDescent="0.2">
      <c r="A1700" s="275"/>
      <c r="B1700" s="78"/>
      <c r="C1700" s="189"/>
      <c r="D1700" s="185"/>
      <c r="E1700" s="186"/>
      <c r="F1700" s="187"/>
    </row>
    <row r="1701" spans="1:6" x14ac:dyDescent="0.2">
      <c r="A1701" s="275"/>
      <c r="B1701" s="78"/>
      <c r="C1701" s="189"/>
      <c r="D1701" s="185"/>
      <c r="E1701" s="186"/>
      <c r="F1701" s="187"/>
    </row>
    <row r="1702" spans="1:6" x14ac:dyDescent="0.2">
      <c r="A1702" s="275"/>
      <c r="B1702" s="78"/>
      <c r="C1702" s="189"/>
      <c r="D1702" s="185"/>
      <c r="E1702" s="186"/>
      <c r="F1702" s="187"/>
    </row>
    <row r="1703" spans="1:6" x14ac:dyDescent="0.2">
      <c r="A1703" s="275"/>
      <c r="B1703" s="78"/>
      <c r="C1703" s="189"/>
      <c r="D1703" s="185"/>
      <c r="E1703" s="186"/>
      <c r="F1703" s="187"/>
    </row>
    <row r="1704" spans="1:6" x14ac:dyDescent="0.2">
      <c r="A1704" s="275"/>
      <c r="B1704" s="78"/>
      <c r="C1704" s="189"/>
      <c r="D1704" s="185"/>
      <c r="E1704" s="186"/>
      <c r="F1704" s="187"/>
    </row>
    <row r="1705" spans="1:6" x14ac:dyDescent="0.2">
      <c r="A1705" s="275"/>
      <c r="B1705" s="78"/>
      <c r="C1705" s="189"/>
      <c r="D1705" s="185"/>
      <c r="E1705" s="186"/>
      <c r="F1705" s="187"/>
    </row>
    <row r="1706" spans="1:6" x14ac:dyDescent="0.2">
      <c r="A1706" s="275"/>
      <c r="B1706" s="78"/>
      <c r="C1706" s="189"/>
      <c r="D1706" s="185"/>
      <c r="E1706" s="186"/>
      <c r="F1706" s="187"/>
    </row>
    <row r="1707" spans="1:6" x14ac:dyDescent="0.2">
      <c r="A1707" s="275"/>
      <c r="B1707" s="78"/>
      <c r="C1707" s="189"/>
      <c r="D1707" s="185"/>
      <c r="E1707" s="186"/>
      <c r="F1707" s="187"/>
    </row>
    <row r="1708" spans="1:6" x14ac:dyDescent="0.2">
      <c r="A1708" s="275"/>
      <c r="B1708" s="78"/>
      <c r="C1708" s="189"/>
      <c r="D1708" s="185"/>
      <c r="E1708" s="186"/>
      <c r="F1708" s="187"/>
    </row>
    <row r="1709" spans="1:6" x14ac:dyDescent="0.2">
      <c r="A1709" s="275"/>
      <c r="B1709" s="78"/>
      <c r="C1709" s="189"/>
      <c r="D1709" s="185"/>
      <c r="E1709" s="186"/>
      <c r="F1709" s="187"/>
    </row>
    <row r="1710" spans="1:6" x14ac:dyDescent="0.2">
      <c r="A1710" s="275"/>
      <c r="B1710" s="78"/>
      <c r="C1710" s="189"/>
      <c r="D1710" s="185"/>
      <c r="E1710" s="186"/>
      <c r="F1710" s="187"/>
    </row>
    <row r="1711" spans="1:6" x14ac:dyDescent="0.2">
      <c r="A1711" s="275"/>
      <c r="B1711" s="78"/>
      <c r="C1711" s="189"/>
      <c r="D1711" s="185"/>
      <c r="E1711" s="186"/>
      <c r="F1711" s="187"/>
    </row>
    <row r="1712" spans="1:6" x14ac:dyDescent="0.2">
      <c r="A1712" s="275"/>
      <c r="B1712" s="78"/>
      <c r="C1712" s="189"/>
      <c r="D1712" s="185"/>
      <c r="E1712" s="186"/>
      <c r="F1712" s="187"/>
    </row>
    <row r="1713" spans="1:6" x14ac:dyDescent="0.2">
      <c r="A1713" s="275"/>
      <c r="B1713" s="78"/>
      <c r="C1713" s="189"/>
      <c r="D1713" s="185"/>
      <c r="E1713" s="186"/>
      <c r="F1713" s="187"/>
    </row>
    <row r="1714" spans="1:6" x14ac:dyDescent="0.2">
      <c r="A1714" s="275"/>
      <c r="B1714" s="78"/>
      <c r="C1714" s="189"/>
      <c r="D1714" s="185"/>
      <c r="E1714" s="186"/>
      <c r="F1714" s="187"/>
    </row>
    <row r="1715" spans="1:6" x14ac:dyDescent="0.2">
      <c r="A1715" s="275"/>
      <c r="B1715" s="78"/>
      <c r="C1715" s="189"/>
      <c r="D1715" s="185"/>
      <c r="E1715" s="186"/>
      <c r="F1715" s="187"/>
    </row>
    <row r="1716" spans="1:6" x14ac:dyDescent="0.2">
      <c r="A1716" s="275"/>
      <c r="B1716" s="78"/>
      <c r="C1716" s="189"/>
      <c r="D1716" s="185"/>
      <c r="E1716" s="186"/>
      <c r="F1716" s="187"/>
    </row>
    <row r="1717" spans="1:6" x14ac:dyDescent="0.2">
      <c r="A1717" s="275"/>
      <c r="B1717" s="78"/>
      <c r="C1717" s="189"/>
      <c r="D1717" s="185"/>
      <c r="E1717" s="186"/>
      <c r="F1717" s="187"/>
    </row>
    <row r="1718" spans="1:6" x14ac:dyDescent="0.2">
      <c r="A1718" s="275"/>
      <c r="B1718" s="78"/>
      <c r="C1718" s="189"/>
      <c r="D1718" s="185"/>
      <c r="E1718" s="186"/>
      <c r="F1718" s="187"/>
    </row>
    <row r="1719" spans="1:6" x14ac:dyDescent="0.2">
      <c r="A1719" s="275"/>
      <c r="B1719" s="78"/>
      <c r="C1719" s="189"/>
      <c r="D1719" s="185"/>
      <c r="E1719" s="186"/>
      <c r="F1719" s="187"/>
    </row>
    <row r="1720" spans="1:6" x14ac:dyDescent="0.2">
      <c r="A1720" s="275"/>
      <c r="B1720" s="78"/>
      <c r="C1720" s="189"/>
      <c r="D1720" s="185"/>
      <c r="E1720" s="186"/>
      <c r="F1720" s="187"/>
    </row>
    <row r="1721" spans="1:6" x14ac:dyDescent="0.2">
      <c r="A1721" s="275"/>
      <c r="B1721" s="78"/>
      <c r="C1721" s="189"/>
      <c r="D1721" s="185"/>
      <c r="E1721" s="186"/>
      <c r="F1721" s="187"/>
    </row>
    <row r="1722" spans="1:6" x14ac:dyDescent="0.2">
      <c r="A1722" s="275"/>
      <c r="B1722" s="78"/>
      <c r="C1722" s="189"/>
      <c r="D1722" s="185"/>
      <c r="E1722" s="186"/>
      <c r="F1722" s="187"/>
    </row>
    <row r="1723" spans="1:6" x14ac:dyDescent="0.2">
      <c r="A1723" s="275"/>
      <c r="B1723" s="78"/>
      <c r="C1723" s="189"/>
      <c r="D1723" s="185"/>
      <c r="E1723" s="186"/>
      <c r="F1723" s="187"/>
    </row>
    <row r="1724" spans="1:6" x14ac:dyDescent="0.2">
      <c r="A1724" s="275"/>
      <c r="B1724" s="78"/>
      <c r="C1724" s="189"/>
      <c r="D1724" s="185"/>
      <c r="E1724" s="186"/>
      <c r="F1724" s="187"/>
    </row>
    <row r="1725" spans="1:6" x14ac:dyDescent="0.2">
      <c r="A1725" s="275"/>
      <c r="B1725" s="78"/>
      <c r="C1725" s="189"/>
      <c r="D1725" s="185"/>
      <c r="E1725" s="186"/>
      <c r="F1725" s="187"/>
    </row>
    <row r="1726" spans="1:6" x14ac:dyDescent="0.2">
      <c r="A1726" s="275"/>
      <c r="B1726" s="78"/>
      <c r="C1726" s="189"/>
      <c r="D1726" s="185"/>
      <c r="E1726" s="186"/>
      <c r="F1726" s="187"/>
    </row>
    <row r="1727" spans="1:6" x14ac:dyDescent="0.2">
      <c r="A1727" s="275"/>
      <c r="B1727" s="78"/>
      <c r="C1727" s="189"/>
      <c r="D1727" s="185"/>
      <c r="E1727" s="186"/>
      <c r="F1727" s="187"/>
    </row>
    <row r="1728" spans="1:6" x14ac:dyDescent="0.2">
      <c r="A1728" s="275"/>
      <c r="B1728" s="78"/>
      <c r="C1728" s="189"/>
      <c r="D1728" s="185"/>
      <c r="E1728" s="186"/>
      <c r="F1728" s="187"/>
    </row>
    <row r="1729" spans="1:6" x14ac:dyDescent="0.2">
      <c r="A1729" s="275"/>
      <c r="B1729" s="78"/>
      <c r="C1729" s="189"/>
      <c r="D1729" s="185"/>
      <c r="E1729" s="186"/>
      <c r="F1729" s="187"/>
    </row>
    <row r="1730" spans="1:6" x14ac:dyDescent="0.2">
      <c r="A1730" s="275"/>
      <c r="B1730" s="78"/>
      <c r="C1730" s="189"/>
      <c r="D1730" s="185"/>
      <c r="E1730" s="186"/>
      <c r="F1730" s="187"/>
    </row>
    <row r="1731" spans="1:6" x14ac:dyDescent="0.2">
      <c r="A1731" s="275"/>
      <c r="B1731" s="78"/>
      <c r="C1731" s="189"/>
      <c r="D1731" s="185"/>
      <c r="E1731" s="186"/>
      <c r="F1731" s="187"/>
    </row>
    <row r="1732" spans="1:6" x14ac:dyDescent="0.2">
      <c r="A1732" s="275"/>
      <c r="B1732" s="78"/>
      <c r="C1732" s="189"/>
      <c r="D1732" s="185"/>
      <c r="E1732" s="186"/>
      <c r="F1732" s="187"/>
    </row>
    <row r="1733" spans="1:6" x14ac:dyDescent="0.2">
      <c r="A1733" s="275"/>
      <c r="B1733" s="78"/>
      <c r="C1733" s="189"/>
      <c r="D1733" s="185"/>
      <c r="E1733" s="186"/>
      <c r="F1733" s="187"/>
    </row>
    <row r="1734" spans="1:6" x14ac:dyDescent="0.2">
      <c r="A1734" s="275"/>
      <c r="B1734" s="78"/>
      <c r="C1734" s="189"/>
      <c r="D1734" s="185"/>
      <c r="E1734" s="186"/>
      <c r="F1734" s="187"/>
    </row>
    <row r="1735" spans="1:6" x14ac:dyDescent="0.2">
      <c r="A1735" s="275"/>
      <c r="B1735" s="78"/>
      <c r="C1735" s="189"/>
      <c r="D1735" s="185"/>
      <c r="E1735" s="186"/>
      <c r="F1735" s="187"/>
    </row>
    <row r="1736" spans="1:6" x14ac:dyDescent="0.2">
      <c r="A1736" s="275"/>
      <c r="B1736" s="78"/>
      <c r="C1736" s="189"/>
      <c r="D1736" s="185"/>
      <c r="E1736" s="186"/>
      <c r="F1736" s="187"/>
    </row>
    <row r="1737" spans="1:6" x14ac:dyDescent="0.2">
      <c r="A1737" s="275"/>
      <c r="B1737" s="78"/>
      <c r="C1737" s="189"/>
      <c r="D1737" s="185"/>
      <c r="E1737" s="186"/>
      <c r="F1737" s="187"/>
    </row>
    <row r="1738" spans="1:6" x14ac:dyDescent="0.2">
      <c r="A1738" s="275"/>
      <c r="B1738" s="78"/>
      <c r="C1738" s="189"/>
      <c r="D1738" s="185"/>
      <c r="E1738" s="186"/>
      <c r="F1738" s="187"/>
    </row>
    <row r="1739" spans="1:6" x14ac:dyDescent="0.2">
      <c r="A1739" s="275"/>
      <c r="B1739" s="78"/>
      <c r="C1739" s="189"/>
      <c r="D1739" s="185"/>
      <c r="E1739" s="186"/>
      <c r="F1739" s="187"/>
    </row>
    <row r="1740" spans="1:6" x14ac:dyDescent="0.2">
      <c r="A1740" s="275"/>
      <c r="B1740" s="78"/>
      <c r="C1740" s="189"/>
      <c r="D1740" s="185"/>
      <c r="E1740" s="186"/>
      <c r="F1740" s="187"/>
    </row>
    <row r="1741" spans="1:6" x14ac:dyDescent="0.2">
      <c r="A1741" s="275"/>
      <c r="B1741" s="78"/>
      <c r="C1741" s="189"/>
      <c r="D1741" s="185"/>
      <c r="E1741" s="186"/>
      <c r="F1741" s="187"/>
    </row>
    <row r="1742" spans="1:6" x14ac:dyDescent="0.2">
      <c r="A1742" s="275"/>
      <c r="B1742" s="78"/>
      <c r="C1742" s="189"/>
      <c r="D1742" s="185"/>
      <c r="E1742" s="186"/>
      <c r="F1742" s="187"/>
    </row>
    <row r="1743" spans="1:6" x14ac:dyDescent="0.2">
      <c r="A1743" s="275"/>
      <c r="B1743" s="78"/>
      <c r="C1743" s="189"/>
      <c r="D1743" s="185"/>
      <c r="E1743" s="186"/>
      <c r="F1743" s="187"/>
    </row>
    <row r="1744" spans="1:6" x14ac:dyDescent="0.2">
      <c r="A1744" s="275"/>
      <c r="B1744" s="78"/>
      <c r="C1744" s="189"/>
      <c r="D1744" s="185"/>
      <c r="E1744" s="186"/>
      <c r="F1744" s="187"/>
    </row>
    <row r="1745" spans="1:6" x14ac:dyDescent="0.2">
      <c r="A1745" s="275"/>
      <c r="B1745" s="78"/>
      <c r="C1745" s="189"/>
      <c r="D1745" s="185"/>
      <c r="E1745" s="186"/>
      <c r="F1745" s="187"/>
    </row>
    <row r="1746" spans="1:6" x14ac:dyDescent="0.2">
      <c r="A1746" s="275"/>
      <c r="B1746" s="78"/>
      <c r="C1746" s="189"/>
      <c r="D1746" s="185"/>
      <c r="E1746" s="186"/>
      <c r="F1746" s="187"/>
    </row>
    <row r="1747" spans="1:6" x14ac:dyDescent="0.2">
      <c r="A1747" s="275"/>
      <c r="B1747" s="78"/>
      <c r="C1747" s="189"/>
      <c r="D1747" s="185"/>
      <c r="E1747" s="186"/>
      <c r="F1747" s="187"/>
    </row>
    <row r="1748" spans="1:6" x14ac:dyDescent="0.2">
      <c r="A1748" s="275"/>
      <c r="B1748" s="78"/>
      <c r="C1748" s="189"/>
      <c r="D1748" s="185"/>
      <c r="E1748" s="186"/>
      <c r="F1748" s="187"/>
    </row>
    <row r="1749" spans="1:6" x14ac:dyDescent="0.2">
      <c r="A1749" s="275"/>
      <c r="B1749" s="78"/>
      <c r="C1749" s="189"/>
      <c r="D1749" s="185"/>
      <c r="E1749" s="186"/>
      <c r="F1749" s="187"/>
    </row>
    <row r="1750" spans="1:6" x14ac:dyDescent="0.2">
      <c r="A1750" s="275"/>
      <c r="B1750" s="78"/>
      <c r="C1750" s="189"/>
      <c r="D1750" s="185"/>
      <c r="E1750" s="186"/>
      <c r="F1750" s="187"/>
    </row>
    <row r="1751" spans="1:6" x14ac:dyDescent="0.2">
      <c r="A1751" s="275"/>
      <c r="B1751" s="78"/>
      <c r="C1751" s="189"/>
      <c r="D1751" s="185"/>
      <c r="E1751" s="186"/>
      <c r="F1751" s="187"/>
    </row>
    <row r="1752" spans="1:6" x14ac:dyDescent="0.2">
      <c r="A1752" s="275"/>
      <c r="B1752" s="78"/>
      <c r="C1752" s="189"/>
      <c r="D1752" s="185"/>
      <c r="E1752" s="186"/>
      <c r="F1752" s="187"/>
    </row>
    <row r="1753" spans="1:6" x14ac:dyDescent="0.2">
      <c r="A1753" s="275"/>
      <c r="B1753" s="78"/>
      <c r="C1753" s="189"/>
      <c r="D1753" s="185"/>
      <c r="E1753" s="186"/>
      <c r="F1753" s="187"/>
    </row>
    <row r="1754" spans="1:6" x14ac:dyDescent="0.2">
      <c r="A1754" s="275"/>
      <c r="B1754" s="78"/>
      <c r="C1754" s="189"/>
      <c r="D1754" s="185"/>
      <c r="E1754" s="186"/>
      <c r="F1754" s="187"/>
    </row>
    <row r="1755" spans="1:6" x14ac:dyDescent="0.2">
      <c r="A1755" s="275"/>
      <c r="B1755" s="78"/>
      <c r="C1755" s="189"/>
      <c r="D1755" s="185"/>
      <c r="E1755" s="186"/>
      <c r="F1755" s="187"/>
    </row>
    <row r="1756" spans="1:6" x14ac:dyDescent="0.2">
      <c r="A1756" s="275"/>
      <c r="B1756" s="78"/>
      <c r="C1756" s="189"/>
      <c r="D1756" s="185"/>
      <c r="E1756" s="186"/>
      <c r="F1756" s="187"/>
    </row>
    <row r="1757" spans="1:6" x14ac:dyDescent="0.2">
      <c r="A1757" s="275"/>
      <c r="B1757" s="78"/>
      <c r="C1757" s="189"/>
      <c r="D1757" s="185"/>
      <c r="E1757" s="186"/>
      <c r="F1757" s="187"/>
    </row>
    <row r="1758" spans="1:6" x14ac:dyDescent="0.2">
      <c r="A1758" s="275"/>
      <c r="B1758" s="78"/>
      <c r="C1758" s="189"/>
      <c r="D1758" s="185"/>
      <c r="E1758" s="186"/>
      <c r="F1758" s="187"/>
    </row>
    <row r="1759" spans="1:6" x14ac:dyDescent="0.2">
      <c r="A1759" s="275"/>
      <c r="B1759" s="78"/>
      <c r="C1759" s="189"/>
      <c r="D1759" s="185"/>
      <c r="E1759" s="186"/>
      <c r="F1759" s="187"/>
    </row>
    <row r="1760" spans="1:6" x14ac:dyDescent="0.2">
      <c r="A1760" s="275"/>
      <c r="B1760" s="78"/>
      <c r="C1760" s="189"/>
      <c r="D1760" s="185"/>
      <c r="E1760" s="186"/>
      <c r="F1760" s="187"/>
    </row>
    <row r="1761" spans="1:6" x14ac:dyDescent="0.2">
      <c r="A1761" s="275"/>
      <c r="B1761" s="78"/>
      <c r="C1761" s="189"/>
      <c r="D1761" s="185"/>
      <c r="E1761" s="186"/>
      <c r="F1761" s="187"/>
    </row>
    <row r="1762" spans="1:6" x14ac:dyDescent="0.2">
      <c r="A1762" s="275"/>
      <c r="B1762" s="78"/>
      <c r="C1762" s="189"/>
      <c r="D1762" s="185"/>
      <c r="E1762" s="186"/>
      <c r="F1762" s="187"/>
    </row>
    <row r="1763" spans="1:6" x14ac:dyDescent="0.2">
      <c r="A1763" s="275"/>
      <c r="B1763" s="78"/>
      <c r="C1763" s="189"/>
      <c r="D1763" s="185"/>
      <c r="E1763" s="186"/>
      <c r="F1763" s="187"/>
    </row>
    <row r="1764" spans="1:6" x14ac:dyDescent="0.2">
      <c r="A1764" s="275"/>
      <c r="B1764" s="78"/>
      <c r="C1764" s="189"/>
      <c r="D1764" s="185"/>
      <c r="E1764" s="186"/>
      <c r="F1764" s="187"/>
    </row>
    <row r="1765" spans="1:6" x14ac:dyDescent="0.2">
      <c r="A1765" s="275"/>
      <c r="B1765" s="78"/>
      <c r="C1765" s="189"/>
      <c r="D1765" s="185"/>
      <c r="E1765" s="186"/>
      <c r="F1765" s="187"/>
    </row>
    <row r="1766" spans="1:6" x14ac:dyDescent="0.2">
      <c r="A1766" s="275"/>
      <c r="B1766" s="78"/>
      <c r="C1766" s="189"/>
      <c r="D1766" s="185"/>
      <c r="E1766" s="186"/>
      <c r="F1766" s="187"/>
    </row>
    <row r="1767" spans="1:6" x14ac:dyDescent="0.2">
      <c r="A1767" s="275"/>
      <c r="B1767" s="78"/>
      <c r="C1767" s="189"/>
      <c r="D1767" s="185"/>
      <c r="E1767" s="186"/>
      <c r="F1767" s="187"/>
    </row>
    <row r="1768" spans="1:6" x14ac:dyDescent="0.2">
      <c r="A1768" s="275"/>
      <c r="B1768" s="78"/>
      <c r="C1768" s="189"/>
      <c r="D1768" s="185"/>
      <c r="E1768" s="186"/>
      <c r="F1768" s="187"/>
    </row>
    <row r="1769" spans="1:6" x14ac:dyDescent="0.2">
      <c r="A1769" s="275"/>
      <c r="B1769" s="78"/>
      <c r="C1769" s="189"/>
      <c r="D1769" s="185"/>
      <c r="E1769" s="186"/>
      <c r="F1769" s="187"/>
    </row>
    <row r="1770" spans="1:6" x14ac:dyDescent="0.2">
      <c r="A1770" s="275"/>
      <c r="B1770" s="78"/>
      <c r="C1770" s="189"/>
      <c r="D1770" s="185"/>
      <c r="E1770" s="186"/>
      <c r="F1770" s="187"/>
    </row>
    <row r="1771" spans="1:6" x14ac:dyDescent="0.2">
      <c r="A1771" s="275"/>
      <c r="B1771" s="78"/>
      <c r="C1771" s="189"/>
      <c r="D1771" s="185"/>
      <c r="E1771" s="186"/>
      <c r="F1771" s="187"/>
    </row>
    <row r="1772" spans="1:6" x14ac:dyDescent="0.2">
      <c r="A1772" s="275"/>
      <c r="B1772" s="78"/>
      <c r="C1772" s="189"/>
      <c r="D1772" s="185"/>
      <c r="E1772" s="186"/>
      <c r="F1772" s="187"/>
    </row>
    <row r="1773" spans="1:6" x14ac:dyDescent="0.2">
      <c r="A1773" s="275"/>
      <c r="B1773" s="78"/>
      <c r="C1773" s="189"/>
      <c r="D1773" s="185"/>
      <c r="E1773" s="186"/>
      <c r="F1773" s="187"/>
    </row>
    <row r="1774" spans="1:6" x14ac:dyDescent="0.2">
      <c r="A1774" s="275"/>
      <c r="B1774" s="78"/>
      <c r="C1774" s="189"/>
      <c r="D1774" s="185"/>
      <c r="E1774" s="186"/>
      <c r="F1774" s="187"/>
    </row>
    <row r="1775" spans="1:6" x14ac:dyDescent="0.2">
      <c r="A1775" s="275"/>
      <c r="B1775" s="78"/>
      <c r="C1775" s="189"/>
      <c r="D1775" s="185"/>
      <c r="E1775" s="186"/>
      <c r="F1775" s="187"/>
    </row>
    <row r="1776" spans="1:6" x14ac:dyDescent="0.2">
      <c r="A1776" s="275"/>
      <c r="B1776" s="78"/>
      <c r="C1776" s="189"/>
      <c r="D1776" s="185"/>
      <c r="E1776" s="186"/>
      <c r="F1776" s="187"/>
    </row>
    <row r="1777" spans="1:6" x14ac:dyDescent="0.2">
      <c r="A1777" s="275"/>
      <c r="B1777" s="78"/>
      <c r="C1777" s="189"/>
      <c r="D1777" s="185"/>
      <c r="E1777" s="186"/>
      <c r="F1777" s="187"/>
    </row>
    <row r="1778" spans="1:6" x14ac:dyDescent="0.2">
      <c r="A1778" s="275"/>
      <c r="B1778" s="78"/>
      <c r="C1778" s="189"/>
      <c r="D1778" s="185"/>
      <c r="E1778" s="186"/>
      <c r="F1778" s="187"/>
    </row>
    <row r="1779" spans="1:6" x14ac:dyDescent="0.2">
      <c r="A1779" s="275"/>
      <c r="B1779" s="78"/>
      <c r="C1779" s="189"/>
      <c r="D1779" s="185"/>
      <c r="E1779" s="186"/>
      <c r="F1779" s="187"/>
    </row>
    <row r="1780" spans="1:6" x14ac:dyDescent="0.2">
      <c r="A1780" s="275"/>
      <c r="B1780" s="78"/>
      <c r="C1780" s="189"/>
      <c r="D1780" s="185"/>
      <c r="E1780" s="186"/>
      <c r="F1780" s="187"/>
    </row>
    <row r="1781" spans="1:6" x14ac:dyDescent="0.2">
      <c r="A1781" s="275"/>
      <c r="B1781" s="78"/>
      <c r="C1781" s="189"/>
      <c r="D1781" s="185"/>
      <c r="E1781" s="186"/>
      <c r="F1781" s="187"/>
    </row>
    <row r="1782" spans="1:6" x14ac:dyDescent="0.2">
      <c r="A1782" s="275"/>
      <c r="B1782" s="78"/>
      <c r="C1782" s="189"/>
      <c r="D1782" s="185"/>
      <c r="E1782" s="186"/>
      <c r="F1782" s="187"/>
    </row>
    <row r="1783" spans="1:6" x14ac:dyDescent="0.2">
      <c r="A1783" s="275"/>
      <c r="B1783" s="78"/>
      <c r="C1783" s="189"/>
      <c r="D1783" s="185"/>
      <c r="E1783" s="186"/>
      <c r="F1783" s="187"/>
    </row>
    <row r="1784" spans="1:6" x14ac:dyDescent="0.2">
      <c r="A1784" s="275"/>
      <c r="B1784" s="78"/>
      <c r="C1784" s="189"/>
      <c r="D1784" s="185"/>
      <c r="E1784" s="186"/>
      <c r="F1784" s="187"/>
    </row>
    <row r="1785" spans="1:6" x14ac:dyDescent="0.2">
      <c r="A1785" s="275"/>
      <c r="B1785" s="78"/>
      <c r="C1785" s="189"/>
      <c r="D1785" s="185"/>
      <c r="E1785" s="186"/>
      <c r="F1785" s="187"/>
    </row>
    <row r="1786" spans="1:6" x14ac:dyDescent="0.2">
      <c r="A1786" s="275"/>
      <c r="B1786" s="78"/>
      <c r="C1786" s="189"/>
      <c r="D1786" s="185"/>
      <c r="E1786" s="186"/>
      <c r="F1786" s="187"/>
    </row>
    <row r="1787" spans="1:6" x14ac:dyDescent="0.2">
      <c r="A1787" s="275"/>
      <c r="B1787" s="78"/>
      <c r="C1787" s="189"/>
      <c r="D1787" s="185"/>
      <c r="E1787" s="186"/>
      <c r="F1787" s="187"/>
    </row>
    <row r="1788" spans="1:6" x14ac:dyDescent="0.2">
      <c r="A1788" s="275"/>
      <c r="B1788" s="78"/>
      <c r="C1788" s="189"/>
      <c r="D1788" s="185"/>
      <c r="E1788" s="186"/>
      <c r="F1788" s="187"/>
    </row>
    <row r="1789" spans="1:6" x14ac:dyDescent="0.2">
      <c r="A1789" s="275"/>
      <c r="B1789" s="78"/>
      <c r="C1789" s="189"/>
      <c r="D1789" s="185"/>
      <c r="E1789" s="186"/>
      <c r="F1789" s="187"/>
    </row>
    <row r="1790" spans="1:6" x14ac:dyDescent="0.2">
      <c r="A1790" s="275"/>
      <c r="B1790" s="78"/>
      <c r="C1790" s="189"/>
      <c r="D1790" s="185"/>
      <c r="E1790" s="186"/>
      <c r="F1790" s="187"/>
    </row>
    <row r="1791" spans="1:6" x14ac:dyDescent="0.2">
      <c r="A1791" s="275"/>
      <c r="B1791" s="78"/>
      <c r="C1791" s="189"/>
      <c r="D1791" s="185"/>
      <c r="E1791" s="186"/>
      <c r="F1791" s="187"/>
    </row>
    <row r="1792" spans="1:6" x14ac:dyDescent="0.2">
      <c r="A1792" s="275"/>
      <c r="B1792" s="78"/>
      <c r="C1792" s="189"/>
      <c r="D1792" s="185"/>
      <c r="E1792" s="186"/>
      <c r="F1792" s="187"/>
    </row>
    <row r="1793" spans="1:6" x14ac:dyDescent="0.2">
      <c r="A1793" s="275"/>
      <c r="B1793" s="78"/>
      <c r="C1793" s="189"/>
      <c r="D1793" s="185"/>
      <c r="E1793" s="186"/>
      <c r="F1793" s="187"/>
    </row>
    <row r="1794" spans="1:6" x14ac:dyDescent="0.2">
      <c r="A1794" s="275"/>
      <c r="B1794" s="78"/>
      <c r="C1794" s="189"/>
      <c r="D1794" s="185"/>
      <c r="E1794" s="186"/>
      <c r="F1794" s="187"/>
    </row>
    <row r="1795" spans="1:6" x14ac:dyDescent="0.2">
      <c r="A1795" s="275"/>
      <c r="B1795" s="78"/>
      <c r="C1795" s="189"/>
      <c r="D1795" s="185"/>
      <c r="E1795" s="186"/>
      <c r="F1795" s="187"/>
    </row>
    <row r="1796" spans="1:6" x14ac:dyDescent="0.2">
      <c r="A1796" s="275"/>
      <c r="B1796" s="78"/>
      <c r="C1796" s="189"/>
      <c r="D1796" s="185"/>
      <c r="E1796" s="186"/>
      <c r="F1796" s="187"/>
    </row>
    <row r="1797" spans="1:6" x14ac:dyDescent="0.2">
      <c r="A1797" s="275"/>
      <c r="B1797" s="78"/>
      <c r="C1797" s="189"/>
      <c r="D1797" s="185"/>
      <c r="E1797" s="186"/>
      <c r="F1797" s="187"/>
    </row>
    <row r="1798" spans="1:6" x14ac:dyDescent="0.2">
      <c r="A1798" s="275"/>
      <c r="B1798" s="78"/>
      <c r="C1798" s="189"/>
      <c r="D1798" s="185"/>
      <c r="E1798" s="186"/>
      <c r="F1798" s="187"/>
    </row>
    <row r="1799" spans="1:6" x14ac:dyDescent="0.2">
      <c r="A1799" s="275"/>
      <c r="B1799" s="78"/>
      <c r="C1799" s="189"/>
      <c r="D1799" s="185"/>
      <c r="E1799" s="186"/>
      <c r="F1799" s="187"/>
    </row>
    <row r="1800" spans="1:6" x14ac:dyDescent="0.2">
      <c r="A1800" s="275"/>
      <c r="B1800" s="78"/>
      <c r="C1800" s="189"/>
      <c r="D1800" s="185"/>
      <c r="E1800" s="186"/>
      <c r="F1800" s="187"/>
    </row>
    <row r="1801" spans="1:6" x14ac:dyDescent="0.2">
      <c r="A1801" s="275"/>
      <c r="B1801" s="78"/>
      <c r="C1801" s="189"/>
      <c r="D1801" s="185"/>
      <c r="E1801" s="186"/>
      <c r="F1801" s="187"/>
    </row>
    <row r="1802" spans="1:6" x14ac:dyDescent="0.2">
      <c r="A1802" s="275"/>
      <c r="B1802" s="78"/>
      <c r="C1802" s="189"/>
      <c r="D1802" s="185"/>
      <c r="E1802" s="186"/>
      <c r="F1802" s="187"/>
    </row>
    <row r="1803" spans="1:6" x14ac:dyDescent="0.2">
      <c r="A1803" s="275"/>
      <c r="B1803" s="78"/>
      <c r="C1803" s="189"/>
      <c r="D1803" s="185"/>
      <c r="E1803" s="186"/>
      <c r="F1803" s="187"/>
    </row>
    <row r="1804" spans="1:6" x14ac:dyDescent="0.2">
      <c r="A1804" s="275"/>
      <c r="B1804" s="78"/>
      <c r="C1804" s="189"/>
      <c r="D1804" s="185"/>
      <c r="E1804" s="186"/>
      <c r="F1804" s="187"/>
    </row>
    <row r="1805" spans="1:6" x14ac:dyDescent="0.2">
      <c r="A1805" s="275"/>
      <c r="B1805" s="78"/>
      <c r="C1805" s="189"/>
      <c r="D1805" s="185"/>
      <c r="E1805" s="186"/>
      <c r="F1805" s="187"/>
    </row>
    <row r="1806" spans="1:6" x14ac:dyDescent="0.2">
      <c r="A1806" s="275"/>
      <c r="B1806" s="78"/>
      <c r="C1806" s="189"/>
      <c r="D1806" s="185"/>
      <c r="E1806" s="186"/>
      <c r="F1806" s="187"/>
    </row>
    <row r="1807" spans="1:6" x14ac:dyDescent="0.2">
      <c r="A1807" s="275"/>
      <c r="B1807" s="78"/>
      <c r="C1807" s="189"/>
      <c r="D1807" s="185"/>
      <c r="E1807" s="186"/>
      <c r="F1807" s="187"/>
    </row>
    <row r="1808" spans="1:6" x14ac:dyDescent="0.2">
      <c r="A1808" s="275"/>
      <c r="B1808" s="78"/>
      <c r="C1808" s="189"/>
      <c r="D1808" s="185"/>
      <c r="E1808" s="186"/>
      <c r="F1808" s="187"/>
    </row>
    <row r="1809" spans="1:6" x14ac:dyDescent="0.2">
      <c r="A1809" s="275"/>
      <c r="B1809" s="78"/>
      <c r="C1809" s="189"/>
      <c r="D1809" s="185"/>
      <c r="E1809" s="186"/>
      <c r="F1809" s="187"/>
    </row>
    <row r="1810" spans="1:6" x14ac:dyDescent="0.2">
      <c r="A1810" s="275"/>
      <c r="B1810" s="78"/>
      <c r="C1810" s="189"/>
      <c r="D1810" s="185"/>
      <c r="E1810" s="186"/>
      <c r="F1810" s="187"/>
    </row>
    <row r="1811" spans="1:6" x14ac:dyDescent="0.2">
      <c r="A1811" s="275"/>
      <c r="B1811" s="78"/>
      <c r="C1811" s="189"/>
      <c r="D1811" s="185"/>
      <c r="E1811" s="186"/>
      <c r="F1811" s="187"/>
    </row>
    <row r="1812" spans="1:6" x14ac:dyDescent="0.2">
      <c r="A1812" s="275"/>
      <c r="B1812" s="78"/>
      <c r="C1812" s="189"/>
      <c r="D1812" s="185"/>
      <c r="E1812" s="186"/>
      <c r="F1812" s="187"/>
    </row>
    <row r="1813" spans="1:6" x14ac:dyDescent="0.2">
      <c r="A1813" s="275"/>
      <c r="B1813" s="78"/>
      <c r="C1813" s="189"/>
      <c r="D1813" s="185"/>
      <c r="E1813" s="186"/>
      <c r="F1813" s="187"/>
    </row>
    <row r="1814" spans="1:6" x14ac:dyDescent="0.2">
      <c r="A1814" s="275"/>
      <c r="B1814" s="78"/>
      <c r="C1814" s="189"/>
      <c r="D1814" s="185"/>
      <c r="E1814" s="186"/>
      <c r="F1814" s="187"/>
    </row>
    <row r="1815" spans="1:6" x14ac:dyDescent="0.2">
      <c r="A1815" s="275"/>
      <c r="B1815" s="78"/>
      <c r="C1815" s="189"/>
      <c r="D1815" s="185"/>
      <c r="E1815" s="186"/>
      <c r="F1815" s="187"/>
    </row>
    <row r="1816" spans="1:6" x14ac:dyDescent="0.2">
      <c r="A1816" s="275"/>
      <c r="B1816" s="78"/>
      <c r="C1816" s="189"/>
      <c r="D1816" s="185"/>
      <c r="E1816" s="186"/>
      <c r="F1816" s="187"/>
    </row>
    <row r="1817" spans="1:6" x14ac:dyDescent="0.2">
      <c r="A1817" s="275"/>
      <c r="B1817" s="78"/>
      <c r="C1817" s="189"/>
      <c r="D1817" s="185"/>
      <c r="E1817" s="186"/>
      <c r="F1817" s="187"/>
    </row>
    <row r="1818" spans="1:6" x14ac:dyDescent="0.2">
      <c r="A1818" s="275"/>
      <c r="B1818" s="78"/>
      <c r="C1818" s="189"/>
      <c r="D1818" s="185"/>
      <c r="E1818" s="186"/>
      <c r="F1818" s="187"/>
    </row>
    <row r="1819" spans="1:6" x14ac:dyDescent="0.2">
      <c r="A1819" s="275"/>
      <c r="B1819" s="78"/>
      <c r="C1819" s="189"/>
      <c r="D1819" s="185"/>
      <c r="E1819" s="186"/>
      <c r="F1819" s="187"/>
    </row>
    <row r="1820" spans="1:6" x14ac:dyDescent="0.2">
      <c r="A1820" s="275"/>
      <c r="B1820" s="78"/>
      <c r="C1820" s="189"/>
      <c r="D1820" s="185"/>
      <c r="E1820" s="186"/>
      <c r="F1820" s="187"/>
    </row>
    <row r="1821" spans="1:6" x14ac:dyDescent="0.2">
      <c r="A1821" s="275"/>
      <c r="B1821" s="78"/>
      <c r="C1821" s="189"/>
      <c r="D1821" s="185"/>
      <c r="E1821" s="186"/>
      <c r="F1821" s="187"/>
    </row>
    <row r="1822" spans="1:6" x14ac:dyDescent="0.2">
      <c r="A1822" s="275"/>
      <c r="B1822" s="78"/>
      <c r="C1822" s="189"/>
      <c r="D1822" s="185"/>
      <c r="E1822" s="186"/>
      <c r="F1822" s="187"/>
    </row>
    <row r="1823" spans="1:6" x14ac:dyDescent="0.2">
      <c r="A1823" s="275"/>
      <c r="B1823" s="78"/>
      <c r="C1823" s="189"/>
      <c r="D1823" s="185"/>
      <c r="E1823" s="186"/>
      <c r="F1823" s="187"/>
    </row>
    <row r="1824" spans="1:6" x14ac:dyDescent="0.2">
      <c r="A1824" s="275"/>
      <c r="B1824" s="78"/>
      <c r="C1824" s="189"/>
      <c r="D1824" s="185"/>
      <c r="E1824" s="186"/>
      <c r="F1824" s="187"/>
    </row>
    <row r="1825" spans="1:6" x14ac:dyDescent="0.2">
      <c r="A1825" s="275"/>
      <c r="B1825" s="78"/>
      <c r="C1825" s="189"/>
      <c r="D1825" s="185"/>
      <c r="E1825" s="186"/>
      <c r="F1825" s="187"/>
    </row>
    <row r="1826" spans="1:6" x14ac:dyDescent="0.2">
      <c r="A1826" s="275"/>
      <c r="B1826" s="78"/>
      <c r="C1826" s="189"/>
      <c r="D1826" s="185"/>
      <c r="E1826" s="186"/>
      <c r="F1826" s="187"/>
    </row>
    <row r="1827" spans="1:6" x14ac:dyDescent="0.2">
      <c r="A1827" s="275"/>
      <c r="B1827" s="78"/>
      <c r="C1827" s="189"/>
      <c r="D1827" s="185"/>
      <c r="E1827" s="186"/>
      <c r="F1827" s="187"/>
    </row>
    <row r="1828" spans="1:6" x14ac:dyDescent="0.2">
      <c r="A1828" s="275"/>
      <c r="B1828" s="78"/>
      <c r="C1828" s="189"/>
      <c r="D1828" s="185"/>
      <c r="E1828" s="186"/>
      <c r="F1828" s="187"/>
    </row>
    <row r="1829" spans="1:6" x14ac:dyDescent="0.2">
      <c r="A1829" s="275"/>
      <c r="B1829" s="78"/>
      <c r="C1829" s="189"/>
      <c r="D1829" s="185"/>
      <c r="E1829" s="186"/>
      <c r="F1829" s="187"/>
    </row>
    <row r="1830" spans="1:6" x14ac:dyDescent="0.2">
      <c r="A1830" s="275"/>
      <c r="B1830" s="78"/>
      <c r="C1830" s="189"/>
      <c r="D1830" s="185"/>
      <c r="E1830" s="186"/>
      <c r="F1830" s="187"/>
    </row>
    <row r="1831" spans="1:6" x14ac:dyDescent="0.2">
      <c r="A1831" s="275"/>
      <c r="B1831" s="78"/>
      <c r="C1831" s="189"/>
      <c r="D1831" s="185"/>
      <c r="E1831" s="186"/>
      <c r="F1831" s="187"/>
    </row>
    <row r="1832" spans="1:6" x14ac:dyDescent="0.2">
      <c r="A1832" s="275"/>
      <c r="B1832" s="78"/>
      <c r="C1832" s="189"/>
      <c r="D1832" s="185"/>
      <c r="E1832" s="186"/>
      <c r="F1832" s="187"/>
    </row>
    <row r="1833" spans="1:6" x14ac:dyDescent="0.2">
      <c r="A1833" s="275"/>
      <c r="B1833" s="78"/>
      <c r="C1833" s="189"/>
      <c r="D1833" s="185"/>
      <c r="E1833" s="186"/>
      <c r="F1833" s="187"/>
    </row>
    <row r="1834" spans="1:6" x14ac:dyDescent="0.2">
      <c r="A1834" s="275"/>
      <c r="B1834" s="78"/>
      <c r="C1834" s="189"/>
      <c r="D1834" s="185"/>
      <c r="E1834" s="186"/>
      <c r="F1834" s="187"/>
    </row>
    <row r="1835" spans="1:6" x14ac:dyDescent="0.2">
      <c r="A1835" s="275"/>
      <c r="B1835" s="78"/>
      <c r="C1835" s="189"/>
      <c r="D1835" s="185"/>
      <c r="E1835" s="186"/>
      <c r="F1835" s="187"/>
    </row>
    <row r="1836" spans="1:6" x14ac:dyDescent="0.2">
      <c r="A1836" s="275"/>
      <c r="B1836" s="78"/>
      <c r="C1836" s="189"/>
      <c r="D1836" s="185"/>
      <c r="E1836" s="186"/>
      <c r="F1836" s="187"/>
    </row>
    <row r="1837" spans="1:6" x14ac:dyDescent="0.2">
      <c r="A1837" s="275"/>
      <c r="B1837" s="78"/>
      <c r="C1837" s="189"/>
      <c r="D1837" s="185"/>
      <c r="E1837" s="186"/>
      <c r="F1837" s="187"/>
    </row>
    <row r="1838" spans="1:6" x14ac:dyDescent="0.2">
      <c r="A1838" s="275"/>
      <c r="B1838" s="78"/>
      <c r="C1838" s="189"/>
      <c r="D1838" s="185"/>
      <c r="E1838" s="186"/>
      <c r="F1838" s="187"/>
    </row>
    <row r="1839" spans="1:6" x14ac:dyDescent="0.2">
      <c r="A1839" s="275"/>
      <c r="B1839" s="78"/>
      <c r="C1839" s="189"/>
      <c r="D1839" s="185"/>
      <c r="E1839" s="186"/>
      <c r="F1839" s="187"/>
    </row>
    <row r="1840" spans="1:6" x14ac:dyDescent="0.2">
      <c r="A1840" s="275"/>
      <c r="B1840" s="78"/>
      <c r="C1840" s="189"/>
      <c r="D1840" s="185"/>
      <c r="E1840" s="186"/>
      <c r="F1840" s="187"/>
    </row>
    <row r="1841" spans="1:6" x14ac:dyDescent="0.2">
      <c r="A1841" s="275"/>
      <c r="B1841" s="78"/>
      <c r="C1841" s="189"/>
      <c r="D1841" s="185"/>
      <c r="E1841" s="186"/>
      <c r="F1841" s="187"/>
    </row>
    <row r="1842" spans="1:6" x14ac:dyDescent="0.2">
      <c r="A1842" s="275"/>
      <c r="B1842" s="78"/>
      <c r="C1842" s="189"/>
      <c r="D1842" s="185"/>
      <c r="E1842" s="186"/>
      <c r="F1842" s="187"/>
    </row>
    <row r="1843" spans="1:6" x14ac:dyDescent="0.2">
      <c r="A1843" s="275"/>
      <c r="B1843" s="78"/>
      <c r="C1843" s="189"/>
      <c r="D1843" s="185"/>
      <c r="E1843" s="186"/>
      <c r="F1843" s="187"/>
    </row>
    <row r="1844" spans="1:6" x14ac:dyDescent="0.2">
      <c r="A1844" s="275"/>
      <c r="B1844" s="78"/>
      <c r="C1844" s="189"/>
      <c r="D1844" s="185"/>
      <c r="E1844" s="186"/>
      <c r="F1844" s="187"/>
    </row>
    <row r="1845" spans="1:6" x14ac:dyDescent="0.2">
      <c r="A1845" s="275"/>
      <c r="B1845" s="78"/>
      <c r="C1845" s="189"/>
      <c r="D1845" s="185"/>
      <c r="E1845" s="186"/>
      <c r="F1845" s="187"/>
    </row>
    <row r="1846" spans="1:6" x14ac:dyDescent="0.2">
      <c r="A1846" s="275"/>
      <c r="B1846" s="78"/>
      <c r="C1846" s="189"/>
      <c r="D1846" s="185"/>
      <c r="E1846" s="186"/>
      <c r="F1846" s="187"/>
    </row>
    <row r="1847" spans="1:6" x14ac:dyDescent="0.2">
      <c r="A1847" s="275"/>
      <c r="B1847" s="78"/>
      <c r="C1847" s="189"/>
      <c r="D1847" s="185"/>
      <c r="E1847" s="186"/>
      <c r="F1847" s="187"/>
    </row>
    <row r="1848" spans="1:6" x14ac:dyDescent="0.2">
      <c r="A1848" s="275"/>
      <c r="B1848" s="78"/>
      <c r="C1848" s="189"/>
      <c r="D1848" s="185"/>
      <c r="E1848" s="186"/>
      <c r="F1848" s="187"/>
    </row>
  </sheetData>
  <sheetProtection algorithmName="SHA-512" hashValue="uZdx+XlJyNpvTRdste1jJcb6NjmLslN/RI0/kIYxBumbrn0mvs/lvHm4izdodeUo31oj0PAq5PwvG2npWgtsgQ==" saltValue="ZdrJi8pMBHiAbJQbZWpHqA==" spinCount="100000" sheet="1" objects="1" scenarios="1"/>
  <mergeCells count="2">
    <mergeCell ref="B1:F1"/>
    <mergeCell ref="C24:E24"/>
  </mergeCells>
  <dataValidations disablePrompts="1" count="1">
    <dataValidation type="custom" showErrorMessage="1" errorTitle="Nepravilen vnos cene" error="Cena mora biti nenegativno število z največ dvema decimalkama!" sqref="E8:E10 E23 E21 E12:E15 E17:E19">
      <formula1>AND(ISNUMBER(E8),E8&gt;=0,ROUND(E8*100,6)-INT(E8*100)=0,NOT(ISBLANK(E8)))</formula1>
    </dataValidation>
  </dataValidations>
  <printOptions horizontalCentered="1"/>
  <pageMargins left="0.78740157480314965" right="0.39370078740157483" top="0.39370078740157483" bottom="0.98425196850393704" header="0.19685039370078741" footer="0.19685039370078741"/>
  <pageSetup paperSize="9" scale="89" fitToHeight="0" orientation="landscape" r:id="rId1"/>
  <headerFooter>
    <oddHeader>&amp;LRTP 110/20 kV Izola&amp;R&amp;G</oddHeader>
    <oddFooter>&amp;LDZR: Ponudbeni predračun
Datoteka: 4407.6G01.PP.rev1.xlsx&amp;R Stran: &amp;P od &amp;N</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Q1973"/>
  <sheetViews>
    <sheetView view="pageBreakPreview" topLeftCell="A145" zoomScale="115" zoomScaleNormal="100" zoomScaleSheetLayoutView="115" zoomScalePageLayoutView="115" workbookViewId="0">
      <selection activeCell="F149" sqref="F149"/>
    </sheetView>
  </sheetViews>
  <sheetFormatPr defaultColWidth="6.7109375" defaultRowHeight="12.75" x14ac:dyDescent="0.2"/>
  <cols>
    <col min="1" max="1" width="7.85546875" style="190" customWidth="1"/>
    <col min="2" max="2" width="99.140625" style="179" customWidth="1"/>
    <col min="3" max="3" width="9" style="191" customWidth="1"/>
    <col min="4" max="4" width="11.42578125" style="192" customWidth="1"/>
    <col min="5" max="5" width="12.7109375" style="231" customWidth="1"/>
    <col min="6" max="6" width="13.5703125" style="232" customWidth="1"/>
    <col min="7" max="16384" width="6.7109375" style="78"/>
  </cols>
  <sheetData>
    <row r="1" spans="1:8" ht="15.95" customHeight="1" thickBot="1" x14ac:dyDescent="0.3">
      <c r="A1" s="7"/>
      <c r="B1" s="329"/>
      <c r="C1" s="329"/>
      <c r="D1" s="329"/>
      <c r="E1" s="329"/>
      <c r="F1" s="329"/>
    </row>
    <row r="2" spans="1:8" ht="32.450000000000003" customHeight="1" x14ac:dyDescent="0.2">
      <c r="A2" s="1" t="s">
        <v>1</v>
      </c>
      <c r="B2" s="2" t="s">
        <v>1741</v>
      </c>
      <c r="C2" s="3" t="s">
        <v>1742</v>
      </c>
      <c r="D2" s="4" t="s">
        <v>1743</v>
      </c>
      <c r="E2" s="5" t="s">
        <v>1744</v>
      </c>
      <c r="F2" s="6" t="s">
        <v>1745</v>
      </c>
    </row>
    <row r="3" spans="1:8" ht="15" x14ac:dyDescent="0.2">
      <c r="A3" s="270" t="s">
        <v>2236</v>
      </c>
      <c r="B3" s="207" t="s">
        <v>2237</v>
      </c>
      <c r="C3" s="23"/>
      <c r="D3" s="24"/>
      <c r="E3" s="209"/>
      <c r="F3" s="210"/>
    </row>
    <row r="4" spans="1:8" ht="42.75" x14ac:dyDescent="0.2">
      <c r="A4" s="206"/>
      <c r="B4" s="208" t="s">
        <v>1747</v>
      </c>
      <c r="C4" s="23"/>
      <c r="D4" s="24"/>
      <c r="E4" s="209"/>
      <c r="F4" s="210"/>
    </row>
    <row r="5" spans="1:8" ht="57" x14ac:dyDescent="0.2">
      <c r="A5" s="21"/>
      <c r="B5" s="17" t="str">
        <f>'2.2'!B5</f>
        <v xml:space="preserve">Vsi odpadki, ki bodo nastali pri izvedbi, bodo naloženi na prevozno sredstvo in odpeljani na stalno gradbeno deponijo nenevarnih odpadkov uradnega zbiralca odpadkov. Upoštevati vsa potrebna dela in stroške v zvezi z deponiranjem. Vsi odpadki, ki bodo ponovno uporabljeni pri izvedbi, bodo naloženi na prevozno sredstvo in pripeljani na gradbišče. </v>
      </c>
      <c r="C5" s="23"/>
      <c r="D5" s="24"/>
      <c r="E5" s="209"/>
      <c r="F5" s="210"/>
    </row>
    <row r="6" spans="1:8" ht="42.75" x14ac:dyDescent="0.2">
      <c r="A6" s="29"/>
      <c r="B6" s="37" t="s">
        <v>2238</v>
      </c>
      <c r="C6" s="15"/>
      <c r="D6" s="16"/>
      <c r="E6" s="209"/>
      <c r="F6" s="210"/>
    </row>
    <row r="7" spans="1:8" ht="15" x14ac:dyDescent="0.2">
      <c r="A7" s="29"/>
      <c r="B7" s="37"/>
      <c r="C7" s="15"/>
      <c r="D7" s="16"/>
      <c r="E7" s="209"/>
      <c r="F7" s="210"/>
    </row>
    <row r="8" spans="1:8" ht="15" x14ac:dyDescent="0.2">
      <c r="A8" s="29"/>
      <c r="B8" s="35" t="s">
        <v>2239</v>
      </c>
      <c r="C8" s="15"/>
      <c r="D8" s="16"/>
      <c r="E8" s="209"/>
      <c r="F8" s="210"/>
    </row>
    <row r="9" spans="1:8" ht="15" x14ac:dyDescent="0.2">
      <c r="A9" s="29" t="s">
        <v>2240</v>
      </c>
      <c r="B9" s="35" t="s">
        <v>1751</v>
      </c>
      <c r="C9" s="15"/>
      <c r="D9" s="16"/>
      <c r="E9" s="209"/>
      <c r="F9" s="210"/>
    </row>
    <row r="10" spans="1:8" ht="15" x14ac:dyDescent="0.2">
      <c r="A10" s="29"/>
      <c r="B10" s="37"/>
      <c r="C10" s="15"/>
      <c r="D10" s="16"/>
      <c r="E10" s="209"/>
      <c r="F10" s="210"/>
    </row>
    <row r="11" spans="1:8" ht="28.5" x14ac:dyDescent="0.2">
      <c r="A11" s="29" t="s">
        <v>2241</v>
      </c>
      <c r="B11" s="37" t="s">
        <v>2242</v>
      </c>
      <c r="C11" s="15" t="s">
        <v>1756</v>
      </c>
      <c r="D11" s="16">
        <f>250*0.3*1.2</f>
        <v>90</v>
      </c>
      <c r="E11" s="69">
        <v>0</v>
      </c>
      <c r="F11" s="28">
        <f>ROUND(D11*E11,2)</f>
        <v>0</v>
      </c>
    </row>
    <row r="12" spans="1:8" ht="128.25" x14ac:dyDescent="0.25">
      <c r="A12" s="29" t="s">
        <v>2243</v>
      </c>
      <c r="B12" s="37" t="s">
        <v>2244</v>
      </c>
      <c r="C12" s="15" t="s">
        <v>1896</v>
      </c>
      <c r="D12" s="16">
        <f>60*1.2</f>
        <v>72</v>
      </c>
      <c r="E12" s="69">
        <v>0</v>
      </c>
      <c r="F12" s="28">
        <f>ROUND(D12*E12,2)</f>
        <v>0</v>
      </c>
      <c r="H12" s="211"/>
    </row>
    <row r="13" spans="1:8" ht="28.5" x14ac:dyDescent="0.2">
      <c r="A13" s="29" t="s">
        <v>2245</v>
      </c>
      <c r="B13" s="17" t="s">
        <v>2246</v>
      </c>
      <c r="C13" s="23"/>
      <c r="D13" s="24"/>
      <c r="E13" s="209"/>
      <c r="F13" s="210"/>
    </row>
    <row r="14" spans="1:8" ht="14.25" x14ac:dyDescent="0.2">
      <c r="A14" s="29" t="s">
        <v>1761</v>
      </c>
      <c r="B14" s="17" t="s">
        <v>2175</v>
      </c>
      <c r="C14" s="15" t="s">
        <v>1756</v>
      </c>
      <c r="D14" s="16">
        <f>32*17*2*1.2</f>
        <v>1305.5999999999999</v>
      </c>
      <c r="E14" s="69">
        <v>0</v>
      </c>
      <c r="F14" s="28">
        <f>ROUND(D14*E14,2)</f>
        <v>0</v>
      </c>
    </row>
    <row r="15" spans="1:8" ht="14.25" x14ac:dyDescent="0.2">
      <c r="A15" s="29" t="s">
        <v>1774</v>
      </c>
      <c r="B15" s="17" t="s">
        <v>2247</v>
      </c>
      <c r="C15" s="15" t="s">
        <v>1756</v>
      </c>
      <c r="D15" s="16">
        <f>12*17*1*1.2</f>
        <v>244.79999999999998</v>
      </c>
      <c r="E15" s="69">
        <v>0</v>
      </c>
      <c r="F15" s="28">
        <f>ROUND(D15*E15,2)</f>
        <v>0</v>
      </c>
    </row>
    <row r="16" spans="1:8" ht="14.25" x14ac:dyDescent="0.2">
      <c r="A16" s="29" t="s">
        <v>1873</v>
      </c>
      <c r="B16" s="37" t="s">
        <v>2248</v>
      </c>
      <c r="C16" s="15" t="s">
        <v>1756</v>
      </c>
      <c r="D16" s="16">
        <f>12*17*1*1.2</f>
        <v>244.79999999999998</v>
      </c>
      <c r="E16" s="69">
        <v>0</v>
      </c>
      <c r="F16" s="28">
        <f>ROUND(D16*E16,2)</f>
        <v>0</v>
      </c>
    </row>
    <row r="17" spans="1:8" ht="57" x14ac:dyDescent="0.2">
      <c r="A17" s="29" t="s">
        <v>2249</v>
      </c>
      <c r="B17" s="37" t="s">
        <v>1987</v>
      </c>
      <c r="C17" s="15" t="s">
        <v>1780</v>
      </c>
      <c r="D17" s="16">
        <f>30*20*1.2</f>
        <v>720</v>
      </c>
      <c r="E17" s="69">
        <v>0</v>
      </c>
      <c r="F17" s="28">
        <f>ROUND(D17*E17,2)</f>
        <v>0</v>
      </c>
    </row>
    <row r="18" spans="1:8" ht="99.75" x14ac:dyDescent="0.2">
      <c r="A18" s="29" t="s">
        <v>2250</v>
      </c>
      <c r="B18" s="37" t="s">
        <v>2251</v>
      </c>
      <c r="C18" s="15"/>
      <c r="D18" s="16"/>
      <c r="E18" s="209"/>
      <c r="F18" s="210"/>
    </row>
    <row r="19" spans="1:8" ht="42.75" x14ac:dyDescent="0.2">
      <c r="A19" s="29" t="s">
        <v>1761</v>
      </c>
      <c r="B19" s="17" t="s">
        <v>2252</v>
      </c>
      <c r="C19" s="15" t="s">
        <v>1756</v>
      </c>
      <c r="D19" s="16">
        <f>270*0.6*1.2</f>
        <v>194.4</v>
      </c>
      <c r="E19" s="69">
        <v>0</v>
      </c>
      <c r="F19" s="28">
        <f>ROUND(D19*E19,2)</f>
        <v>0</v>
      </c>
    </row>
    <row r="20" spans="1:8" ht="28.5" x14ac:dyDescent="0.2">
      <c r="A20" s="29" t="s">
        <v>1774</v>
      </c>
      <c r="B20" s="17" t="s">
        <v>1991</v>
      </c>
      <c r="C20" s="15" t="s">
        <v>1756</v>
      </c>
      <c r="D20" s="16">
        <f>270*0.1*1.2</f>
        <v>32.4</v>
      </c>
      <c r="E20" s="69">
        <v>0</v>
      </c>
      <c r="F20" s="28">
        <f>ROUND(D20*E20,2)</f>
        <v>0</v>
      </c>
    </row>
    <row r="21" spans="1:8" ht="73.5" customHeight="1" thickBot="1" x14ac:dyDescent="0.25">
      <c r="A21" s="29" t="s">
        <v>2253</v>
      </c>
      <c r="B21" s="37" t="s">
        <v>2254</v>
      </c>
      <c r="C21" s="15" t="s">
        <v>1756</v>
      </c>
      <c r="D21" s="16">
        <f>140*2*2.5*1.2</f>
        <v>840</v>
      </c>
      <c r="E21" s="69">
        <v>0</v>
      </c>
      <c r="F21" s="28">
        <f>ROUND(D21*E21,2)</f>
        <v>0</v>
      </c>
    </row>
    <row r="22" spans="1:8" ht="18.75" thickBot="1" x14ac:dyDescent="0.3">
      <c r="A22" s="29"/>
      <c r="B22" s="33"/>
      <c r="C22" s="336" t="s">
        <v>1766</v>
      </c>
      <c r="D22" s="337"/>
      <c r="E22" s="338"/>
      <c r="F22" s="18">
        <f>SUM(F11:F21)</f>
        <v>0</v>
      </c>
      <c r="G22" s="8"/>
    </row>
    <row r="23" spans="1:8" ht="15" x14ac:dyDescent="0.2">
      <c r="A23" s="29" t="s">
        <v>2255</v>
      </c>
      <c r="B23" s="35" t="s">
        <v>1768</v>
      </c>
      <c r="C23" s="15"/>
      <c r="D23" s="16"/>
      <c r="E23" s="209"/>
      <c r="F23" s="210"/>
    </row>
    <row r="24" spans="1:8" ht="15" x14ac:dyDescent="0.2">
      <c r="A24" s="29" t="s">
        <v>2256</v>
      </c>
      <c r="B24" s="37" t="s">
        <v>2257</v>
      </c>
      <c r="C24" s="15"/>
      <c r="D24" s="16"/>
      <c r="E24" s="209"/>
      <c r="F24" s="210"/>
    </row>
    <row r="25" spans="1:8" ht="14.25" x14ac:dyDescent="0.2">
      <c r="A25" s="29" t="s">
        <v>1761</v>
      </c>
      <c r="B25" s="37" t="s">
        <v>1772</v>
      </c>
      <c r="C25" s="15" t="s">
        <v>1773</v>
      </c>
      <c r="D25" s="212">
        <f>6354*1.2</f>
        <v>7624.7999999999993</v>
      </c>
      <c r="E25" s="69">
        <v>0</v>
      </c>
      <c r="F25" s="28">
        <f t="shared" ref="F25:F42" si="0">ROUND(D25*E25,2)</f>
        <v>0</v>
      </c>
    </row>
    <row r="26" spans="1:8" ht="14.25" x14ac:dyDescent="0.2">
      <c r="A26" s="29" t="s">
        <v>1774</v>
      </c>
      <c r="B26" s="37" t="s">
        <v>1775</v>
      </c>
      <c r="C26" s="15" t="s">
        <v>1773</v>
      </c>
      <c r="D26" s="212">
        <f>97*1.2</f>
        <v>116.39999999999999</v>
      </c>
      <c r="E26" s="69">
        <v>0</v>
      </c>
      <c r="F26" s="28">
        <f t="shared" si="0"/>
        <v>0</v>
      </c>
    </row>
    <row r="27" spans="1:8" ht="14.25" x14ac:dyDescent="0.2">
      <c r="A27" s="29" t="s">
        <v>1873</v>
      </c>
      <c r="B27" s="37" t="s">
        <v>2258</v>
      </c>
      <c r="C27" s="15" t="s">
        <v>1773</v>
      </c>
      <c r="D27" s="212">
        <f>33548*1.2</f>
        <v>40257.599999999999</v>
      </c>
      <c r="E27" s="69">
        <v>0</v>
      </c>
      <c r="F27" s="28">
        <f t="shared" si="0"/>
        <v>0</v>
      </c>
    </row>
    <row r="28" spans="1:8" ht="14.25" x14ac:dyDescent="0.2">
      <c r="A28" s="29" t="s">
        <v>2259</v>
      </c>
      <c r="B28" s="37" t="s">
        <v>2260</v>
      </c>
      <c r="C28" s="15" t="s">
        <v>1773</v>
      </c>
      <c r="D28" s="212">
        <f>SUM(D25:D27)*0.3</f>
        <v>14399.639999999998</v>
      </c>
      <c r="E28" s="69">
        <v>0</v>
      </c>
      <c r="F28" s="28">
        <f t="shared" si="0"/>
        <v>0</v>
      </c>
    </row>
    <row r="29" spans="1:8" ht="28.5" x14ac:dyDescent="0.2">
      <c r="A29" s="29" t="s">
        <v>2261</v>
      </c>
      <c r="B29" s="37" t="s">
        <v>2262</v>
      </c>
      <c r="C29" s="15" t="s">
        <v>1800</v>
      </c>
      <c r="D29" s="16">
        <f>10*1.2</f>
        <v>12</v>
      </c>
      <c r="E29" s="69">
        <v>0</v>
      </c>
      <c r="F29" s="28">
        <f t="shared" si="0"/>
        <v>0</v>
      </c>
    </row>
    <row r="30" spans="1:8" ht="42.75" x14ac:dyDescent="0.2">
      <c r="A30" s="29" t="s">
        <v>2263</v>
      </c>
      <c r="B30" s="37" t="s">
        <v>2264</v>
      </c>
      <c r="C30" s="15" t="s">
        <v>1756</v>
      </c>
      <c r="D30" s="16">
        <f>270*0.1*1.2</f>
        <v>32.4</v>
      </c>
      <c r="E30" s="69">
        <v>0</v>
      </c>
      <c r="F30" s="28">
        <f t="shared" si="0"/>
        <v>0</v>
      </c>
    </row>
    <row r="31" spans="1:8" ht="71.25" x14ac:dyDescent="0.25">
      <c r="A31" s="29" t="s">
        <v>2265</v>
      </c>
      <c r="B31" s="37" t="s">
        <v>2266</v>
      </c>
      <c r="C31" s="15" t="s">
        <v>1756</v>
      </c>
      <c r="D31" s="16">
        <f>2*1.5*0.8*10*1.2</f>
        <v>28.800000000000004</v>
      </c>
      <c r="E31" s="69">
        <v>0</v>
      </c>
      <c r="F31" s="28">
        <f t="shared" si="0"/>
        <v>0</v>
      </c>
      <c r="H31" s="211"/>
    </row>
    <row r="32" spans="1:8" ht="71.25" x14ac:dyDescent="0.2">
      <c r="A32" s="29" t="s">
        <v>2267</v>
      </c>
      <c r="B32" s="17" t="s">
        <v>2268</v>
      </c>
      <c r="C32" s="15" t="s">
        <v>1756</v>
      </c>
      <c r="D32" s="16">
        <f>180*0.3*1.2</f>
        <v>64.8</v>
      </c>
      <c r="E32" s="69">
        <v>0</v>
      </c>
      <c r="F32" s="28">
        <f t="shared" si="0"/>
        <v>0</v>
      </c>
    </row>
    <row r="33" spans="1:7" ht="57" x14ac:dyDescent="0.2">
      <c r="A33" s="29" t="s">
        <v>2269</v>
      </c>
      <c r="B33" s="37" t="s">
        <v>2270</v>
      </c>
      <c r="C33" s="15" t="s">
        <v>1756</v>
      </c>
      <c r="D33" s="16">
        <f>(4*10+2*3+5.5)*0.3*3.2*1.2</f>
        <v>59.327999999999996</v>
      </c>
      <c r="E33" s="69">
        <v>0</v>
      </c>
      <c r="F33" s="28">
        <f>ROUND(D33*E33,2)</f>
        <v>0</v>
      </c>
    </row>
    <row r="34" spans="1:7" ht="57" x14ac:dyDescent="0.2">
      <c r="A34" s="29" t="s">
        <v>2271</v>
      </c>
      <c r="B34" s="37" t="s">
        <v>2272</v>
      </c>
      <c r="C34" s="15" t="s">
        <v>1756</v>
      </c>
      <c r="D34" s="16">
        <f>(25+30+5+5*10)*8*0.3*1.2</f>
        <v>316.8</v>
      </c>
      <c r="E34" s="69">
        <v>0</v>
      </c>
      <c r="F34" s="28">
        <f t="shared" si="0"/>
        <v>0</v>
      </c>
    </row>
    <row r="35" spans="1:7" ht="85.5" x14ac:dyDescent="0.2">
      <c r="A35" s="29" t="s">
        <v>2273</v>
      </c>
      <c r="B35" s="37" t="s">
        <v>2274</v>
      </c>
      <c r="C35" s="15" t="s">
        <v>1756</v>
      </c>
      <c r="D35" s="16">
        <f>(175*0.25+175*0.2+80*0.15+1)*1.2</f>
        <v>110.1</v>
      </c>
      <c r="E35" s="69">
        <v>0</v>
      </c>
      <c r="F35" s="28">
        <f t="shared" si="0"/>
        <v>0</v>
      </c>
    </row>
    <row r="36" spans="1:7" ht="57" x14ac:dyDescent="0.2">
      <c r="A36" s="29" t="s">
        <v>2275</v>
      </c>
      <c r="B36" s="37" t="s">
        <v>2276</v>
      </c>
      <c r="C36" s="15" t="s">
        <v>1756</v>
      </c>
      <c r="D36" s="39">
        <f>4*0.3*0.3*3.1*1.2</f>
        <v>1.3391999999999997</v>
      </c>
      <c r="E36" s="69">
        <v>0</v>
      </c>
      <c r="F36" s="28">
        <f t="shared" si="0"/>
        <v>0</v>
      </c>
    </row>
    <row r="37" spans="1:7" ht="57" x14ac:dyDescent="0.2">
      <c r="A37" s="29" t="s">
        <v>2277</v>
      </c>
      <c r="B37" s="37" t="s">
        <v>2278</v>
      </c>
      <c r="C37" s="15" t="s">
        <v>1756</v>
      </c>
      <c r="D37" s="39">
        <f>(2*2.5*1.15+1.2*2.5)*0.15*1.5*1.2</f>
        <v>2.3624999999999998</v>
      </c>
      <c r="E37" s="69">
        <v>0</v>
      </c>
      <c r="F37" s="28">
        <f t="shared" si="0"/>
        <v>0</v>
      </c>
    </row>
    <row r="38" spans="1:7" ht="28.5" x14ac:dyDescent="0.25">
      <c r="A38" s="29" t="s">
        <v>2279</v>
      </c>
      <c r="B38" s="37" t="s">
        <v>2280</v>
      </c>
      <c r="C38" s="15"/>
      <c r="D38" s="16"/>
      <c r="E38" s="209"/>
      <c r="F38" s="210"/>
      <c r="G38" s="8"/>
    </row>
    <row r="39" spans="1:7" ht="18" x14ac:dyDescent="0.25">
      <c r="A39" s="29" t="s">
        <v>1761</v>
      </c>
      <c r="B39" s="17" t="s">
        <v>2281</v>
      </c>
      <c r="C39" s="15" t="s">
        <v>1826</v>
      </c>
      <c r="D39" s="16">
        <v>8</v>
      </c>
      <c r="E39" s="69">
        <v>0</v>
      </c>
      <c r="F39" s="28">
        <f>ROUND(D39*E39,2)</f>
        <v>0</v>
      </c>
      <c r="G39" s="8"/>
    </row>
    <row r="40" spans="1:7" ht="28.5" x14ac:dyDescent="0.2">
      <c r="A40" s="29" t="s">
        <v>2282</v>
      </c>
      <c r="B40" s="37" t="s">
        <v>2283</v>
      </c>
      <c r="C40" s="15" t="s">
        <v>1780</v>
      </c>
      <c r="D40" s="16">
        <f>450*1.2</f>
        <v>540</v>
      </c>
      <c r="E40" s="69">
        <v>0</v>
      </c>
      <c r="F40" s="28">
        <f t="shared" si="0"/>
        <v>0</v>
      </c>
    </row>
    <row r="41" spans="1:7" ht="28.5" x14ac:dyDescent="0.2">
      <c r="A41" s="29" t="s">
        <v>2284</v>
      </c>
      <c r="B41" s="17" t="s">
        <v>2285</v>
      </c>
      <c r="C41" s="15" t="s">
        <v>1780</v>
      </c>
      <c r="D41" s="16">
        <v>20</v>
      </c>
      <c r="E41" s="69">
        <v>0</v>
      </c>
      <c r="F41" s="28">
        <f t="shared" si="0"/>
        <v>0</v>
      </c>
    </row>
    <row r="42" spans="1:7" ht="128.25" x14ac:dyDescent="0.2">
      <c r="A42" s="29" t="s">
        <v>2286</v>
      </c>
      <c r="B42" s="17" t="s">
        <v>2287</v>
      </c>
      <c r="C42" s="15" t="s">
        <v>1826</v>
      </c>
      <c r="D42" s="16">
        <v>1</v>
      </c>
      <c r="E42" s="69">
        <v>0</v>
      </c>
      <c r="F42" s="28">
        <f t="shared" si="0"/>
        <v>0</v>
      </c>
    </row>
    <row r="43" spans="1:7" ht="71.25" x14ac:dyDescent="0.2">
      <c r="A43" s="29" t="s">
        <v>2288</v>
      </c>
      <c r="B43" s="213" t="s">
        <v>2289</v>
      </c>
      <c r="C43" s="15"/>
      <c r="D43" s="16"/>
      <c r="E43" s="209"/>
      <c r="F43" s="210"/>
    </row>
    <row r="44" spans="1:7" ht="14.25" x14ac:dyDescent="0.2">
      <c r="A44" s="29" t="s">
        <v>1761</v>
      </c>
      <c r="B44" s="213" t="s">
        <v>2290</v>
      </c>
      <c r="C44" s="15" t="s">
        <v>1780</v>
      </c>
      <c r="D44" s="16">
        <f>500*1.2</f>
        <v>600</v>
      </c>
      <c r="E44" s="69">
        <v>0</v>
      </c>
      <c r="F44" s="28">
        <f>ROUND(D44*E44,2)</f>
        <v>0</v>
      </c>
    </row>
    <row r="45" spans="1:7" ht="14.25" x14ac:dyDescent="0.2">
      <c r="A45" s="29" t="s">
        <v>1774</v>
      </c>
      <c r="B45" s="213" t="s">
        <v>2291</v>
      </c>
      <c r="C45" s="15" t="s">
        <v>1780</v>
      </c>
      <c r="D45" s="16">
        <f>D44</f>
        <v>600</v>
      </c>
      <c r="E45" s="69">
        <v>0</v>
      </c>
      <c r="F45" s="28">
        <f>ROUND(D45*E45,2)</f>
        <v>0</v>
      </c>
    </row>
    <row r="46" spans="1:7" ht="28.5" x14ac:dyDescent="0.25">
      <c r="A46" s="29" t="s">
        <v>2292</v>
      </c>
      <c r="B46" s="37" t="s">
        <v>2293</v>
      </c>
      <c r="C46" s="15"/>
      <c r="D46" s="16"/>
      <c r="E46" s="209"/>
      <c r="F46" s="210"/>
      <c r="G46" s="8"/>
    </row>
    <row r="47" spans="1:7" ht="85.5" x14ac:dyDescent="0.25">
      <c r="A47" s="29" t="s">
        <v>1761</v>
      </c>
      <c r="B47" s="17" t="s">
        <v>2294</v>
      </c>
      <c r="C47" s="15" t="s">
        <v>1951</v>
      </c>
      <c r="D47" s="16">
        <v>1</v>
      </c>
      <c r="E47" s="69">
        <v>0</v>
      </c>
      <c r="F47" s="28">
        <f>ROUND(D47*E47,2)</f>
        <v>0</v>
      </c>
      <c r="G47" s="8"/>
    </row>
    <row r="48" spans="1:7" ht="72" thickBot="1" x14ac:dyDescent="0.3">
      <c r="A48" s="29" t="s">
        <v>1774</v>
      </c>
      <c r="B48" s="17" t="s">
        <v>2295</v>
      </c>
      <c r="C48" s="15" t="s">
        <v>1951</v>
      </c>
      <c r="D48" s="16">
        <v>1</v>
      </c>
      <c r="E48" s="69">
        <v>0</v>
      </c>
      <c r="F48" s="28">
        <f>ROUND(D48*E48,2)</f>
        <v>0</v>
      </c>
      <c r="G48" s="8"/>
    </row>
    <row r="49" spans="1:8" ht="18.75" thickBot="1" x14ac:dyDescent="0.3">
      <c r="A49" s="29"/>
      <c r="B49" s="33"/>
      <c r="C49" s="336" t="s">
        <v>1785</v>
      </c>
      <c r="D49" s="337"/>
      <c r="E49" s="338"/>
      <c r="F49" s="18">
        <f>SUM(F25:F48)</f>
        <v>0</v>
      </c>
      <c r="G49" s="8"/>
    </row>
    <row r="50" spans="1:8" ht="18" x14ac:dyDescent="0.25">
      <c r="A50" s="29" t="s">
        <v>2296</v>
      </c>
      <c r="B50" s="35" t="s">
        <v>2297</v>
      </c>
      <c r="C50" s="15"/>
      <c r="D50" s="16"/>
      <c r="E50" s="209"/>
      <c r="F50" s="210"/>
      <c r="G50" s="8"/>
    </row>
    <row r="51" spans="1:8" ht="71.25" x14ac:dyDescent="0.25">
      <c r="A51" s="29"/>
      <c r="B51" s="37" t="s">
        <v>2298</v>
      </c>
      <c r="C51" s="15"/>
      <c r="D51" s="16"/>
      <c r="E51" s="209"/>
      <c r="F51" s="210"/>
      <c r="G51" s="8"/>
    </row>
    <row r="52" spans="1:8" ht="18" x14ac:dyDescent="0.25">
      <c r="A52" s="29" t="s">
        <v>2299</v>
      </c>
      <c r="B52" s="37" t="s">
        <v>2300</v>
      </c>
      <c r="C52" s="15"/>
      <c r="D52" s="16"/>
      <c r="E52" s="209"/>
      <c r="F52" s="210"/>
      <c r="G52" s="8"/>
    </row>
    <row r="53" spans="1:8" ht="28.5" x14ac:dyDescent="0.25">
      <c r="A53" s="29" t="s">
        <v>1761</v>
      </c>
      <c r="B53" s="37" t="s">
        <v>2301</v>
      </c>
      <c r="C53" s="15" t="s">
        <v>1756</v>
      </c>
      <c r="D53" s="16">
        <v>7</v>
      </c>
      <c r="E53" s="69">
        <v>0</v>
      </c>
      <c r="F53" s="28">
        <f t="shared" ref="F53:F58" si="1">ROUND(D53*E53,2)</f>
        <v>0</v>
      </c>
      <c r="G53" s="8"/>
    </row>
    <row r="54" spans="1:8" ht="57" x14ac:dyDescent="0.25">
      <c r="A54" s="29" t="s">
        <v>2302</v>
      </c>
      <c r="B54" s="37" t="s">
        <v>2303</v>
      </c>
      <c r="C54" s="15" t="s">
        <v>1780</v>
      </c>
      <c r="D54" s="16">
        <f>(40*8.5+23*3+15*6+16*2.5+11*2.5+25*5+30*5)*1.2</f>
        <v>1009.8</v>
      </c>
      <c r="E54" s="69">
        <v>0</v>
      </c>
      <c r="F54" s="28">
        <f t="shared" si="1"/>
        <v>0</v>
      </c>
      <c r="G54" s="8"/>
    </row>
    <row r="55" spans="1:8" ht="42.75" x14ac:dyDescent="0.25">
      <c r="A55" s="29" t="s">
        <v>2304</v>
      </c>
      <c r="B55" s="17" t="s">
        <v>2305</v>
      </c>
      <c r="C55" s="15" t="s">
        <v>1780</v>
      </c>
      <c r="D55" s="16">
        <f>175*1.2</f>
        <v>210</v>
      </c>
      <c r="E55" s="69">
        <v>0</v>
      </c>
      <c r="F55" s="28">
        <f t="shared" si="1"/>
        <v>0</v>
      </c>
      <c r="G55" s="8"/>
    </row>
    <row r="56" spans="1:8" ht="114" x14ac:dyDescent="0.25">
      <c r="A56" s="29" t="s">
        <v>2306</v>
      </c>
      <c r="B56" s="37" t="s">
        <v>2307</v>
      </c>
      <c r="C56" s="15" t="s">
        <v>1780</v>
      </c>
      <c r="D56" s="16">
        <f>170*1.2</f>
        <v>204</v>
      </c>
      <c r="E56" s="69">
        <v>0</v>
      </c>
      <c r="F56" s="28">
        <f t="shared" si="1"/>
        <v>0</v>
      </c>
      <c r="G56" s="8"/>
    </row>
    <row r="57" spans="1:8" ht="99.75" x14ac:dyDescent="0.25">
      <c r="A57" s="29" t="s">
        <v>2308</v>
      </c>
      <c r="B57" s="37" t="s">
        <v>2309</v>
      </c>
      <c r="C57" s="15" t="s">
        <v>1780</v>
      </c>
      <c r="D57" s="16">
        <f>(45*4.5+125*2.2)*1.2</f>
        <v>573</v>
      </c>
      <c r="E57" s="69">
        <v>0</v>
      </c>
      <c r="F57" s="28">
        <f t="shared" si="1"/>
        <v>0</v>
      </c>
      <c r="G57" s="8"/>
    </row>
    <row r="58" spans="1:8" ht="142.5" x14ac:dyDescent="0.25">
      <c r="A58" s="29" t="s">
        <v>2310</v>
      </c>
      <c r="B58" s="37" t="s">
        <v>2311</v>
      </c>
      <c r="C58" s="15" t="s">
        <v>1780</v>
      </c>
      <c r="D58" s="16">
        <f>170*1.2</f>
        <v>204</v>
      </c>
      <c r="E58" s="69">
        <v>0</v>
      </c>
      <c r="F58" s="28">
        <f t="shared" si="1"/>
        <v>0</v>
      </c>
      <c r="G58" s="8"/>
    </row>
    <row r="59" spans="1:8" ht="71.25" x14ac:dyDescent="0.3">
      <c r="A59" s="29" t="s">
        <v>2312</v>
      </c>
      <c r="B59" s="37" t="s">
        <v>2313</v>
      </c>
      <c r="C59" s="15"/>
      <c r="D59" s="16"/>
      <c r="E59" s="209"/>
      <c r="F59" s="210"/>
      <c r="G59" s="8"/>
      <c r="H59" s="214"/>
    </row>
    <row r="60" spans="1:8" ht="20.25" x14ac:dyDescent="0.3">
      <c r="A60" s="29"/>
      <c r="B60" s="37" t="s">
        <v>2314</v>
      </c>
      <c r="C60" s="15"/>
      <c r="D60" s="16"/>
      <c r="E60" s="209"/>
      <c r="F60" s="210"/>
      <c r="G60" s="8"/>
      <c r="H60" s="214"/>
    </row>
    <row r="61" spans="1:8" ht="20.25" x14ac:dyDescent="0.3">
      <c r="A61" s="29" t="s">
        <v>1761</v>
      </c>
      <c r="B61" s="37" t="s">
        <v>2315</v>
      </c>
      <c r="C61" s="15" t="s">
        <v>1800</v>
      </c>
      <c r="D61" s="16">
        <f>4*3.5*1.2</f>
        <v>16.8</v>
      </c>
      <c r="E61" s="69">
        <v>0</v>
      </c>
      <c r="F61" s="28">
        <f>ROUND(D61*E61,2)</f>
        <v>0</v>
      </c>
      <c r="G61" s="8"/>
      <c r="H61" s="214"/>
    </row>
    <row r="62" spans="1:8" ht="20.25" x14ac:dyDescent="0.3">
      <c r="A62" s="29" t="s">
        <v>1774</v>
      </c>
      <c r="B62" s="37" t="s">
        <v>2316</v>
      </c>
      <c r="C62" s="15" t="s">
        <v>1800</v>
      </c>
      <c r="D62" s="16">
        <f xml:space="preserve"> 3*3.5*1.2</f>
        <v>12.6</v>
      </c>
      <c r="E62" s="69">
        <v>0</v>
      </c>
      <c r="F62" s="28">
        <f t="shared" ref="F62:F67" si="2">ROUND(D62*E62,2)</f>
        <v>0</v>
      </c>
      <c r="G62" s="8"/>
      <c r="H62" s="214"/>
    </row>
    <row r="63" spans="1:8" ht="20.25" x14ac:dyDescent="0.3">
      <c r="A63" s="29" t="s">
        <v>1873</v>
      </c>
      <c r="B63" s="37" t="s">
        <v>2317</v>
      </c>
      <c r="C63" s="15" t="s">
        <v>1800</v>
      </c>
      <c r="D63" s="16">
        <f>(2*10.3+2* 9.8)*1.2</f>
        <v>48.24</v>
      </c>
      <c r="E63" s="69">
        <v>0</v>
      </c>
      <c r="F63" s="28">
        <f t="shared" si="2"/>
        <v>0</v>
      </c>
      <c r="G63" s="8"/>
      <c r="H63" s="214"/>
    </row>
    <row r="64" spans="1:8" ht="20.25" x14ac:dyDescent="0.3">
      <c r="A64" s="29" t="s">
        <v>1875</v>
      </c>
      <c r="B64" s="17" t="s">
        <v>2317</v>
      </c>
      <c r="C64" s="15" t="s">
        <v>1800</v>
      </c>
      <c r="D64" s="16">
        <f>(1*5+2* 2.8)*1.2</f>
        <v>12.719999999999999</v>
      </c>
      <c r="E64" s="69">
        <v>0</v>
      </c>
      <c r="F64" s="28">
        <f t="shared" si="2"/>
        <v>0</v>
      </c>
      <c r="G64" s="8"/>
      <c r="H64" s="214"/>
    </row>
    <row r="65" spans="1:8" ht="20.25" x14ac:dyDescent="0.3">
      <c r="A65" s="29"/>
      <c r="B65" s="17" t="s">
        <v>2318</v>
      </c>
      <c r="C65" s="15"/>
      <c r="D65" s="16"/>
      <c r="E65" s="209"/>
      <c r="F65" s="210"/>
      <c r="G65" s="8"/>
      <c r="H65" s="214"/>
    </row>
    <row r="66" spans="1:8" ht="20.25" x14ac:dyDescent="0.3">
      <c r="A66" s="29" t="s">
        <v>2131</v>
      </c>
      <c r="B66" s="37" t="s">
        <v>2319</v>
      </c>
      <c r="C66" s="15" t="s">
        <v>1800</v>
      </c>
      <c r="D66" s="16">
        <f>(4*1.5)*1.2</f>
        <v>7.1999999999999993</v>
      </c>
      <c r="E66" s="69">
        <v>0</v>
      </c>
      <c r="F66" s="28">
        <f t="shared" si="2"/>
        <v>0</v>
      </c>
      <c r="G66" s="8"/>
      <c r="H66" s="214"/>
    </row>
    <row r="67" spans="1:8" ht="20.25" x14ac:dyDescent="0.3">
      <c r="A67" s="29" t="s">
        <v>2133</v>
      </c>
      <c r="B67" s="37" t="s">
        <v>2320</v>
      </c>
      <c r="C67" s="15" t="s">
        <v>1800</v>
      </c>
      <c r="D67" s="16">
        <f>(2*5.6+2*8.9)*1.2</f>
        <v>34.799999999999997</v>
      </c>
      <c r="E67" s="69">
        <v>0</v>
      </c>
      <c r="F67" s="28">
        <f t="shared" si="2"/>
        <v>0</v>
      </c>
      <c r="G67" s="8"/>
      <c r="H67" s="214"/>
    </row>
    <row r="68" spans="1:8" ht="57" x14ac:dyDescent="0.25">
      <c r="A68" s="29" t="s">
        <v>2321</v>
      </c>
      <c r="B68" s="17" t="s">
        <v>2322</v>
      </c>
      <c r="C68" s="15" t="s">
        <v>1780</v>
      </c>
      <c r="D68" s="16">
        <f>(90+25+60+32)*1.2</f>
        <v>248.39999999999998</v>
      </c>
      <c r="E68" s="69">
        <v>0</v>
      </c>
      <c r="F68" s="28">
        <f>ROUND(D68*E68,2)</f>
        <v>0</v>
      </c>
      <c r="G68" s="8"/>
    </row>
    <row r="69" spans="1:8" ht="57" x14ac:dyDescent="0.25">
      <c r="A69" s="29" t="s">
        <v>2323</v>
      </c>
      <c r="B69" s="37" t="s">
        <v>2324</v>
      </c>
      <c r="C69" s="15" t="s">
        <v>1756</v>
      </c>
      <c r="D69" s="39">
        <f>45*0.1*1.2</f>
        <v>5.3999999999999995</v>
      </c>
      <c r="E69" s="69">
        <v>0</v>
      </c>
      <c r="F69" s="28">
        <f>ROUND(D69*E69,2)</f>
        <v>0</v>
      </c>
      <c r="G69" s="8"/>
    </row>
    <row r="70" spans="1:8" ht="18" x14ac:dyDescent="0.25">
      <c r="A70" s="29" t="s">
        <v>2325</v>
      </c>
      <c r="B70" s="37" t="s">
        <v>2326</v>
      </c>
      <c r="C70" s="15"/>
      <c r="D70" s="16"/>
      <c r="E70" s="209"/>
      <c r="F70" s="210"/>
      <c r="G70" s="8"/>
    </row>
    <row r="71" spans="1:8" ht="18" x14ac:dyDescent="0.25">
      <c r="A71" s="29" t="s">
        <v>1761</v>
      </c>
      <c r="B71" s="37" t="s">
        <v>2327</v>
      </c>
      <c r="C71" s="15" t="s">
        <v>1826</v>
      </c>
      <c r="D71" s="16">
        <v>14</v>
      </c>
      <c r="E71" s="69">
        <v>0</v>
      </c>
      <c r="F71" s="28">
        <f>ROUND(D71*E71,2)</f>
        <v>0</v>
      </c>
      <c r="G71" s="8"/>
    </row>
    <row r="72" spans="1:8" ht="18" x14ac:dyDescent="0.25">
      <c r="A72" s="29" t="s">
        <v>1774</v>
      </c>
      <c r="B72" s="37" t="s">
        <v>2328</v>
      </c>
      <c r="C72" s="15" t="s">
        <v>1826</v>
      </c>
      <c r="D72" s="16">
        <v>7</v>
      </c>
      <c r="E72" s="69">
        <v>0</v>
      </c>
      <c r="F72" s="28">
        <f>ROUND(D72*E72,2)</f>
        <v>0</v>
      </c>
      <c r="G72" s="8"/>
    </row>
    <row r="73" spans="1:8" ht="18" x14ac:dyDescent="0.25">
      <c r="A73" s="29" t="s">
        <v>1873</v>
      </c>
      <c r="B73" s="37" t="s">
        <v>2329</v>
      </c>
      <c r="C73" s="15" t="s">
        <v>1826</v>
      </c>
      <c r="D73" s="16">
        <v>1</v>
      </c>
      <c r="E73" s="69">
        <v>0</v>
      </c>
      <c r="F73" s="28">
        <f>ROUND(D73*E73,2)</f>
        <v>0</v>
      </c>
      <c r="G73" s="8"/>
    </row>
    <row r="74" spans="1:8" ht="42.75" x14ac:dyDescent="0.25">
      <c r="A74" s="29" t="s">
        <v>2330</v>
      </c>
      <c r="B74" s="37" t="s">
        <v>2331</v>
      </c>
      <c r="C74" s="15" t="s">
        <v>1800</v>
      </c>
      <c r="D74" s="16">
        <f>11*3*1.2</f>
        <v>39.6</v>
      </c>
      <c r="E74" s="69">
        <v>0</v>
      </c>
      <c r="F74" s="28">
        <f>ROUND(D74*E74,2)</f>
        <v>0</v>
      </c>
      <c r="G74" s="8"/>
    </row>
    <row r="75" spans="1:8" ht="85.5" x14ac:dyDescent="0.25">
      <c r="A75" s="29" t="s">
        <v>2332</v>
      </c>
      <c r="B75" s="37" t="s">
        <v>2333</v>
      </c>
      <c r="C75" s="15"/>
      <c r="D75" s="16"/>
      <c r="E75" s="209"/>
      <c r="F75" s="210"/>
      <c r="G75" s="8"/>
    </row>
    <row r="76" spans="1:8" ht="42.75" x14ac:dyDescent="0.25">
      <c r="A76" s="29" t="s">
        <v>1761</v>
      </c>
      <c r="B76" s="37" t="s">
        <v>2334</v>
      </c>
      <c r="C76" s="15" t="s">
        <v>1826</v>
      </c>
      <c r="D76" s="16">
        <v>8</v>
      </c>
      <c r="E76" s="69">
        <v>0</v>
      </c>
      <c r="F76" s="28">
        <f t="shared" ref="F76:F85" si="3">ROUND(D76*E76,2)</f>
        <v>0</v>
      </c>
      <c r="G76" s="8"/>
    </row>
    <row r="77" spans="1:8" ht="42.75" x14ac:dyDescent="0.25">
      <c r="A77" s="29" t="s">
        <v>1774</v>
      </c>
      <c r="B77" s="37" t="s">
        <v>2335</v>
      </c>
      <c r="C77" s="15" t="s">
        <v>1826</v>
      </c>
      <c r="D77" s="16">
        <v>4</v>
      </c>
      <c r="E77" s="69">
        <v>0</v>
      </c>
      <c r="F77" s="28">
        <f t="shared" si="3"/>
        <v>0</v>
      </c>
      <c r="G77" s="8"/>
    </row>
    <row r="78" spans="1:8" ht="42.75" x14ac:dyDescent="0.25">
      <c r="A78" s="29" t="s">
        <v>2336</v>
      </c>
      <c r="B78" s="17" t="s">
        <v>2337</v>
      </c>
      <c r="C78" s="15" t="s">
        <v>1826</v>
      </c>
      <c r="D78" s="16">
        <v>15</v>
      </c>
      <c r="E78" s="69">
        <v>0</v>
      </c>
      <c r="F78" s="28">
        <f t="shared" si="3"/>
        <v>0</v>
      </c>
      <c r="G78" s="8"/>
    </row>
    <row r="79" spans="1:8" ht="57" x14ac:dyDescent="0.25">
      <c r="A79" s="29" t="s">
        <v>2338</v>
      </c>
      <c r="B79" s="17" t="s">
        <v>2339</v>
      </c>
      <c r="C79" s="15"/>
      <c r="D79" s="16"/>
      <c r="E79" s="209"/>
      <c r="F79" s="210"/>
      <c r="G79" s="8"/>
    </row>
    <row r="80" spans="1:8" s="215" customFormat="1" ht="14.25" x14ac:dyDescent="0.2">
      <c r="A80" s="29" t="s">
        <v>1761</v>
      </c>
      <c r="B80" s="37" t="s">
        <v>2340</v>
      </c>
      <c r="C80" s="15" t="s">
        <v>1765</v>
      </c>
      <c r="D80" s="16">
        <v>20</v>
      </c>
      <c r="E80" s="69">
        <v>0</v>
      </c>
      <c r="F80" s="28">
        <f t="shared" si="3"/>
        <v>0</v>
      </c>
    </row>
    <row r="81" spans="1:9" s="215" customFormat="1" ht="14.25" x14ac:dyDescent="0.2">
      <c r="A81" s="29" t="s">
        <v>1774</v>
      </c>
      <c r="B81" s="37" t="s">
        <v>1940</v>
      </c>
      <c r="C81" s="15" t="s">
        <v>1765</v>
      </c>
      <c r="D81" s="16">
        <v>20</v>
      </c>
      <c r="E81" s="69">
        <v>0</v>
      </c>
      <c r="F81" s="28">
        <f t="shared" si="3"/>
        <v>0</v>
      </c>
    </row>
    <row r="82" spans="1:9" s="215" customFormat="1" ht="14.25" x14ac:dyDescent="0.2">
      <c r="A82" s="29" t="s">
        <v>1873</v>
      </c>
      <c r="B82" s="37" t="s">
        <v>1939</v>
      </c>
      <c r="C82" s="15" t="s">
        <v>1765</v>
      </c>
      <c r="D82" s="16">
        <v>20</v>
      </c>
      <c r="E82" s="69">
        <v>0</v>
      </c>
      <c r="F82" s="28">
        <f t="shared" si="3"/>
        <v>0</v>
      </c>
    </row>
    <row r="83" spans="1:9" s="215" customFormat="1" ht="14.25" x14ac:dyDescent="0.2">
      <c r="A83" s="29" t="s">
        <v>1875</v>
      </c>
      <c r="B83" s="37" t="s">
        <v>2341</v>
      </c>
      <c r="C83" s="15" t="s">
        <v>1765</v>
      </c>
      <c r="D83" s="16">
        <v>20</v>
      </c>
      <c r="E83" s="69">
        <v>0</v>
      </c>
      <c r="F83" s="28">
        <f t="shared" si="3"/>
        <v>0</v>
      </c>
    </row>
    <row r="84" spans="1:9" ht="28.5" x14ac:dyDescent="0.25">
      <c r="A84" s="29" t="s">
        <v>2342</v>
      </c>
      <c r="B84" s="37" t="s">
        <v>2343</v>
      </c>
      <c r="C84" s="15" t="s">
        <v>1826</v>
      </c>
      <c r="D84" s="16">
        <v>1</v>
      </c>
      <c r="E84" s="69">
        <v>0</v>
      </c>
      <c r="F84" s="28">
        <f t="shared" si="3"/>
        <v>0</v>
      </c>
      <c r="G84" s="8"/>
    </row>
    <row r="85" spans="1:9" ht="71.25" x14ac:dyDescent="0.25">
      <c r="A85" s="29" t="s">
        <v>2344</v>
      </c>
      <c r="B85" s="37" t="s">
        <v>2345</v>
      </c>
      <c r="C85" s="15" t="s">
        <v>1826</v>
      </c>
      <c r="D85" s="16">
        <v>1</v>
      </c>
      <c r="E85" s="69">
        <v>0</v>
      </c>
      <c r="F85" s="28">
        <f t="shared" si="3"/>
        <v>0</v>
      </c>
      <c r="G85" s="8"/>
    </row>
    <row r="86" spans="1:9" s="59" customFormat="1" ht="85.5" x14ac:dyDescent="0.25">
      <c r="A86" s="29" t="s">
        <v>2346</v>
      </c>
      <c r="B86" s="37" t="s">
        <v>2347</v>
      </c>
      <c r="C86" s="15"/>
      <c r="D86" s="16"/>
      <c r="E86" s="209"/>
      <c r="F86" s="210"/>
    </row>
    <row r="87" spans="1:9" s="59" customFormat="1" ht="18" x14ac:dyDescent="0.25">
      <c r="A87" s="29" t="s">
        <v>1761</v>
      </c>
      <c r="B87" s="37" t="s">
        <v>2348</v>
      </c>
      <c r="C87" s="15" t="s">
        <v>1800</v>
      </c>
      <c r="D87" s="16">
        <f>3*3.1*1.2</f>
        <v>11.16</v>
      </c>
      <c r="E87" s="69">
        <v>0</v>
      </c>
      <c r="F87" s="28">
        <f>ROUND(D87*E87,2)</f>
        <v>0</v>
      </c>
    </row>
    <row r="88" spans="1:9" s="59" customFormat="1" ht="18" x14ac:dyDescent="0.25">
      <c r="A88" s="29" t="s">
        <v>1774</v>
      </c>
      <c r="B88" s="37" t="s">
        <v>2349</v>
      </c>
      <c r="C88" s="15" t="s">
        <v>1800</v>
      </c>
      <c r="D88" s="16">
        <f>3*6*1.2</f>
        <v>21.599999999999998</v>
      </c>
      <c r="E88" s="69">
        <v>0</v>
      </c>
      <c r="F88" s="28">
        <f>ROUND(D88*E88,2)</f>
        <v>0</v>
      </c>
    </row>
    <row r="89" spans="1:9" s="59" customFormat="1" ht="18" x14ac:dyDescent="0.25">
      <c r="A89" s="29" t="s">
        <v>1873</v>
      </c>
      <c r="B89" s="37" t="s">
        <v>2350</v>
      </c>
      <c r="C89" s="15" t="s">
        <v>1800</v>
      </c>
      <c r="D89" s="16">
        <f>2*4*1.2</f>
        <v>9.6</v>
      </c>
      <c r="E89" s="69">
        <v>0</v>
      </c>
      <c r="F89" s="28">
        <f>ROUND(D89*E89,2)</f>
        <v>0</v>
      </c>
    </row>
    <row r="90" spans="1:9" ht="42.75" x14ac:dyDescent="0.25">
      <c r="A90" s="29" t="s">
        <v>2351</v>
      </c>
      <c r="B90" s="37" t="s">
        <v>2352</v>
      </c>
      <c r="C90" s="15" t="s">
        <v>1780</v>
      </c>
      <c r="D90" s="16">
        <v>50</v>
      </c>
      <c r="E90" s="69">
        <v>0</v>
      </c>
      <c r="F90" s="28">
        <f>ROUND(D90*E90,2)</f>
        <v>0</v>
      </c>
      <c r="G90" s="8"/>
    </row>
    <row r="91" spans="1:9" ht="28.5" x14ac:dyDescent="0.25">
      <c r="A91" s="29" t="s">
        <v>2353</v>
      </c>
      <c r="B91" s="37" t="s">
        <v>2354</v>
      </c>
      <c r="C91" s="15"/>
      <c r="D91" s="16"/>
      <c r="E91" s="209"/>
      <c r="F91" s="210"/>
      <c r="G91" s="8"/>
    </row>
    <row r="92" spans="1:9" ht="28.5" x14ac:dyDescent="0.25">
      <c r="A92" s="29" t="s">
        <v>1761</v>
      </c>
      <c r="B92" s="37" t="s">
        <v>2355</v>
      </c>
      <c r="C92" s="15" t="s">
        <v>1826</v>
      </c>
      <c r="D92" s="16">
        <v>5</v>
      </c>
      <c r="E92" s="69">
        <v>0</v>
      </c>
      <c r="F92" s="28">
        <f>ROUND(D92*E92,2)</f>
        <v>0</v>
      </c>
      <c r="G92" s="8"/>
      <c r="I92" s="216"/>
    </row>
    <row r="93" spans="1:9" ht="28.5" x14ac:dyDescent="0.25">
      <c r="A93" s="29" t="s">
        <v>1774</v>
      </c>
      <c r="B93" s="37" t="s">
        <v>2356</v>
      </c>
      <c r="C93" s="15" t="s">
        <v>1826</v>
      </c>
      <c r="D93" s="16">
        <v>1</v>
      </c>
      <c r="E93" s="69">
        <v>0</v>
      </c>
      <c r="F93" s="28">
        <f>ROUND(D93*E93,2)</f>
        <v>0</v>
      </c>
      <c r="G93" s="8"/>
      <c r="I93" s="216"/>
    </row>
    <row r="94" spans="1:9" ht="28.5" x14ac:dyDescent="0.25">
      <c r="A94" s="29" t="s">
        <v>1873</v>
      </c>
      <c r="B94" s="37" t="s">
        <v>2357</v>
      </c>
      <c r="C94" s="15"/>
      <c r="D94" s="16"/>
      <c r="E94" s="209"/>
      <c r="F94" s="210"/>
      <c r="G94" s="8"/>
      <c r="I94" s="216"/>
    </row>
    <row r="95" spans="1:9" ht="18" x14ac:dyDescent="0.25">
      <c r="A95" s="29" t="s">
        <v>2358</v>
      </c>
      <c r="B95" s="37" t="s">
        <v>2359</v>
      </c>
      <c r="C95" s="15" t="s">
        <v>1826</v>
      </c>
      <c r="D95" s="16">
        <v>1</v>
      </c>
      <c r="E95" s="69">
        <v>0</v>
      </c>
      <c r="F95" s="28">
        <f t="shared" ref="F95:F100" si="4">ROUND(D95*E95,2)</f>
        <v>0</v>
      </c>
      <c r="G95" s="8"/>
      <c r="I95" s="216"/>
    </row>
    <row r="96" spans="1:9" ht="18" x14ac:dyDescent="0.25">
      <c r="A96" s="29" t="s">
        <v>2360</v>
      </c>
      <c r="B96" s="37" t="s">
        <v>2361</v>
      </c>
      <c r="C96" s="15" t="s">
        <v>1826</v>
      </c>
      <c r="D96" s="16">
        <v>7</v>
      </c>
      <c r="E96" s="69">
        <v>0</v>
      </c>
      <c r="F96" s="28">
        <f t="shared" si="4"/>
        <v>0</v>
      </c>
      <c r="G96" s="8"/>
      <c r="I96" s="216"/>
    </row>
    <row r="97" spans="1:9" ht="18" x14ac:dyDescent="0.25">
      <c r="A97" s="29" t="s">
        <v>2362</v>
      </c>
      <c r="B97" s="37" t="s">
        <v>2363</v>
      </c>
      <c r="C97" s="15" t="s">
        <v>1826</v>
      </c>
      <c r="D97" s="16">
        <v>1</v>
      </c>
      <c r="E97" s="69">
        <v>0</v>
      </c>
      <c r="F97" s="28">
        <f t="shared" si="4"/>
        <v>0</v>
      </c>
      <c r="G97" s="8"/>
      <c r="I97" s="216"/>
    </row>
    <row r="98" spans="1:9" ht="18" x14ac:dyDescent="0.25">
      <c r="A98" s="29" t="s">
        <v>2364</v>
      </c>
      <c r="B98" s="37" t="s">
        <v>2365</v>
      </c>
      <c r="C98" s="15" t="s">
        <v>1826</v>
      </c>
      <c r="D98" s="16">
        <v>16</v>
      </c>
      <c r="E98" s="69">
        <v>0</v>
      </c>
      <c r="F98" s="28">
        <f t="shared" si="4"/>
        <v>0</v>
      </c>
      <c r="G98" s="8"/>
      <c r="I98" s="216"/>
    </row>
    <row r="99" spans="1:9" ht="99.75" x14ac:dyDescent="0.2">
      <c r="A99" s="29" t="s">
        <v>2366</v>
      </c>
      <c r="B99" s="37" t="s">
        <v>2367</v>
      </c>
      <c r="C99" s="15" t="s">
        <v>1756</v>
      </c>
      <c r="D99" s="16">
        <f>90*0.1*1.2</f>
        <v>10.799999999999999</v>
      </c>
      <c r="E99" s="69">
        <v>0</v>
      </c>
      <c r="F99" s="28">
        <f t="shared" si="4"/>
        <v>0</v>
      </c>
    </row>
    <row r="100" spans="1:9" ht="18.75" thickBot="1" x14ac:dyDescent="0.3">
      <c r="A100" s="29" t="s">
        <v>2368</v>
      </c>
      <c r="B100" s="37" t="s">
        <v>2369</v>
      </c>
      <c r="C100" s="15" t="s">
        <v>1826</v>
      </c>
      <c r="D100" s="16">
        <v>1</v>
      </c>
      <c r="E100" s="69">
        <v>0</v>
      </c>
      <c r="F100" s="28">
        <f t="shared" si="4"/>
        <v>0</v>
      </c>
      <c r="G100" s="8"/>
    </row>
    <row r="101" spans="1:9" ht="18.75" thickBot="1" x14ac:dyDescent="0.3">
      <c r="A101" s="29"/>
      <c r="B101" s="33"/>
      <c r="C101" s="336" t="s">
        <v>2370</v>
      </c>
      <c r="D101" s="337"/>
      <c r="E101" s="338"/>
      <c r="F101" s="18">
        <f>SUM(F53:F100)</f>
        <v>0</v>
      </c>
      <c r="G101" s="8"/>
    </row>
    <row r="102" spans="1:9" ht="18" x14ac:dyDescent="0.25">
      <c r="A102" s="29" t="s">
        <v>2371</v>
      </c>
      <c r="B102" s="35" t="s">
        <v>2372</v>
      </c>
      <c r="C102" s="15"/>
      <c r="D102" s="16"/>
      <c r="E102" s="209"/>
      <c r="F102" s="210"/>
      <c r="G102" s="8"/>
    </row>
    <row r="103" spans="1:9" ht="28.5" x14ac:dyDescent="0.25">
      <c r="A103" s="29"/>
      <c r="B103" s="37" t="s">
        <v>2373</v>
      </c>
      <c r="C103" s="15"/>
      <c r="D103" s="16"/>
      <c r="E103" s="209"/>
      <c r="F103" s="210"/>
      <c r="G103" s="8"/>
    </row>
    <row r="104" spans="1:9" ht="42.75" x14ac:dyDescent="0.25">
      <c r="A104" s="29" t="s">
        <v>2374</v>
      </c>
      <c r="B104" s="17" t="s">
        <v>2375</v>
      </c>
      <c r="C104" s="15" t="s">
        <v>1780</v>
      </c>
      <c r="D104" s="16">
        <f>4*0.8*(10+1)*2*1.2</f>
        <v>84.48</v>
      </c>
      <c r="E104" s="69">
        <v>0</v>
      </c>
      <c r="F104" s="28">
        <f t="shared" ref="F104:F117" si="5">ROUND(D104*E104,2)</f>
        <v>0</v>
      </c>
      <c r="G104" s="8"/>
    </row>
    <row r="105" spans="1:9" ht="42.75" x14ac:dyDescent="0.25">
      <c r="A105" s="29" t="s">
        <v>2376</v>
      </c>
      <c r="B105" s="37" t="s">
        <v>2377</v>
      </c>
      <c r="C105" s="15" t="s">
        <v>1780</v>
      </c>
      <c r="D105" s="16">
        <f>3*(26+16+16+22)*2*1.2</f>
        <v>576</v>
      </c>
      <c r="E105" s="69">
        <v>0</v>
      </c>
      <c r="F105" s="28">
        <f t="shared" si="5"/>
        <v>0</v>
      </c>
      <c r="G105" s="8"/>
    </row>
    <row r="106" spans="1:9" ht="57" x14ac:dyDescent="0.25">
      <c r="A106" s="29" t="s">
        <v>2378</v>
      </c>
      <c r="B106" s="37" t="s">
        <v>2379</v>
      </c>
      <c r="C106" s="15" t="s">
        <v>1780</v>
      </c>
      <c r="D106" s="16">
        <f>8*(36+24+23.5)*2*1.2</f>
        <v>1603.2</v>
      </c>
      <c r="E106" s="69">
        <v>0</v>
      </c>
      <c r="F106" s="28">
        <f t="shared" si="5"/>
        <v>0</v>
      </c>
      <c r="G106" s="8"/>
    </row>
    <row r="107" spans="1:9" ht="57" x14ac:dyDescent="0.25">
      <c r="A107" s="29" t="s">
        <v>2380</v>
      </c>
      <c r="B107" s="37" t="s">
        <v>2381</v>
      </c>
      <c r="C107" s="15" t="s">
        <v>1780</v>
      </c>
      <c r="D107" s="16">
        <f>(3*40+8*40)*2*1.2</f>
        <v>1056</v>
      </c>
      <c r="E107" s="69">
        <v>0</v>
      </c>
      <c r="F107" s="28">
        <f>ROUND(D107*E107,2)</f>
        <v>0</v>
      </c>
      <c r="G107" s="8"/>
    </row>
    <row r="108" spans="1:9" ht="71.25" x14ac:dyDescent="0.25">
      <c r="A108" s="29" t="s">
        <v>2382</v>
      </c>
      <c r="B108" s="37" t="s">
        <v>2383</v>
      </c>
      <c r="C108" s="15" t="s">
        <v>1780</v>
      </c>
      <c r="D108" s="16">
        <f>85*1.2</f>
        <v>102</v>
      </c>
      <c r="E108" s="69">
        <v>0</v>
      </c>
      <c r="F108" s="28">
        <f t="shared" si="5"/>
        <v>0</v>
      </c>
      <c r="G108" s="8"/>
    </row>
    <row r="109" spans="1:9" ht="71.25" x14ac:dyDescent="0.25">
      <c r="A109" s="29" t="s">
        <v>2384</v>
      </c>
      <c r="B109" s="37" t="s">
        <v>2385</v>
      </c>
      <c r="C109" s="15" t="s">
        <v>1780</v>
      </c>
      <c r="D109" s="16">
        <f>90*1.2</f>
        <v>108</v>
      </c>
      <c r="E109" s="69">
        <v>0</v>
      </c>
      <c r="F109" s="28">
        <f>ROUND(D109*E109,2)</f>
        <v>0</v>
      </c>
      <c r="G109" s="8"/>
    </row>
    <row r="110" spans="1:9" ht="57" x14ac:dyDescent="0.25">
      <c r="A110" s="29" t="s">
        <v>2386</v>
      </c>
      <c r="B110" s="37" t="s">
        <v>2387</v>
      </c>
      <c r="C110" s="15" t="s">
        <v>1780</v>
      </c>
      <c r="D110" s="16">
        <f>(90+90)*1.2</f>
        <v>216</v>
      </c>
      <c r="E110" s="69">
        <v>0</v>
      </c>
      <c r="F110" s="28">
        <f>ROUND(D110*E110,2)</f>
        <v>0</v>
      </c>
      <c r="G110" s="8"/>
    </row>
    <row r="111" spans="1:9" s="59" customFormat="1" ht="42.75" x14ac:dyDescent="0.25">
      <c r="A111" s="29" t="s">
        <v>2388</v>
      </c>
      <c r="B111" s="37" t="s">
        <v>2389</v>
      </c>
      <c r="C111" s="15" t="s">
        <v>1780</v>
      </c>
      <c r="D111" s="16">
        <f>(75*0.25+55*0.15)*1.2</f>
        <v>32.4</v>
      </c>
      <c r="E111" s="69">
        <v>0</v>
      </c>
      <c r="F111" s="28">
        <f>ROUND(D111*E111,2)</f>
        <v>0</v>
      </c>
    </row>
    <row r="112" spans="1:9" s="59" customFormat="1" ht="42.75" x14ac:dyDescent="0.25">
      <c r="A112" s="29" t="s">
        <v>2390</v>
      </c>
      <c r="B112" s="37" t="s">
        <v>2391</v>
      </c>
      <c r="C112" s="15" t="s">
        <v>1780</v>
      </c>
      <c r="D112" s="16">
        <f>75*0.2*1.2</f>
        <v>18</v>
      </c>
      <c r="E112" s="69">
        <v>0</v>
      </c>
      <c r="F112" s="28">
        <f>ROUND(D112*E112,2)</f>
        <v>0</v>
      </c>
    </row>
    <row r="113" spans="1:17" s="59" customFormat="1" ht="42.75" x14ac:dyDescent="0.25">
      <c r="A113" s="29" t="s">
        <v>2392</v>
      </c>
      <c r="B113" s="37" t="s">
        <v>2393</v>
      </c>
      <c r="C113" s="15" t="s">
        <v>1780</v>
      </c>
      <c r="D113" s="16">
        <f>4*4*0.3*3*1.2</f>
        <v>17.279999999999998</v>
      </c>
      <c r="E113" s="69">
        <v>0</v>
      </c>
      <c r="F113" s="28">
        <f>ROUND(D113*E113,2)</f>
        <v>0</v>
      </c>
    </row>
    <row r="114" spans="1:17" ht="28.5" x14ac:dyDescent="0.25">
      <c r="A114" s="29" t="s">
        <v>2394</v>
      </c>
      <c r="B114" s="17" t="s">
        <v>2395</v>
      </c>
      <c r="C114" s="15" t="s">
        <v>1800</v>
      </c>
      <c r="D114" s="16">
        <v>20</v>
      </c>
      <c r="E114" s="69">
        <v>0</v>
      </c>
      <c r="F114" s="28">
        <f t="shared" si="5"/>
        <v>0</v>
      </c>
      <c r="G114" s="8"/>
    </row>
    <row r="115" spans="1:17" ht="42.75" x14ac:dyDescent="0.25">
      <c r="A115" s="29" t="s">
        <v>2396</v>
      </c>
      <c r="B115" s="17" t="s">
        <v>2397</v>
      </c>
      <c r="C115" s="15" t="s">
        <v>1800</v>
      </c>
      <c r="D115" s="16">
        <f>(7*2*(0.4+0.3)+2*2*(0.7+0.8))*1.2</f>
        <v>18.959999999999997</v>
      </c>
      <c r="E115" s="69">
        <v>0</v>
      </c>
      <c r="F115" s="28">
        <f t="shared" si="5"/>
        <v>0</v>
      </c>
      <c r="G115" s="8"/>
    </row>
    <row r="116" spans="1:17" ht="42.75" x14ac:dyDescent="0.25">
      <c r="A116" s="29" t="s">
        <v>2398</v>
      </c>
      <c r="B116" s="37" t="s">
        <v>2399</v>
      </c>
      <c r="C116" s="15" t="s">
        <v>1780</v>
      </c>
      <c r="D116" s="16">
        <f>2*7*1.2</f>
        <v>16.8</v>
      </c>
      <c r="E116" s="69">
        <v>0</v>
      </c>
      <c r="F116" s="28">
        <f t="shared" si="5"/>
        <v>0</v>
      </c>
      <c r="G116" s="8"/>
    </row>
    <row r="117" spans="1:17" ht="28.5" x14ac:dyDescent="0.25">
      <c r="A117" s="29" t="s">
        <v>2400</v>
      </c>
      <c r="B117" s="37" t="s">
        <v>2401</v>
      </c>
      <c r="C117" s="15" t="s">
        <v>1826</v>
      </c>
      <c r="D117" s="16">
        <v>10</v>
      </c>
      <c r="E117" s="69">
        <v>0</v>
      </c>
      <c r="F117" s="28">
        <f t="shared" si="5"/>
        <v>0</v>
      </c>
      <c r="G117" s="8"/>
    </row>
    <row r="118" spans="1:17" ht="28.5" x14ac:dyDescent="0.25">
      <c r="A118" s="29" t="s">
        <v>2402</v>
      </c>
      <c r="B118" s="17" t="s">
        <v>2403</v>
      </c>
      <c r="C118" s="15"/>
      <c r="D118" s="16"/>
      <c r="E118" s="209"/>
      <c r="F118" s="210"/>
      <c r="G118" s="8"/>
      <c r="I118" s="349"/>
      <c r="J118" s="349"/>
      <c r="K118" s="349"/>
      <c r="L118" s="349"/>
      <c r="M118" s="349"/>
      <c r="N118" s="349"/>
      <c r="O118" s="349"/>
      <c r="P118" s="349"/>
      <c r="Q118" s="349"/>
    </row>
    <row r="119" spans="1:17" ht="85.5" x14ac:dyDescent="0.25">
      <c r="A119" s="29" t="s">
        <v>1761</v>
      </c>
      <c r="B119" s="17" t="s">
        <v>2404</v>
      </c>
      <c r="C119" s="15" t="s">
        <v>1780</v>
      </c>
      <c r="D119" s="16">
        <f>10*10*3.1*1.2</f>
        <v>372</v>
      </c>
      <c r="E119" s="69">
        <v>0</v>
      </c>
      <c r="F119" s="28">
        <f>ROUND(D119*E119,2)</f>
        <v>0</v>
      </c>
      <c r="G119" s="8"/>
      <c r="I119" s="285"/>
      <c r="J119" s="285"/>
      <c r="K119" s="285"/>
      <c r="L119" s="285"/>
      <c r="M119" s="285"/>
      <c r="N119" s="285"/>
      <c r="O119" s="285"/>
      <c r="P119" s="285"/>
      <c r="Q119" s="285"/>
    </row>
    <row r="120" spans="1:17" ht="28.5" x14ac:dyDescent="0.25">
      <c r="A120" s="29" t="s">
        <v>1774</v>
      </c>
      <c r="B120" s="37" t="s">
        <v>2405</v>
      </c>
      <c r="C120" s="15" t="s">
        <v>1780</v>
      </c>
      <c r="D120" s="16">
        <f>10*10*3.1*1.2</f>
        <v>372</v>
      </c>
      <c r="E120" s="69">
        <v>0</v>
      </c>
      <c r="F120" s="28">
        <f>ROUND(D120*E120,2)</f>
        <v>0</v>
      </c>
      <c r="G120" s="8"/>
      <c r="I120" s="285"/>
      <c r="J120" s="285"/>
      <c r="K120" s="285"/>
      <c r="L120" s="285"/>
      <c r="M120" s="285"/>
      <c r="N120" s="285"/>
      <c r="O120" s="285"/>
      <c r="P120" s="285"/>
      <c r="Q120" s="285"/>
    </row>
    <row r="121" spans="1:17" ht="18" x14ac:dyDescent="0.25">
      <c r="A121" s="29" t="s">
        <v>1873</v>
      </c>
      <c r="B121" s="17" t="s">
        <v>2406</v>
      </c>
      <c r="C121" s="15" t="s">
        <v>1800</v>
      </c>
      <c r="D121" s="16">
        <f>(4*4*3.1+2*0.75*4+7*0.35*4)*1.2</f>
        <v>78.48</v>
      </c>
      <c r="E121" s="69">
        <v>0</v>
      </c>
      <c r="F121" s="28">
        <f>ROUND(D121*E121,2)</f>
        <v>0</v>
      </c>
      <c r="G121" s="8"/>
      <c r="I121" s="285"/>
      <c r="J121" s="285"/>
      <c r="K121" s="285"/>
      <c r="L121" s="285"/>
      <c r="M121" s="285"/>
      <c r="N121" s="285"/>
      <c r="O121" s="285"/>
      <c r="P121" s="285"/>
      <c r="Q121" s="285"/>
    </row>
    <row r="122" spans="1:17" ht="18" x14ac:dyDescent="0.25">
      <c r="A122" s="29"/>
      <c r="B122" s="17"/>
      <c r="C122" s="15"/>
      <c r="D122" s="16"/>
      <c r="E122" s="209"/>
      <c r="F122" s="210"/>
      <c r="G122" s="8"/>
      <c r="I122" s="285"/>
      <c r="J122" s="285"/>
      <c r="K122" s="285"/>
      <c r="L122" s="285"/>
      <c r="M122" s="285"/>
      <c r="N122" s="285"/>
      <c r="O122" s="285"/>
      <c r="P122" s="285"/>
      <c r="Q122" s="285"/>
    </row>
    <row r="123" spans="1:17" s="59" customFormat="1" ht="18" x14ac:dyDescent="0.25">
      <c r="A123" s="29"/>
      <c r="B123" s="30" t="s">
        <v>2407</v>
      </c>
      <c r="C123" s="15"/>
      <c r="D123" s="16"/>
      <c r="E123" s="209"/>
      <c r="F123" s="210"/>
    </row>
    <row r="124" spans="1:17" s="59" customFormat="1" ht="42.75" x14ac:dyDescent="0.25">
      <c r="A124" s="29" t="s">
        <v>2408</v>
      </c>
      <c r="B124" s="17" t="s">
        <v>2409</v>
      </c>
      <c r="C124" s="15" t="s">
        <v>1780</v>
      </c>
      <c r="D124" s="16">
        <f>175*1.2</f>
        <v>210</v>
      </c>
      <c r="E124" s="69">
        <v>0</v>
      </c>
      <c r="F124" s="28">
        <f t="shared" ref="F124:F129" si="6">ROUND(D124*E124,2)</f>
        <v>0</v>
      </c>
    </row>
    <row r="125" spans="1:17" s="59" customFormat="1" ht="42.75" x14ac:dyDescent="0.25">
      <c r="A125" s="29" t="s">
        <v>2410</v>
      </c>
      <c r="B125" s="17" t="s">
        <v>2411</v>
      </c>
      <c r="C125" s="15" t="s">
        <v>1780</v>
      </c>
      <c r="D125" s="16">
        <f>175*1.2</f>
        <v>210</v>
      </c>
      <c r="E125" s="69">
        <v>0</v>
      </c>
      <c r="F125" s="28">
        <f t="shared" si="6"/>
        <v>0</v>
      </c>
    </row>
    <row r="126" spans="1:17" s="59" customFormat="1" ht="42.75" x14ac:dyDescent="0.25">
      <c r="A126" s="29" t="s">
        <v>2412</v>
      </c>
      <c r="B126" s="17" t="s">
        <v>2413</v>
      </c>
      <c r="C126" s="15" t="s">
        <v>1826</v>
      </c>
      <c r="D126" s="16">
        <v>2</v>
      </c>
      <c r="E126" s="69">
        <v>0</v>
      </c>
      <c r="F126" s="28">
        <f t="shared" si="6"/>
        <v>0</v>
      </c>
    </row>
    <row r="127" spans="1:17" s="59" customFormat="1" ht="85.5" x14ac:dyDescent="0.25">
      <c r="A127" s="29" t="s">
        <v>2414</v>
      </c>
      <c r="B127" s="17" t="s">
        <v>2415</v>
      </c>
      <c r="C127" s="15" t="s">
        <v>1780</v>
      </c>
      <c r="D127" s="16">
        <f>D132+D134+D136+D139+D137</f>
        <v>1395.1200000000001</v>
      </c>
      <c r="E127" s="69">
        <v>0</v>
      </c>
      <c r="F127" s="28">
        <f t="shared" si="6"/>
        <v>0</v>
      </c>
    </row>
    <row r="128" spans="1:17" s="59" customFormat="1" ht="42.75" x14ac:dyDescent="0.25">
      <c r="A128" s="29" t="s">
        <v>2416</v>
      </c>
      <c r="B128" s="17" t="s">
        <v>2417</v>
      </c>
      <c r="C128" s="15" t="s">
        <v>1780</v>
      </c>
      <c r="D128" s="16">
        <f>D127</f>
        <v>1395.1200000000001</v>
      </c>
      <c r="E128" s="69">
        <v>0</v>
      </c>
      <c r="F128" s="28">
        <f t="shared" si="6"/>
        <v>0</v>
      </c>
    </row>
    <row r="129" spans="1:10" s="59" customFormat="1" ht="29.25" thickBot="1" x14ac:dyDescent="0.3">
      <c r="A129" s="29" t="s">
        <v>2418</v>
      </c>
      <c r="B129" s="17" t="s">
        <v>2419</v>
      </c>
      <c r="C129" s="15" t="s">
        <v>1800</v>
      </c>
      <c r="D129" s="16">
        <f>135*1.2</f>
        <v>162</v>
      </c>
      <c r="E129" s="69">
        <v>0</v>
      </c>
      <c r="F129" s="28">
        <f t="shared" si="6"/>
        <v>0</v>
      </c>
    </row>
    <row r="130" spans="1:10" ht="18.75" thickBot="1" x14ac:dyDescent="0.3">
      <c r="A130" s="29"/>
      <c r="B130" s="33"/>
      <c r="C130" s="336" t="s">
        <v>2420</v>
      </c>
      <c r="D130" s="337"/>
      <c r="E130" s="338"/>
      <c r="F130" s="18">
        <f>SUM(F104:F129)</f>
        <v>0</v>
      </c>
      <c r="G130" s="8"/>
    </row>
    <row r="131" spans="1:10" ht="18" x14ac:dyDescent="0.25">
      <c r="A131" s="277" t="s">
        <v>2421</v>
      </c>
      <c r="B131" s="35" t="s">
        <v>2422</v>
      </c>
      <c r="C131" s="283"/>
      <c r="D131" s="281"/>
      <c r="E131" s="217"/>
      <c r="F131" s="218"/>
      <c r="G131" s="8"/>
    </row>
    <row r="132" spans="1:10" ht="143.25" x14ac:dyDescent="0.25">
      <c r="A132" s="339" t="s">
        <v>2423</v>
      </c>
      <c r="B132" s="37" t="s">
        <v>2424</v>
      </c>
      <c r="C132" s="347" t="s">
        <v>1780</v>
      </c>
      <c r="D132" s="345">
        <f>110*8*0.9*1.2</f>
        <v>950.4</v>
      </c>
      <c r="E132" s="343">
        <v>0</v>
      </c>
      <c r="F132" s="341">
        <f>ROUND(D132*E132,2)</f>
        <v>0</v>
      </c>
      <c r="G132" s="8"/>
    </row>
    <row r="133" spans="1:10" ht="214.5" x14ac:dyDescent="0.25">
      <c r="A133" s="340"/>
      <c r="B133" s="219" t="s">
        <v>2425</v>
      </c>
      <c r="C133" s="348"/>
      <c r="D133" s="346"/>
      <c r="E133" s="344"/>
      <c r="F133" s="342"/>
      <c r="G133" s="8"/>
    </row>
    <row r="134" spans="1:10" ht="114.75" x14ac:dyDescent="0.25">
      <c r="A134" s="277" t="s">
        <v>2426</v>
      </c>
      <c r="B134" s="37" t="s">
        <v>2427</v>
      </c>
      <c r="C134" s="347" t="s">
        <v>1780</v>
      </c>
      <c r="D134" s="345">
        <f>140*0.6*1.2</f>
        <v>100.8</v>
      </c>
      <c r="E134" s="343">
        <v>0</v>
      </c>
      <c r="F134" s="350">
        <f>ROUND(D134*E134,2)</f>
        <v>0</v>
      </c>
      <c r="G134" s="8"/>
    </row>
    <row r="135" spans="1:10" ht="243" x14ac:dyDescent="0.25">
      <c r="A135" s="278"/>
      <c r="B135" s="220" t="s">
        <v>2428</v>
      </c>
      <c r="C135" s="348"/>
      <c r="D135" s="346"/>
      <c r="E135" s="344"/>
      <c r="F135" s="351"/>
      <c r="G135" s="8"/>
    </row>
    <row r="136" spans="1:10" ht="386.25" x14ac:dyDescent="0.25">
      <c r="A136" s="221" t="s">
        <v>2429</v>
      </c>
      <c r="B136" s="219" t="s">
        <v>2430</v>
      </c>
      <c r="C136" s="222" t="s">
        <v>1780</v>
      </c>
      <c r="D136" s="223">
        <f>46*3.1*1.2</f>
        <v>171.11999999999998</v>
      </c>
      <c r="E136" s="224">
        <v>0</v>
      </c>
      <c r="F136" s="225">
        <f t="shared" ref="F136:F146" si="7">ROUND(D136*E136,2)</f>
        <v>0</v>
      </c>
      <c r="G136" s="8"/>
    </row>
    <row r="137" spans="1:10" ht="228.75" x14ac:dyDescent="0.25">
      <c r="A137" s="339" t="s">
        <v>2431</v>
      </c>
      <c r="B137" s="226" t="s">
        <v>2432</v>
      </c>
      <c r="C137" s="347" t="s">
        <v>1780</v>
      </c>
      <c r="D137" s="345">
        <f>9*8*1.2</f>
        <v>86.399999999999991</v>
      </c>
      <c r="E137" s="343">
        <v>0</v>
      </c>
      <c r="F137" s="341">
        <f>ROUND(D137*E137,2)</f>
        <v>0</v>
      </c>
      <c r="G137" s="8"/>
    </row>
    <row r="138" spans="1:10" ht="171" x14ac:dyDescent="0.25">
      <c r="A138" s="340"/>
      <c r="B138" s="227" t="s">
        <v>2433</v>
      </c>
      <c r="C138" s="348"/>
      <c r="D138" s="346"/>
      <c r="E138" s="344"/>
      <c r="F138" s="342"/>
      <c r="G138" s="8"/>
    </row>
    <row r="139" spans="1:10" ht="315" x14ac:dyDescent="0.25">
      <c r="A139" s="339" t="s">
        <v>2434</v>
      </c>
      <c r="B139" s="37" t="s">
        <v>2435</v>
      </c>
      <c r="C139" s="347" t="s">
        <v>1780</v>
      </c>
      <c r="D139" s="345">
        <f>9*8*1.2</f>
        <v>86.399999999999991</v>
      </c>
      <c r="E139" s="343">
        <v>0</v>
      </c>
      <c r="F139" s="341">
        <f>ROUND(D139*E139,2)</f>
        <v>0</v>
      </c>
      <c r="G139" s="8"/>
    </row>
    <row r="140" spans="1:10" ht="128.25" x14ac:dyDescent="0.25">
      <c r="A140" s="340"/>
      <c r="B140" s="220" t="s">
        <v>2436</v>
      </c>
      <c r="C140" s="348"/>
      <c r="D140" s="346"/>
      <c r="E140" s="344"/>
      <c r="F140" s="342"/>
      <c r="G140" s="8"/>
    </row>
    <row r="141" spans="1:10" ht="357.75" x14ac:dyDescent="0.25">
      <c r="A141" s="278" t="s">
        <v>2437</v>
      </c>
      <c r="B141" s="219" t="s">
        <v>2438</v>
      </c>
      <c r="C141" s="284" t="s">
        <v>1780</v>
      </c>
      <c r="D141" s="282">
        <f>80*1.3*1.2</f>
        <v>124.8</v>
      </c>
      <c r="E141" s="280">
        <v>0</v>
      </c>
      <c r="F141" s="279">
        <f t="shared" si="7"/>
        <v>0</v>
      </c>
      <c r="G141" s="8"/>
      <c r="J141" s="196"/>
    </row>
    <row r="142" spans="1:10" ht="18" x14ac:dyDescent="0.25">
      <c r="A142" s="29"/>
      <c r="B142" s="37"/>
      <c r="C142" s="15"/>
      <c r="D142" s="16"/>
      <c r="E142" s="228"/>
      <c r="F142" s="28"/>
      <c r="G142" s="8"/>
    </row>
    <row r="143" spans="1:10" ht="186" x14ac:dyDescent="0.25">
      <c r="A143" s="29" t="s">
        <v>2439</v>
      </c>
      <c r="B143" s="17" t="s">
        <v>2440</v>
      </c>
      <c r="C143" s="15" t="s">
        <v>1780</v>
      </c>
      <c r="D143" s="16">
        <f>(11*8+5*3)*1.2</f>
        <v>123.6</v>
      </c>
      <c r="E143" s="69">
        <v>0</v>
      </c>
      <c r="F143" s="28">
        <f t="shared" si="7"/>
        <v>0</v>
      </c>
      <c r="G143" s="8"/>
    </row>
    <row r="144" spans="1:10" ht="186" x14ac:dyDescent="0.25">
      <c r="A144" s="29" t="s">
        <v>2441</v>
      </c>
      <c r="B144" s="37" t="s">
        <v>2442</v>
      </c>
      <c r="C144" s="15" t="s">
        <v>1780</v>
      </c>
      <c r="D144" s="16">
        <f>16*3*1.2</f>
        <v>57.599999999999994</v>
      </c>
      <c r="E144" s="69">
        <v>0</v>
      </c>
      <c r="F144" s="28">
        <f t="shared" si="7"/>
        <v>0</v>
      </c>
      <c r="G144" s="8"/>
    </row>
    <row r="145" spans="1:7" ht="156.75" x14ac:dyDescent="0.25">
      <c r="A145" s="29" t="s">
        <v>2443</v>
      </c>
      <c r="B145" s="17" t="s">
        <v>2444</v>
      </c>
      <c r="C145" s="15" t="s">
        <v>1800</v>
      </c>
      <c r="D145" s="16">
        <v>13</v>
      </c>
      <c r="E145" s="69">
        <v>0</v>
      </c>
      <c r="F145" s="28">
        <f t="shared" si="7"/>
        <v>0</v>
      </c>
      <c r="G145" s="8"/>
    </row>
    <row r="146" spans="1:7" ht="57.75" thickBot="1" x14ac:dyDescent="0.3">
      <c r="A146" s="29" t="s">
        <v>2445</v>
      </c>
      <c r="B146" s="17" t="s">
        <v>2446</v>
      </c>
      <c r="C146" s="15" t="s">
        <v>1800</v>
      </c>
      <c r="D146" s="16">
        <v>18</v>
      </c>
      <c r="E146" s="69">
        <v>0</v>
      </c>
      <c r="F146" s="28">
        <f t="shared" si="7"/>
        <v>0</v>
      </c>
      <c r="G146" s="8"/>
    </row>
    <row r="147" spans="1:7" ht="33.75" customHeight="1" thickBot="1" x14ac:dyDescent="0.3">
      <c r="A147" s="29"/>
      <c r="B147" s="33"/>
      <c r="C147" s="336" t="s">
        <v>2447</v>
      </c>
      <c r="D147" s="337"/>
      <c r="E147" s="338"/>
      <c r="F147" s="18">
        <f>SUM(F132:F146)</f>
        <v>0</v>
      </c>
      <c r="G147" s="8"/>
    </row>
    <row r="148" spans="1:7" ht="18.75" thickBot="1" x14ac:dyDescent="0.3">
      <c r="A148" s="221"/>
      <c r="B148" s="213"/>
      <c r="C148" s="23"/>
      <c r="D148" s="24"/>
      <c r="E148" s="209"/>
      <c r="F148" s="210"/>
      <c r="G148" s="8"/>
    </row>
    <row r="149" spans="1:7" ht="18.75" thickBot="1" x14ac:dyDescent="0.3">
      <c r="A149" s="264"/>
      <c r="B149" s="269"/>
      <c r="C149" s="336" t="s">
        <v>2448</v>
      </c>
      <c r="D149" s="337"/>
      <c r="E149" s="338"/>
      <c r="F149" s="18">
        <f>F22+F49+F101+F130+F147</f>
        <v>0</v>
      </c>
      <c r="G149" s="8"/>
    </row>
    <row r="150" spans="1:7" ht="29.25" customHeight="1" x14ac:dyDescent="0.25">
      <c r="A150" s="182"/>
      <c r="B150" s="183"/>
      <c r="C150" s="184"/>
      <c r="D150" s="185"/>
      <c r="E150" s="229"/>
      <c r="F150" s="230"/>
      <c r="G150" s="8"/>
    </row>
    <row r="151" spans="1:7" ht="18" x14ac:dyDescent="0.25">
      <c r="A151" s="182"/>
      <c r="B151" s="183"/>
      <c r="C151" s="184"/>
      <c r="D151" s="185"/>
      <c r="E151" s="229"/>
      <c r="F151" s="230"/>
      <c r="G151" s="8"/>
    </row>
    <row r="152" spans="1:7" ht="18" x14ac:dyDescent="0.25">
      <c r="A152" s="182"/>
      <c r="B152" s="183"/>
      <c r="C152" s="184"/>
      <c r="D152" s="185"/>
      <c r="E152" s="229"/>
      <c r="F152" s="230"/>
      <c r="G152" s="8"/>
    </row>
    <row r="153" spans="1:7" x14ac:dyDescent="0.2">
      <c r="A153" s="275"/>
      <c r="B153" s="78"/>
      <c r="C153" s="189"/>
      <c r="D153" s="185"/>
      <c r="E153" s="229"/>
      <c r="F153" s="230"/>
    </row>
    <row r="154" spans="1:7" x14ac:dyDescent="0.2">
      <c r="A154" s="275"/>
      <c r="B154" s="78"/>
      <c r="C154" s="189"/>
      <c r="D154" s="185"/>
      <c r="E154" s="229"/>
      <c r="F154" s="230"/>
    </row>
    <row r="155" spans="1:7" x14ac:dyDescent="0.2">
      <c r="A155" s="275"/>
      <c r="B155" s="78"/>
      <c r="C155" s="189"/>
      <c r="D155" s="185"/>
      <c r="E155" s="229"/>
      <c r="F155" s="230"/>
    </row>
    <row r="156" spans="1:7" x14ac:dyDescent="0.2">
      <c r="A156" s="275"/>
      <c r="B156" s="78"/>
      <c r="C156" s="189"/>
      <c r="D156" s="185"/>
      <c r="E156" s="229"/>
      <c r="F156" s="230"/>
    </row>
    <row r="157" spans="1:7" x14ac:dyDescent="0.2">
      <c r="A157" s="275"/>
      <c r="B157" s="78"/>
      <c r="C157" s="189"/>
      <c r="D157" s="185"/>
      <c r="E157" s="229"/>
      <c r="F157" s="230"/>
    </row>
    <row r="158" spans="1:7" x14ac:dyDescent="0.2">
      <c r="A158" s="275"/>
      <c r="B158" s="78"/>
      <c r="C158" s="189"/>
      <c r="D158" s="185"/>
      <c r="E158" s="229"/>
      <c r="F158" s="230"/>
    </row>
    <row r="159" spans="1:7" x14ac:dyDescent="0.2">
      <c r="A159" s="275"/>
      <c r="B159" s="78"/>
      <c r="C159" s="189"/>
      <c r="D159" s="185"/>
      <c r="E159" s="229"/>
      <c r="F159" s="230"/>
    </row>
    <row r="160" spans="1:7" x14ac:dyDescent="0.2">
      <c r="A160" s="275"/>
      <c r="B160" s="78"/>
      <c r="C160" s="189"/>
      <c r="D160" s="185"/>
      <c r="E160" s="229"/>
      <c r="F160" s="230"/>
    </row>
    <row r="161" spans="1:6" x14ac:dyDescent="0.2">
      <c r="A161" s="275"/>
      <c r="B161" s="78"/>
      <c r="C161" s="189"/>
      <c r="D161" s="185"/>
      <c r="E161" s="229"/>
      <c r="F161" s="230"/>
    </row>
    <row r="162" spans="1:6" x14ac:dyDescent="0.2">
      <c r="A162" s="275"/>
      <c r="B162" s="78"/>
      <c r="C162" s="189"/>
      <c r="D162" s="185"/>
      <c r="E162" s="229"/>
      <c r="F162" s="230"/>
    </row>
    <row r="163" spans="1:6" x14ac:dyDescent="0.2">
      <c r="A163" s="275"/>
      <c r="B163" s="78"/>
      <c r="C163" s="189"/>
      <c r="D163" s="185"/>
      <c r="E163" s="229"/>
      <c r="F163" s="230"/>
    </row>
    <row r="164" spans="1:6" x14ac:dyDescent="0.2">
      <c r="A164" s="275"/>
      <c r="B164" s="78"/>
      <c r="C164" s="189"/>
      <c r="D164" s="185"/>
      <c r="E164" s="229"/>
      <c r="F164" s="230"/>
    </row>
    <row r="165" spans="1:6" x14ac:dyDescent="0.2">
      <c r="A165" s="275"/>
      <c r="B165" s="78"/>
      <c r="C165" s="189"/>
      <c r="D165" s="185"/>
      <c r="E165" s="229"/>
      <c r="F165" s="230"/>
    </row>
    <row r="166" spans="1:6" x14ac:dyDescent="0.2">
      <c r="A166" s="275"/>
      <c r="B166" s="78"/>
      <c r="C166" s="189"/>
      <c r="D166" s="185"/>
      <c r="E166" s="229"/>
      <c r="F166" s="230"/>
    </row>
    <row r="167" spans="1:6" x14ac:dyDescent="0.2">
      <c r="A167" s="275"/>
      <c r="B167" s="78"/>
      <c r="C167" s="189"/>
      <c r="D167" s="185"/>
      <c r="E167" s="229"/>
      <c r="F167" s="230"/>
    </row>
    <row r="168" spans="1:6" x14ac:dyDescent="0.2">
      <c r="A168" s="275"/>
      <c r="B168" s="78"/>
      <c r="C168" s="189"/>
      <c r="D168" s="185"/>
      <c r="E168" s="229"/>
      <c r="F168" s="230"/>
    </row>
    <row r="169" spans="1:6" x14ac:dyDescent="0.2">
      <c r="A169" s="275"/>
      <c r="B169" s="78"/>
      <c r="C169" s="189"/>
      <c r="D169" s="185"/>
      <c r="E169" s="229"/>
      <c r="F169" s="230"/>
    </row>
    <row r="170" spans="1:6" x14ac:dyDescent="0.2">
      <c r="A170" s="275"/>
      <c r="B170" s="78"/>
      <c r="C170" s="189"/>
      <c r="D170" s="185"/>
      <c r="E170" s="229"/>
      <c r="F170" s="230"/>
    </row>
    <row r="171" spans="1:6" x14ac:dyDescent="0.2">
      <c r="A171" s="275"/>
      <c r="B171" s="78"/>
      <c r="C171" s="189"/>
      <c r="D171" s="185"/>
      <c r="E171" s="229"/>
      <c r="F171" s="230"/>
    </row>
    <row r="172" spans="1:6" x14ac:dyDescent="0.2">
      <c r="A172" s="275"/>
      <c r="B172" s="78"/>
      <c r="C172" s="189"/>
      <c r="D172" s="185"/>
      <c r="E172" s="229"/>
      <c r="F172" s="230"/>
    </row>
    <row r="173" spans="1:6" x14ac:dyDescent="0.2">
      <c r="A173" s="275"/>
      <c r="B173" s="78"/>
      <c r="C173" s="189"/>
      <c r="D173" s="185"/>
      <c r="E173" s="229"/>
      <c r="F173" s="230"/>
    </row>
    <row r="174" spans="1:6" x14ac:dyDescent="0.2">
      <c r="A174" s="275"/>
      <c r="B174" s="78"/>
      <c r="C174" s="189"/>
      <c r="D174" s="185"/>
      <c r="E174" s="229"/>
      <c r="F174" s="230"/>
    </row>
    <row r="175" spans="1:6" x14ac:dyDescent="0.2">
      <c r="A175" s="275"/>
      <c r="B175" s="78"/>
      <c r="C175" s="189"/>
      <c r="D175" s="185"/>
      <c r="E175" s="229"/>
      <c r="F175" s="230"/>
    </row>
    <row r="176" spans="1:6" x14ac:dyDescent="0.2">
      <c r="A176" s="275"/>
      <c r="B176" s="78"/>
      <c r="C176" s="189"/>
      <c r="D176" s="185"/>
      <c r="E176" s="229"/>
      <c r="F176" s="230"/>
    </row>
    <row r="177" spans="1:6" x14ac:dyDescent="0.2">
      <c r="A177" s="275"/>
      <c r="B177" s="78"/>
      <c r="C177" s="189"/>
      <c r="D177" s="185"/>
      <c r="E177" s="229"/>
      <c r="F177" s="230"/>
    </row>
    <row r="178" spans="1:6" x14ac:dyDescent="0.2">
      <c r="A178" s="275"/>
      <c r="B178" s="78"/>
      <c r="C178" s="189"/>
      <c r="D178" s="185"/>
      <c r="E178" s="229"/>
      <c r="F178" s="230"/>
    </row>
    <row r="179" spans="1:6" x14ac:dyDescent="0.2">
      <c r="A179" s="275"/>
      <c r="B179" s="78"/>
      <c r="C179" s="189"/>
      <c r="D179" s="185"/>
      <c r="E179" s="229"/>
      <c r="F179" s="230"/>
    </row>
    <row r="180" spans="1:6" x14ac:dyDescent="0.2">
      <c r="A180" s="275"/>
      <c r="B180" s="78"/>
      <c r="C180" s="189"/>
      <c r="D180" s="185"/>
      <c r="E180" s="229"/>
      <c r="F180" s="230"/>
    </row>
    <row r="181" spans="1:6" x14ac:dyDescent="0.2">
      <c r="A181" s="275"/>
      <c r="B181" s="78"/>
      <c r="C181" s="189"/>
      <c r="D181" s="185"/>
      <c r="E181" s="229"/>
      <c r="F181" s="230"/>
    </row>
    <row r="182" spans="1:6" x14ac:dyDescent="0.2">
      <c r="A182" s="275"/>
      <c r="B182" s="78"/>
      <c r="C182" s="189"/>
      <c r="D182" s="185"/>
      <c r="E182" s="229"/>
      <c r="F182" s="230"/>
    </row>
    <row r="183" spans="1:6" x14ac:dyDescent="0.2">
      <c r="A183" s="275"/>
      <c r="B183" s="78"/>
      <c r="C183" s="189"/>
      <c r="D183" s="185"/>
      <c r="E183" s="229"/>
      <c r="F183" s="230"/>
    </row>
    <row r="184" spans="1:6" x14ac:dyDescent="0.2">
      <c r="A184" s="275"/>
      <c r="B184" s="78"/>
      <c r="C184" s="189"/>
      <c r="D184" s="185"/>
      <c r="E184" s="229"/>
      <c r="F184" s="230"/>
    </row>
    <row r="185" spans="1:6" x14ac:dyDescent="0.2">
      <c r="A185" s="275"/>
      <c r="B185" s="78"/>
      <c r="C185" s="189"/>
      <c r="D185" s="185"/>
      <c r="E185" s="229"/>
      <c r="F185" s="230"/>
    </row>
    <row r="186" spans="1:6" x14ac:dyDescent="0.2">
      <c r="A186" s="275"/>
      <c r="B186" s="78"/>
      <c r="C186" s="189"/>
      <c r="D186" s="185"/>
      <c r="E186" s="229"/>
      <c r="F186" s="230"/>
    </row>
    <row r="187" spans="1:6" x14ac:dyDescent="0.2">
      <c r="A187" s="275"/>
      <c r="B187" s="78"/>
      <c r="C187" s="189"/>
      <c r="D187" s="185"/>
      <c r="E187" s="229"/>
      <c r="F187" s="230"/>
    </row>
    <row r="188" spans="1:6" x14ac:dyDescent="0.2">
      <c r="A188" s="275"/>
      <c r="B188" s="78"/>
      <c r="C188" s="189"/>
      <c r="D188" s="185"/>
      <c r="E188" s="229"/>
      <c r="F188" s="230"/>
    </row>
    <row r="189" spans="1:6" x14ac:dyDescent="0.2">
      <c r="A189" s="275"/>
      <c r="B189" s="78"/>
      <c r="C189" s="189"/>
      <c r="D189" s="185"/>
      <c r="E189" s="229"/>
      <c r="F189" s="230"/>
    </row>
    <row r="190" spans="1:6" x14ac:dyDescent="0.2">
      <c r="A190" s="275"/>
      <c r="B190" s="78"/>
      <c r="C190" s="189"/>
      <c r="D190" s="185"/>
      <c r="E190" s="229"/>
      <c r="F190" s="230"/>
    </row>
    <row r="191" spans="1:6" x14ac:dyDescent="0.2">
      <c r="A191" s="275"/>
      <c r="B191" s="78"/>
      <c r="C191" s="189"/>
      <c r="D191" s="185"/>
      <c r="E191" s="229"/>
      <c r="F191" s="230"/>
    </row>
    <row r="192" spans="1:6" x14ac:dyDescent="0.2">
      <c r="A192" s="275"/>
      <c r="B192" s="78"/>
      <c r="C192" s="189"/>
      <c r="D192" s="185"/>
      <c r="E192" s="229"/>
      <c r="F192" s="230"/>
    </row>
    <row r="193" spans="1:6" x14ac:dyDescent="0.2">
      <c r="A193" s="275"/>
      <c r="B193" s="78"/>
      <c r="C193" s="189"/>
      <c r="D193" s="185"/>
      <c r="E193" s="229"/>
      <c r="F193" s="230"/>
    </row>
    <row r="194" spans="1:6" x14ac:dyDescent="0.2">
      <c r="A194" s="275"/>
      <c r="B194" s="78"/>
      <c r="C194" s="189"/>
      <c r="D194" s="185"/>
      <c r="E194" s="229"/>
      <c r="F194" s="230"/>
    </row>
    <row r="195" spans="1:6" x14ac:dyDescent="0.2">
      <c r="A195" s="275"/>
      <c r="B195" s="78"/>
      <c r="C195" s="189"/>
      <c r="D195" s="185"/>
      <c r="E195" s="229"/>
      <c r="F195" s="230"/>
    </row>
    <row r="196" spans="1:6" x14ac:dyDescent="0.2">
      <c r="A196" s="275"/>
      <c r="B196" s="78"/>
      <c r="C196" s="189"/>
      <c r="D196" s="185"/>
      <c r="E196" s="229"/>
      <c r="F196" s="230"/>
    </row>
    <row r="197" spans="1:6" x14ac:dyDescent="0.2">
      <c r="A197" s="275"/>
      <c r="B197" s="78"/>
      <c r="C197" s="189"/>
      <c r="D197" s="185"/>
      <c r="E197" s="229"/>
      <c r="F197" s="230"/>
    </row>
    <row r="198" spans="1:6" x14ac:dyDescent="0.2">
      <c r="A198" s="275"/>
      <c r="B198" s="78"/>
      <c r="C198" s="189"/>
      <c r="D198" s="185"/>
      <c r="E198" s="229"/>
      <c r="F198" s="230"/>
    </row>
    <row r="199" spans="1:6" x14ac:dyDescent="0.2">
      <c r="A199" s="275"/>
      <c r="B199" s="78"/>
      <c r="C199" s="189"/>
      <c r="D199" s="185"/>
      <c r="E199" s="229"/>
      <c r="F199" s="230"/>
    </row>
    <row r="200" spans="1:6" x14ac:dyDescent="0.2">
      <c r="A200" s="275"/>
      <c r="B200" s="78"/>
      <c r="C200" s="189"/>
      <c r="D200" s="185"/>
      <c r="E200" s="229"/>
      <c r="F200" s="230"/>
    </row>
    <row r="201" spans="1:6" x14ac:dyDescent="0.2">
      <c r="A201" s="275"/>
      <c r="B201" s="78"/>
      <c r="C201" s="189"/>
      <c r="D201" s="185"/>
      <c r="E201" s="229"/>
      <c r="F201" s="230"/>
    </row>
    <row r="202" spans="1:6" x14ac:dyDescent="0.2">
      <c r="A202" s="275"/>
      <c r="B202" s="78"/>
      <c r="C202" s="189"/>
      <c r="D202" s="185"/>
      <c r="E202" s="229"/>
      <c r="F202" s="230"/>
    </row>
    <row r="203" spans="1:6" x14ac:dyDescent="0.2">
      <c r="A203" s="275"/>
      <c r="B203" s="78"/>
      <c r="C203" s="189"/>
      <c r="D203" s="185"/>
      <c r="E203" s="229"/>
      <c r="F203" s="230"/>
    </row>
    <row r="204" spans="1:6" x14ac:dyDescent="0.2">
      <c r="A204" s="275"/>
      <c r="B204" s="78"/>
      <c r="C204" s="189"/>
      <c r="D204" s="185"/>
      <c r="E204" s="229"/>
      <c r="F204" s="230"/>
    </row>
    <row r="205" spans="1:6" x14ac:dyDescent="0.2">
      <c r="A205" s="275"/>
      <c r="B205" s="78"/>
      <c r="C205" s="189"/>
      <c r="D205" s="185"/>
      <c r="E205" s="229"/>
      <c r="F205" s="230"/>
    </row>
    <row r="206" spans="1:6" x14ac:dyDescent="0.2">
      <c r="A206" s="275"/>
      <c r="B206" s="78"/>
      <c r="C206" s="189"/>
      <c r="D206" s="185"/>
      <c r="E206" s="229"/>
      <c r="F206" s="230"/>
    </row>
    <row r="207" spans="1:6" x14ac:dyDescent="0.2">
      <c r="A207" s="275"/>
      <c r="B207" s="78"/>
      <c r="C207" s="189"/>
      <c r="D207" s="185"/>
      <c r="E207" s="229"/>
      <c r="F207" s="230"/>
    </row>
    <row r="208" spans="1:6" x14ac:dyDescent="0.2">
      <c r="A208" s="275"/>
      <c r="B208" s="78"/>
      <c r="C208" s="189"/>
      <c r="D208" s="185"/>
      <c r="E208" s="229"/>
      <c r="F208" s="230"/>
    </row>
    <row r="209" spans="1:6" x14ac:dyDescent="0.2">
      <c r="A209" s="275"/>
      <c r="B209" s="78"/>
      <c r="C209" s="189"/>
      <c r="D209" s="185"/>
      <c r="E209" s="229"/>
      <c r="F209" s="230"/>
    </row>
    <row r="210" spans="1:6" x14ac:dyDescent="0.2">
      <c r="A210" s="275"/>
      <c r="B210" s="78"/>
      <c r="C210" s="189"/>
      <c r="D210" s="185"/>
      <c r="E210" s="229"/>
      <c r="F210" s="230"/>
    </row>
    <row r="211" spans="1:6" x14ac:dyDescent="0.2">
      <c r="A211" s="275"/>
      <c r="B211" s="78"/>
      <c r="C211" s="189"/>
      <c r="D211" s="185"/>
      <c r="E211" s="229"/>
      <c r="F211" s="230"/>
    </row>
    <row r="212" spans="1:6" x14ac:dyDescent="0.2">
      <c r="A212" s="275"/>
      <c r="B212" s="78"/>
      <c r="C212" s="189"/>
      <c r="D212" s="185"/>
      <c r="E212" s="229"/>
      <c r="F212" s="230"/>
    </row>
    <row r="213" spans="1:6" x14ac:dyDescent="0.2">
      <c r="A213" s="275"/>
      <c r="B213" s="78"/>
      <c r="C213" s="189"/>
      <c r="D213" s="185"/>
      <c r="E213" s="229"/>
      <c r="F213" s="230"/>
    </row>
    <row r="214" spans="1:6" x14ac:dyDescent="0.2">
      <c r="A214" s="275"/>
      <c r="B214" s="78"/>
      <c r="C214" s="189"/>
      <c r="D214" s="185"/>
      <c r="E214" s="229"/>
      <c r="F214" s="230"/>
    </row>
    <row r="215" spans="1:6" x14ac:dyDescent="0.2">
      <c r="A215" s="275"/>
      <c r="B215" s="78"/>
      <c r="C215" s="189"/>
      <c r="D215" s="185"/>
      <c r="E215" s="229"/>
      <c r="F215" s="230"/>
    </row>
    <row r="216" spans="1:6" x14ac:dyDescent="0.2">
      <c r="A216" s="275"/>
      <c r="B216" s="78"/>
      <c r="C216" s="189"/>
      <c r="D216" s="185"/>
      <c r="E216" s="229"/>
      <c r="F216" s="230"/>
    </row>
    <row r="217" spans="1:6" x14ac:dyDescent="0.2">
      <c r="A217" s="275"/>
      <c r="B217" s="78"/>
      <c r="C217" s="189"/>
      <c r="D217" s="185"/>
      <c r="E217" s="229"/>
      <c r="F217" s="230"/>
    </row>
    <row r="218" spans="1:6" x14ac:dyDescent="0.2">
      <c r="A218" s="275"/>
      <c r="B218" s="78"/>
      <c r="C218" s="189"/>
      <c r="D218" s="185"/>
      <c r="E218" s="229"/>
      <c r="F218" s="230"/>
    </row>
    <row r="219" spans="1:6" x14ac:dyDescent="0.2">
      <c r="A219" s="275"/>
      <c r="B219" s="78"/>
      <c r="C219" s="189"/>
      <c r="D219" s="185"/>
      <c r="E219" s="229"/>
      <c r="F219" s="230"/>
    </row>
    <row r="220" spans="1:6" x14ac:dyDescent="0.2">
      <c r="A220" s="275"/>
      <c r="B220" s="78"/>
      <c r="C220" s="189"/>
      <c r="D220" s="185"/>
      <c r="E220" s="229"/>
      <c r="F220" s="230"/>
    </row>
    <row r="221" spans="1:6" x14ac:dyDescent="0.2">
      <c r="A221" s="275"/>
      <c r="B221" s="78"/>
      <c r="C221" s="189"/>
      <c r="D221" s="185"/>
      <c r="E221" s="229"/>
      <c r="F221" s="230"/>
    </row>
    <row r="222" spans="1:6" x14ac:dyDescent="0.2">
      <c r="A222" s="275"/>
      <c r="B222" s="78"/>
      <c r="C222" s="189"/>
      <c r="D222" s="185"/>
      <c r="E222" s="229"/>
      <c r="F222" s="230"/>
    </row>
    <row r="223" spans="1:6" x14ac:dyDescent="0.2">
      <c r="A223" s="275"/>
      <c r="B223" s="78"/>
      <c r="C223" s="189"/>
      <c r="D223" s="185"/>
      <c r="E223" s="229"/>
      <c r="F223" s="230"/>
    </row>
    <row r="224" spans="1:6" x14ac:dyDescent="0.2">
      <c r="A224" s="275"/>
      <c r="B224" s="78"/>
      <c r="C224" s="189"/>
      <c r="D224" s="185"/>
      <c r="E224" s="229"/>
      <c r="F224" s="230"/>
    </row>
    <row r="225" spans="1:6" x14ac:dyDescent="0.2">
      <c r="A225" s="275"/>
      <c r="B225" s="78"/>
      <c r="C225" s="189"/>
      <c r="D225" s="185"/>
      <c r="E225" s="229"/>
      <c r="F225" s="230"/>
    </row>
    <row r="226" spans="1:6" x14ac:dyDescent="0.2">
      <c r="A226" s="275"/>
      <c r="B226" s="78"/>
      <c r="C226" s="189"/>
      <c r="D226" s="185"/>
      <c r="E226" s="229"/>
      <c r="F226" s="230"/>
    </row>
    <row r="227" spans="1:6" x14ac:dyDescent="0.2">
      <c r="A227" s="275"/>
      <c r="B227" s="78"/>
      <c r="C227" s="189"/>
      <c r="D227" s="185"/>
      <c r="E227" s="229"/>
      <c r="F227" s="230"/>
    </row>
    <row r="228" spans="1:6" x14ac:dyDescent="0.2">
      <c r="A228" s="275"/>
      <c r="B228" s="78"/>
      <c r="C228" s="189"/>
      <c r="D228" s="185"/>
      <c r="E228" s="229"/>
      <c r="F228" s="230"/>
    </row>
    <row r="229" spans="1:6" x14ac:dyDescent="0.2">
      <c r="A229" s="275"/>
      <c r="B229" s="78"/>
      <c r="C229" s="189"/>
      <c r="D229" s="185"/>
      <c r="E229" s="229"/>
      <c r="F229" s="230"/>
    </row>
    <row r="230" spans="1:6" x14ac:dyDescent="0.2">
      <c r="A230" s="275"/>
      <c r="B230" s="78"/>
      <c r="C230" s="189"/>
      <c r="D230" s="185"/>
      <c r="E230" s="229"/>
      <c r="F230" s="230"/>
    </row>
    <row r="231" spans="1:6" x14ac:dyDescent="0.2">
      <c r="A231" s="275"/>
      <c r="B231" s="78"/>
      <c r="C231" s="189"/>
      <c r="D231" s="185"/>
      <c r="E231" s="229"/>
      <c r="F231" s="230"/>
    </row>
    <row r="232" spans="1:6" x14ac:dyDescent="0.2">
      <c r="A232" s="275"/>
      <c r="B232" s="78"/>
      <c r="C232" s="189"/>
      <c r="D232" s="185"/>
      <c r="E232" s="229"/>
      <c r="F232" s="230"/>
    </row>
    <row r="233" spans="1:6" x14ac:dyDescent="0.2">
      <c r="A233" s="275"/>
      <c r="B233" s="78"/>
      <c r="C233" s="189"/>
      <c r="D233" s="185"/>
      <c r="E233" s="229"/>
      <c r="F233" s="230"/>
    </row>
    <row r="234" spans="1:6" x14ac:dyDescent="0.2">
      <c r="A234" s="275"/>
      <c r="B234" s="78"/>
      <c r="C234" s="189"/>
      <c r="D234" s="185"/>
      <c r="E234" s="229"/>
      <c r="F234" s="230"/>
    </row>
    <row r="235" spans="1:6" x14ac:dyDescent="0.2">
      <c r="A235" s="275"/>
      <c r="B235" s="78"/>
      <c r="C235" s="189"/>
      <c r="D235" s="185"/>
      <c r="E235" s="229"/>
      <c r="F235" s="230"/>
    </row>
    <row r="236" spans="1:6" x14ac:dyDescent="0.2">
      <c r="A236" s="275"/>
      <c r="B236" s="78"/>
      <c r="C236" s="189"/>
      <c r="D236" s="185"/>
      <c r="E236" s="229"/>
      <c r="F236" s="230"/>
    </row>
    <row r="237" spans="1:6" x14ac:dyDescent="0.2">
      <c r="A237" s="275"/>
      <c r="B237" s="78"/>
      <c r="C237" s="189"/>
      <c r="D237" s="185"/>
      <c r="E237" s="229"/>
      <c r="F237" s="230"/>
    </row>
    <row r="238" spans="1:6" x14ac:dyDescent="0.2">
      <c r="A238" s="275"/>
      <c r="B238" s="78"/>
      <c r="C238" s="189"/>
      <c r="D238" s="185"/>
      <c r="E238" s="229"/>
      <c r="F238" s="230"/>
    </row>
    <row r="239" spans="1:6" x14ac:dyDescent="0.2">
      <c r="A239" s="275"/>
      <c r="B239" s="78"/>
      <c r="C239" s="189"/>
      <c r="D239" s="185"/>
      <c r="E239" s="229"/>
      <c r="F239" s="230"/>
    </row>
    <row r="240" spans="1:6" x14ac:dyDescent="0.2">
      <c r="A240" s="275"/>
      <c r="B240" s="78"/>
      <c r="C240" s="189"/>
      <c r="D240" s="185"/>
      <c r="E240" s="229"/>
      <c r="F240" s="230"/>
    </row>
    <row r="241" spans="1:6" x14ac:dyDescent="0.2">
      <c r="A241" s="275"/>
      <c r="B241" s="78"/>
      <c r="C241" s="189"/>
      <c r="D241" s="185"/>
      <c r="E241" s="229"/>
      <c r="F241" s="230"/>
    </row>
    <row r="242" spans="1:6" x14ac:dyDescent="0.2">
      <c r="A242" s="275"/>
      <c r="B242" s="78"/>
      <c r="C242" s="189"/>
      <c r="D242" s="185"/>
      <c r="E242" s="229"/>
      <c r="F242" s="230"/>
    </row>
    <row r="243" spans="1:6" x14ac:dyDescent="0.2">
      <c r="A243" s="275"/>
      <c r="B243" s="78"/>
      <c r="C243" s="189"/>
      <c r="D243" s="185"/>
      <c r="E243" s="229"/>
      <c r="F243" s="230"/>
    </row>
    <row r="244" spans="1:6" x14ac:dyDescent="0.2">
      <c r="A244" s="275"/>
      <c r="B244" s="78"/>
      <c r="C244" s="189"/>
      <c r="D244" s="185"/>
      <c r="E244" s="229"/>
      <c r="F244" s="230"/>
    </row>
    <row r="245" spans="1:6" x14ac:dyDescent="0.2">
      <c r="A245" s="275"/>
      <c r="B245" s="78"/>
      <c r="C245" s="189"/>
      <c r="D245" s="185"/>
      <c r="E245" s="229"/>
      <c r="F245" s="230"/>
    </row>
    <row r="246" spans="1:6" x14ac:dyDescent="0.2">
      <c r="A246" s="275"/>
      <c r="B246" s="78"/>
      <c r="C246" s="189"/>
      <c r="D246" s="185"/>
      <c r="E246" s="229"/>
      <c r="F246" s="230"/>
    </row>
    <row r="247" spans="1:6" x14ac:dyDescent="0.2">
      <c r="A247" s="275"/>
      <c r="B247" s="78"/>
      <c r="C247" s="189"/>
      <c r="D247" s="185"/>
      <c r="E247" s="229"/>
      <c r="F247" s="230"/>
    </row>
    <row r="248" spans="1:6" x14ac:dyDescent="0.2">
      <c r="A248" s="275"/>
      <c r="B248" s="78"/>
      <c r="C248" s="189"/>
      <c r="D248" s="185"/>
      <c r="E248" s="229"/>
      <c r="F248" s="230"/>
    </row>
    <row r="249" spans="1:6" x14ac:dyDescent="0.2">
      <c r="A249" s="275"/>
      <c r="B249" s="78"/>
      <c r="C249" s="189"/>
      <c r="D249" s="185"/>
      <c r="E249" s="229"/>
      <c r="F249" s="230"/>
    </row>
    <row r="250" spans="1:6" x14ac:dyDescent="0.2">
      <c r="A250" s="275"/>
      <c r="B250" s="78"/>
      <c r="C250" s="189"/>
      <c r="D250" s="185"/>
      <c r="E250" s="229"/>
      <c r="F250" s="230"/>
    </row>
    <row r="251" spans="1:6" x14ac:dyDescent="0.2">
      <c r="A251" s="275"/>
      <c r="B251" s="78"/>
      <c r="C251" s="189"/>
      <c r="D251" s="185"/>
      <c r="E251" s="229"/>
      <c r="F251" s="230"/>
    </row>
    <row r="252" spans="1:6" x14ac:dyDescent="0.2">
      <c r="A252" s="275"/>
      <c r="B252" s="78"/>
      <c r="C252" s="189"/>
      <c r="D252" s="185"/>
      <c r="E252" s="229"/>
      <c r="F252" s="230"/>
    </row>
    <row r="253" spans="1:6" x14ac:dyDescent="0.2">
      <c r="A253" s="275"/>
      <c r="B253" s="78"/>
      <c r="C253" s="189"/>
      <c r="D253" s="185"/>
      <c r="E253" s="229"/>
      <c r="F253" s="230"/>
    </row>
    <row r="254" spans="1:6" x14ac:dyDescent="0.2">
      <c r="A254" s="275"/>
      <c r="B254" s="78"/>
      <c r="C254" s="189"/>
      <c r="D254" s="185"/>
      <c r="E254" s="229"/>
      <c r="F254" s="230"/>
    </row>
    <row r="255" spans="1:6" x14ac:dyDescent="0.2">
      <c r="A255" s="275"/>
      <c r="B255" s="78"/>
      <c r="C255" s="189"/>
      <c r="D255" s="185"/>
      <c r="E255" s="229"/>
      <c r="F255" s="230"/>
    </row>
    <row r="256" spans="1:6" x14ac:dyDescent="0.2">
      <c r="A256" s="275"/>
      <c r="B256" s="78"/>
      <c r="C256" s="189"/>
      <c r="D256" s="185"/>
      <c r="E256" s="229"/>
      <c r="F256" s="230"/>
    </row>
    <row r="257" spans="1:6" x14ac:dyDescent="0.2">
      <c r="A257" s="275"/>
      <c r="B257" s="78"/>
      <c r="C257" s="189"/>
      <c r="D257" s="185"/>
      <c r="E257" s="229"/>
      <c r="F257" s="230"/>
    </row>
    <row r="258" spans="1:6" x14ac:dyDescent="0.2">
      <c r="A258" s="275"/>
      <c r="B258" s="78"/>
      <c r="C258" s="189"/>
      <c r="D258" s="185"/>
      <c r="E258" s="229"/>
      <c r="F258" s="230"/>
    </row>
    <row r="259" spans="1:6" x14ac:dyDescent="0.2">
      <c r="A259" s="275"/>
      <c r="B259" s="78"/>
      <c r="C259" s="189"/>
      <c r="D259" s="185"/>
      <c r="E259" s="229"/>
      <c r="F259" s="230"/>
    </row>
    <row r="260" spans="1:6" x14ac:dyDescent="0.2">
      <c r="A260" s="275"/>
      <c r="B260" s="78"/>
      <c r="C260" s="189"/>
      <c r="D260" s="185"/>
      <c r="E260" s="229"/>
      <c r="F260" s="230"/>
    </row>
    <row r="261" spans="1:6" x14ac:dyDescent="0.2">
      <c r="A261" s="275"/>
      <c r="B261" s="78"/>
      <c r="C261" s="189"/>
      <c r="D261" s="185"/>
      <c r="E261" s="229"/>
      <c r="F261" s="230"/>
    </row>
    <row r="262" spans="1:6" x14ac:dyDescent="0.2">
      <c r="A262" s="275"/>
      <c r="B262" s="78"/>
      <c r="C262" s="189"/>
      <c r="D262" s="185"/>
      <c r="E262" s="229"/>
      <c r="F262" s="230"/>
    </row>
    <row r="263" spans="1:6" x14ac:dyDescent="0.2">
      <c r="A263" s="275"/>
      <c r="B263" s="78"/>
      <c r="C263" s="189"/>
      <c r="D263" s="185"/>
      <c r="E263" s="229"/>
      <c r="F263" s="230"/>
    </row>
    <row r="264" spans="1:6" x14ac:dyDescent="0.2">
      <c r="A264" s="275"/>
      <c r="B264" s="78"/>
      <c r="C264" s="189"/>
      <c r="D264" s="185"/>
      <c r="E264" s="229"/>
      <c r="F264" s="230"/>
    </row>
    <row r="265" spans="1:6" x14ac:dyDescent="0.2">
      <c r="A265" s="275"/>
      <c r="B265" s="78"/>
      <c r="C265" s="189"/>
      <c r="D265" s="185"/>
      <c r="E265" s="229"/>
      <c r="F265" s="230"/>
    </row>
    <row r="266" spans="1:6" x14ac:dyDescent="0.2">
      <c r="A266" s="275"/>
      <c r="B266" s="78"/>
      <c r="C266" s="189"/>
      <c r="D266" s="185"/>
      <c r="E266" s="229"/>
      <c r="F266" s="230"/>
    </row>
    <row r="267" spans="1:6" x14ac:dyDescent="0.2">
      <c r="A267" s="275"/>
      <c r="B267" s="78"/>
      <c r="C267" s="189"/>
      <c r="D267" s="185"/>
      <c r="E267" s="229"/>
      <c r="F267" s="230"/>
    </row>
    <row r="268" spans="1:6" x14ac:dyDescent="0.2">
      <c r="A268" s="275"/>
      <c r="B268" s="78"/>
      <c r="C268" s="189"/>
      <c r="D268" s="185"/>
      <c r="E268" s="229"/>
      <c r="F268" s="230"/>
    </row>
    <row r="269" spans="1:6" x14ac:dyDescent="0.2">
      <c r="A269" s="275"/>
      <c r="B269" s="78"/>
      <c r="C269" s="189"/>
      <c r="D269" s="185"/>
      <c r="E269" s="229"/>
      <c r="F269" s="230"/>
    </row>
    <row r="270" spans="1:6" x14ac:dyDescent="0.2">
      <c r="A270" s="275"/>
      <c r="B270" s="78"/>
      <c r="C270" s="189"/>
      <c r="D270" s="185"/>
      <c r="E270" s="229"/>
      <c r="F270" s="230"/>
    </row>
    <row r="271" spans="1:6" x14ac:dyDescent="0.2">
      <c r="A271" s="275"/>
      <c r="B271" s="78"/>
      <c r="C271" s="189"/>
      <c r="D271" s="185"/>
      <c r="E271" s="229"/>
      <c r="F271" s="230"/>
    </row>
    <row r="272" spans="1:6" x14ac:dyDescent="0.2">
      <c r="A272" s="275"/>
      <c r="B272" s="78"/>
      <c r="C272" s="189"/>
      <c r="D272" s="185"/>
      <c r="E272" s="229"/>
      <c r="F272" s="230"/>
    </row>
    <row r="273" spans="1:6" x14ac:dyDescent="0.2">
      <c r="A273" s="275"/>
      <c r="B273" s="78"/>
      <c r="C273" s="189"/>
      <c r="D273" s="185"/>
      <c r="E273" s="229"/>
      <c r="F273" s="230"/>
    </row>
    <row r="274" spans="1:6" x14ac:dyDescent="0.2">
      <c r="A274" s="275"/>
      <c r="B274" s="78"/>
      <c r="C274" s="189"/>
      <c r="D274" s="185"/>
      <c r="E274" s="229"/>
      <c r="F274" s="230"/>
    </row>
    <row r="275" spans="1:6" x14ac:dyDescent="0.2">
      <c r="A275" s="275"/>
      <c r="B275" s="78"/>
      <c r="C275" s="189"/>
      <c r="D275" s="185"/>
      <c r="E275" s="229"/>
      <c r="F275" s="230"/>
    </row>
    <row r="276" spans="1:6" x14ac:dyDescent="0.2">
      <c r="A276" s="275"/>
      <c r="B276" s="78"/>
      <c r="C276" s="189"/>
      <c r="D276" s="185"/>
      <c r="E276" s="229"/>
      <c r="F276" s="230"/>
    </row>
    <row r="277" spans="1:6" x14ac:dyDescent="0.2">
      <c r="A277" s="275"/>
      <c r="B277" s="78"/>
      <c r="C277" s="189"/>
      <c r="D277" s="185"/>
      <c r="E277" s="229"/>
      <c r="F277" s="230"/>
    </row>
    <row r="278" spans="1:6" x14ac:dyDescent="0.2">
      <c r="A278" s="275"/>
      <c r="B278" s="78"/>
      <c r="C278" s="189"/>
      <c r="D278" s="185"/>
      <c r="E278" s="229"/>
      <c r="F278" s="230"/>
    </row>
    <row r="279" spans="1:6" x14ac:dyDescent="0.2">
      <c r="A279" s="275"/>
      <c r="B279" s="78"/>
      <c r="C279" s="189"/>
      <c r="D279" s="185"/>
      <c r="E279" s="229"/>
      <c r="F279" s="230"/>
    </row>
    <row r="280" spans="1:6" x14ac:dyDescent="0.2">
      <c r="A280" s="275"/>
      <c r="B280" s="78"/>
      <c r="C280" s="189"/>
      <c r="D280" s="185"/>
      <c r="E280" s="229"/>
      <c r="F280" s="230"/>
    </row>
    <row r="281" spans="1:6" x14ac:dyDescent="0.2">
      <c r="A281" s="275"/>
      <c r="B281" s="78"/>
      <c r="C281" s="189"/>
      <c r="D281" s="185"/>
      <c r="E281" s="229"/>
      <c r="F281" s="230"/>
    </row>
    <row r="282" spans="1:6" x14ac:dyDescent="0.2">
      <c r="A282" s="275"/>
      <c r="B282" s="78"/>
      <c r="C282" s="189"/>
      <c r="D282" s="185"/>
      <c r="E282" s="229"/>
      <c r="F282" s="230"/>
    </row>
    <row r="283" spans="1:6" x14ac:dyDescent="0.2">
      <c r="A283" s="275"/>
      <c r="B283" s="78"/>
      <c r="C283" s="189"/>
      <c r="D283" s="185"/>
      <c r="E283" s="229"/>
      <c r="F283" s="230"/>
    </row>
    <row r="284" spans="1:6" x14ac:dyDescent="0.2">
      <c r="A284" s="275"/>
      <c r="B284" s="78"/>
      <c r="C284" s="189"/>
      <c r="D284" s="185"/>
      <c r="E284" s="229"/>
      <c r="F284" s="230"/>
    </row>
    <row r="285" spans="1:6" x14ac:dyDescent="0.2">
      <c r="A285" s="275"/>
      <c r="B285" s="78"/>
      <c r="C285" s="189"/>
      <c r="D285" s="185"/>
      <c r="E285" s="229"/>
      <c r="F285" s="230"/>
    </row>
    <row r="286" spans="1:6" x14ac:dyDescent="0.2">
      <c r="A286" s="275"/>
      <c r="B286" s="78"/>
      <c r="C286" s="189"/>
      <c r="D286" s="185"/>
      <c r="E286" s="229"/>
      <c r="F286" s="230"/>
    </row>
    <row r="287" spans="1:6" x14ac:dyDescent="0.2">
      <c r="A287" s="275"/>
      <c r="B287" s="78"/>
      <c r="C287" s="189"/>
      <c r="D287" s="185"/>
      <c r="E287" s="229"/>
      <c r="F287" s="230"/>
    </row>
    <row r="288" spans="1:6" x14ac:dyDescent="0.2">
      <c r="A288" s="275"/>
      <c r="B288" s="78"/>
      <c r="C288" s="189"/>
      <c r="D288" s="185"/>
      <c r="E288" s="229"/>
      <c r="F288" s="230"/>
    </row>
    <row r="289" spans="1:6" x14ac:dyDescent="0.2">
      <c r="A289" s="275"/>
      <c r="B289" s="78"/>
      <c r="C289" s="189"/>
      <c r="D289" s="185"/>
      <c r="E289" s="229"/>
      <c r="F289" s="230"/>
    </row>
    <row r="290" spans="1:6" x14ac:dyDescent="0.2">
      <c r="A290" s="275"/>
      <c r="B290" s="78"/>
      <c r="C290" s="189"/>
      <c r="D290" s="185"/>
      <c r="E290" s="229"/>
      <c r="F290" s="230"/>
    </row>
    <row r="291" spans="1:6" x14ac:dyDescent="0.2">
      <c r="A291" s="275"/>
      <c r="B291" s="78"/>
      <c r="C291" s="189"/>
      <c r="D291" s="185"/>
      <c r="E291" s="229"/>
      <c r="F291" s="230"/>
    </row>
    <row r="292" spans="1:6" x14ac:dyDescent="0.2">
      <c r="A292" s="275"/>
      <c r="B292" s="78"/>
      <c r="C292" s="189"/>
      <c r="D292" s="185"/>
      <c r="E292" s="229"/>
      <c r="F292" s="230"/>
    </row>
    <row r="293" spans="1:6" x14ac:dyDescent="0.2">
      <c r="A293" s="275"/>
      <c r="B293" s="78"/>
      <c r="C293" s="189"/>
      <c r="D293" s="185"/>
      <c r="E293" s="229"/>
      <c r="F293" s="230"/>
    </row>
    <row r="294" spans="1:6" x14ac:dyDescent="0.2">
      <c r="A294" s="275"/>
      <c r="B294" s="78"/>
      <c r="C294" s="189"/>
      <c r="D294" s="185"/>
      <c r="E294" s="229"/>
      <c r="F294" s="230"/>
    </row>
    <row r="295" spans="1:6" x14ac:dyDescent="0.2">
      <c r="A295" s="275"/>
      <c r="B295" s="78"/>
      <c r="C295" s="189"/>
      <c r="D295" s="185"/>
      <c r="E295" s="229"/>
      <c r="F295" s="230"/>
    </row>
    <row r="296" spans="1:6" x14ac:dyDescent="0.2">
      <c r="A296" s="275"/>
      <c r="B296" s="78"/>
      <c r="C296" s="189"/>
      <c r="D296" s="185"/>
      <c r="E296" s="229"/>
      <c r="F296" s="230"/>
    </row>
    <row r="297" spans="1:6" x14ac:dyDescent="0.2">
      <c r="A297" s="275"/>
      <c r="B297" s="78"/>
      <c r="C297" s="189"/>
      <c r="D297" s="185"/>
      <c r="E297" s="229"/>
      <c r="F297" s="230"/>
    </row>
    <row r="298" spans="1:6" x14ac:dyDescent="0.2">
      <c r="A298" s="275"/>
      <c r="B298" s="78"/>
      <c r="C298" s="189"/>
      <c r="D298" s="185"/>
      <c r="E298" s="229"/>
      <c r="F298" s="230"/>
    </row>
    <row r="299" spans="1:6" x14ac:dyDescent="0.2">
      <c r="A299" s="275"/>
      <c r="B299" s="78"/>
      <c r="C299" s="189"/>
      <c r="D299" s="185"/>
      <c r="E299" s="229"/>
      <c r="F299" s="230"/>
    </row>
    <row r="300" spans="1:6" x14ac:dyDescent="0.2">
      <c r="A300" s="275"/>
      <c r="B300" s="78"/>
      <c r="C300" s="189"/>
      <c r="D300" s="185"/>
      <c r="E300" s="229"/>
      <c r="F300" s="230"/>
    </row>
    <row r="301" spans="1:6" x14ac:dyDescent="0.2">
      <c r="A301" s="275"/>
      <c r="B301" s="78"/>
      <c r="C301" s="189"/>
      <c r="D301" s="185"/>
      <c r="E301" s="229"/>
      <c r="F301" s="230"/>
    </row>
    <row r="302" spans="1:6" x14ac:dyDescent="0.2">
      <c r="A302" s="275"/>
      <c r="B302" s="78"/>
      <c r="C302" s="189"/>
      <c r="D302" s="185"/>
      <c r="E302" s="229"/>
      <c r="F302" s="230"/>
    </row>
    <row r="303" spans="1:6" x14ac:dyDescent="0.2">
      <c r="A303" s="275"/>
      <c r="B303" s="78"/>
      <c r="C303" s="189"/>
      <c r="D303" s="185"/>
      <c r="E303" s="229"/>
      <c r="F303" s="230"/>
    </row>
    <row r="304" spans="1:6" x14ac:dyDescent="0.2">
      <c r="A304" s="275"/>
      <c r="B304" s="78"/>
      <c r="C304" s="189"/>
      <c r="D304" s="185"/>
      <c r="E304" s="229"/>
      <c r="F304" s="230"/>
    </row>
    <row r="305" spans="1:6" x14ac:dyDescent="0.2">
      <c r="A305" s="275"/>
      <c r="B305" s="78"/>
      <c r="C305" s="189"/>
      <c r="D305" s="185"/>
      <c r="E305" s="229"/>
      <c r="F305" s="230"/>
    </row>
    <row r="306" spans="1:6" x14ac:dyDescent="0.2">
      <c r="A306" s="275"/>
      <c r="B306" s="78"/>
      <c r="C306" s="189"/>
      <c r="D306" s="185"/>
      <c r="E306" s="229"/>
      <c r="F306" s="230"/>
    </row>
    <row r="307" spans="1:6" x14ac:dyDescent="0.2">
      <c r="A307" s="275"/>
      <c r="B307" s="78"/>
      <c r="C307" s="189"/>
      <c r="D307" s="185"/>
      <c r="E307" s="229"/>
      <c r="F307" s="230"/>
    </row>
    <row r="308" spans="1:6" x14ac:dyDescent="0.2">
      <c r="A308" s="275"/>
      <c r="B308" s="78"/>
      <c r="C308" s="189"/>
      <c r="D308" s="185"/>
      <c r="E308" s="229"/>
      <c r="F308" s="230"/>
    </row>
    <row r="309" spans="1:6" x14ac:dyDescent="0.2">
      <c r="A309" s="275"/>
      <c r="B309" s="78"/>
      <c r="C309" s="189"/>
      <c r="D309" s="185"/>
      <c r="E309" s="229"/>
      <c r="F309" s="230"/>
    </row>
    <row r="310" spans="1:6" x14ac:dyDescent="0.2">
      <c r="A310" s="275"/>
      <c r="B310" s="78"/>
      <c r="C310" s="189"/>
      <c r="D310" s="185"/>
      <c r="E310" s="229"/>
      <c r="F310" s="230"/>
    </row>
    <row r="311" spans="1:6" x14ac:dyDescent="0.2">
      <c r="A311" s="275"/>
      <c r="B311" s="78"/>
      <c r="C311" s="189"/>
      <c r="D311" s="185"/>
      <c r="E311" s="229"/>
      <c r="F311" s="230"/>
    </row>
    <row r="312" spans="1:6" x14ac:dyDescent="0.2">
      <c r="A312" s="275"/>
      <c r="B312" s="78"/>
      <c r="C312" s="189"/>
      <c r="D312" s="185"/>
      <c r="E312" s="229"/>
      <c r="F312" s="230"/>
    </row>
    <row r="313" spans="1:6" x14ac:dyDescent="0.2">
      <c r="A313" s="275"/>
      <c r="B313" s="78"/>
      <c r="C313" s="189"/>
      <c r="D313" s="185"/>
      <c r="E313" s="229"/>
      <c r="F313" s="230"/>
    </row>
    <row r="314" spans="1:6" x14ac:dyDescent="0.2">
      <c r="A314" s="275"/>
      <c r="B314" s="78"/>
      <c r="C314" s="189"/>
      <c r="D314" s="185"/>
      <c r="E314" s="229"/>
      <c r="F314" s="230"/>
    </row>
    <row r="315" spans="1:6" x14ac:dyDescent="0.2">
      <c r="A315" s="275"/>
      <c r="B315" s="78"/>
      <c r="C315" s="189"/>
      <c r="D315" s="185"/>
      <c r="E315" s="229"/>
      <c r="F315" s="230"/>
    </row>
    <row r="316" spans="1:6" x14ac:dyDescent="0.2">
      <c r="A316" s="275"/>
      <c r="B316" s="78"/>
      <c r="C316" s="189"/>
      <c r="D316" s="185"/>
      <c r="E316" s="229"/>
      <c r="F316" s="230"/>
    </row>
    <row r="317" spans="1:6" x14ac:dyDescent="0.2">
      <c r="A317" s="275"/>
      <c r="B317" s="78"/>
      <c r="C317" s="189"/>
      <c r="D317" s="185"/>
      <c r="E317" s="229"/>
      <c r="F317" s="230"/>
    </row>
    <row r="318" spans="1:6" x14ac:dyDescent="0.2">
      <c r="A318" s="275"/>
      <c r="B318" s="78"/>
      <c r="C318" s="189"/>
      <c r="D318" s="185"/>
      <c r="E318" s="229"/>
      <c r="F318" s="230"/>
    </row>
    <row r="319" spans="1:6" x14ac:dyDescent="0.2">
      <c r="A319" s="275"/>
      <c r="B319" s="78"/>
      <c r="C319" s="189"/>
      <c r="D319" s="185"/>
      <c r="E319" s="229"/>
      <c r="F319" s="230"/>
    </row>
    <row r="320" spans="1:6" x14ac:dyDescent="0.2">
      <c r="A320" s="275"/>
      <c r="B320" s="78"/>
      <c r="C320" s="189"/>
      <c r="D320" s="185"/>
      <c r="E320" s="229"/>
      <c r="F320" s="230"/>
    </row>
    <row r="321" spans="1:6" x14ac:dyDescent="0.2">
      <c r="A321" s="275"/>
      <c r="B321" s="78"/>
      <c r="C321" s="189"/>
      <c r="D321" s="185"/>
      <c r="E321" s="229"/>
      <c r="F321" s="230"/>
    </row>
    <row r="322" spans="1:6" x14ac:dyDescent="0.2">
      <c r="A322" s="275"/>
      <c r="B322" s="78"/>
      <c r="C322" s="189"/>
      <c r="D322" s="185"/>
      <c r="E322" s="229"/>
      <c r="F322" s="230"/>
    </row>
    <row r="323" spans="1:6" x14ac:dyDescent="0.2">
      <c r="A323" s="275"/>
      <c r="B323" s="78"/>
      <c r="C323" s="189"/>
      <c r="D323" s="185"/>
      <c r="E323" s="229"/>
      <c r="F323" s="230"/>
    </row>
    <row r="324" spans="1:6" x14ac:dyDescent="0.2">
      <c r="A324" s="275"/>
      <c r="B324" s="78"/>
      <c r="C324" s="189"/>
      <c r="D324" s="185"/>
      <c r="E324" s="229"/>
      <c r="F324" s="230"/>
    </row>
    <row r="325" spans="1:6" x14ac:dyDescent="0.2">
      <c r="A325" s="275"/>
      <c r="B325" s="78"/>
      <c r="C325" s="189"/>
      <c r="D325" s="185"/>
      <c r="E325" s="229"/>
      <c r="F325" s="230"/>
    </row>
    <row r="326" spans="1:6" x14ac:dyDescent="0.2">
      <c r="A326" s="275"/>
      <c r="B326" s="78"/>
      <c r="C326" s="189"/>
      <c r="D326" s="185"/>
      <c r="E326" s="229"/>
      <c r="F326" s="230"/>
    </row>
    <row r="327" spans="1:6" x14ac:dyDescent="0.2">
      <c r="A327" s="275"/>
      <c r="B327" s="78"/>
      <c r="C327" s="189"/>
      <c r="D327" s="185"/>
      <c r="E327" s="229"/>
      <c r="F327" s="230"/>
    </row>
    <row r="328" spans="1:6" x14ac:dyDescent="0.2">
      <c r="A328" s="275"/>
      <c r="B328" s="78"/>
      <c r="C328" s="189"/>
      <c r="D328" s="185"/>
      <c r="E328" s="229"/>
      <c r="F328" s="230"/>
    </row>
    <row r="329" spans="1:6" x14ac:dyDescent="0.2">
      <c r="A329" s="275"/>
      <c r="B329" s="78"/>
      <c r="C329" s="189"/>
      <c r="D329" s="185"/>
      <c r="E329" s="229"/>
      <c r="F329" s="230"/>
    </row>
    <row r="330" spans="1:6" x14ac:dyDescent="0.2">
      <c r="A330" s="275"/>
      <c r="B330" s="78"/>
      <c r="C330" s="189"/>
      <c r="D330" s="185"/>
      <c r="E330" s="229"/>
      <c r="F330" s="230"/>
    </row>
    <row r="331" spans="1:6" x14ac:dyDescent="0.2">
      <c r="A331" s="275"/>
      <c r="B331" s="78"/>
      <c r="C331" s="189"/>
      <c r="D331" s="185"/>
      <c r="E331" s="229"/>
      <c r="F331" s="230"/>
    </row>
    <row r="332" spans="1:6" x14ac:dyDescent="0.2">
      <c r="A332" s="275"/>
      <c r="B332" s="78"/>
      <c r="C332" s="189"/>
      <c r="D332" s="185"/>
      <c r="E332" s="229"/>
      <c r="F332" s="230"/>
    </row>
    <row r="333" spans="1:6" x14ac:dyDescent="0.2">
      <c r="A333" s="275"/>
      <c r="B333" s="78"/>
      <c r="C333" s="189"/>
      <c r="D333" s="185"/>
      <c r="E333" s="229"/>
      <c r="F333" s="230"/>
    </row>
    <row r="334" spans="1:6" x14ac:dyDescent="0.2">
      <c r="A334" s="275"/>
      <c r="B334" s="78"/>
      <c r="C334" s="189"/>
      <c r="D334" s="185"/>
      <c r="E334" s="229"/>
      <c r="F334" s="230"/>
    </row>
    <row r="335" spans="1:6" x14ac:dyDescent="0.2">
      <c r="A335" s="275"/>
      <c r="B335" s="78"/>
      <c r="C335" s="189"/>
      <c r="D335" s="185"/>
      <c r="E335" s="229"/>
      <c r="F335" s="230"/>
    </row>
    <row r="336" spans="1:6" x14ac:dyDescent="0.2">
      <c r="A336" s="275"/>
      <c r="B336" s="78"/>
      <c r="C336" s="189"/>
      <c r="D336" s="185"/>
      <c r="E336" s="229"/>
      <c r="F336" s="230"/>
    </row>
    <row r="337" spans="1:6" x14ac:dyDescent="0.2">
      <c r="A337" s="275"/>
      <c r="B337" s="78"/>
      <c r="C337" s="189"/>
      <c r="D337" s="185"/>
      <c r="E337" s="229"/>
      <c r="F337" s="230"/>
    </row>
    <row r="338" spans="1:6" x14ac:dyDescent="0.2">
      <c r="A338" s="275"/>
      <c r="B338" s="78"/>
      <c r="C338" s="189"/>
      <c r="D338" s="185"/>
      <c r="E338" s="229"/>
      <c r="F338" s="230"/>
    </row>
    <row r="339" spans="1:6" x14ac:dyDescent="0.2">
      <c r="A339" s="275"/>
      <c r="B339" s="78"/>
      <c r="C339" s="189"/>
      <c r="D339" s="185"/>
      <c r="E339" s="229"/>
      <c r="F339" s="230"/>
    </row>
    <row r="340" spans="1:6" x14ac:dyDescent="0.2">
      <c r="A340" s="275"/>
      <c r="B340" s="78"/>
      <c r="C340" s="189"/>
      <c r="D340" s="185"/>
      <c r="E340" s="229"/>
      <c r="F340" s="230"/>
    </row>
    <row r="341" spans="1:6" x14ac:dyDescent="0.2">
      <c r="A341" s="275"/>
      <c r="B341" s="78"/>
      <c r="C341" s="189"/>
      <c r="D341" s="185"/>
      <c r="E341" s="229"/>
      <c r="F341" s="230"/>
    </row>
    <row r="342" spans="1:6" x14ac:dyDescent="0.2">
      <c r="A342" s="275"/>
      <c r="B342" s="78"/>
      <c r="C342" s="189"/>
      <c r="D342" s="185"/>
      <c r="E342" s="229"/>
      <c r="F342" s="230"/>
    </row>
    <row r="343" spans="1:6" x14ac:dyDescent="0.2">
      <c r="A343" s="275"/>
      <c r="B343" s="78"/>
      <c r="C343" s="189"/>
      <c r="D343" s="185"/>
      <c r="E343" s="229"/>
      <c r="F343" s="230"/>
    </row>
    <row r="344" spans="1:6" x14ac:dyDescent="0.2">
      <c r="A344" s="275"/>
      <c r="B344" s="78"/>
      <c r="C344" s="189"/>
      <c r="D344" s="185"/>
      <c r="E344" s="229"/>
      <c r="F344" s="230"/>
    </row>
    <row r="345" spans="1:6" x14ac:dyDescent="0.2">
      <c r="A345" s="275"/>
      <c r="B345" s="78"/>
      <c r="C345" s="189"/>
      <c r="D345" s="185"/>
      <c r="E345" s="229"/>
      <c r="F345" s="230"/>
    </row>
    <row r="346" spans="1:6" x14ac:dyDescent="0.2">
      <c r="A346" s="275"/>
      <c r="B346" s="78"/>
      <c r="C346" s="189"/>
      <c r="D346" s="185"/>
      <c r="E346" s="229"/>
      <c r="F346" s="230"/>
    </row>
    <row r="347" spans="1:6" x14ac:dyDescent="0.2">
      <c r="A347" s="275"/>
      <c r="B347" s="78"/>
      <c r="C347" s="189"/>
      <c r="D347" s="185"/>
      <c r="E347" s="229"/>
      <c r="F347" s="230"/>
    </row>
    <row r="348" spans="1:6" x14ac:dyDescent="0.2">
      <c r="A348" s="275"/>
      <c r="B348" s="78"/>
      <c r="C348" s="189"/>
      <c r="D348" s="185"/>
      <c r="E348" s="229"/>
      <c r="F348" s="230"/>
    </row>
    <row r="349" spans="1:6" x14ac:dyDescent="0.2">
      <c r="A349" s="275"/>
      <c r="B349" s="78"/>
      <c r="C349" s="189"/>
      <c r="D349" s="185"/>
      <c r="E349" s="229"/>
      <c r="F349" s="230"/>
    </row>
    <row r="350" spans="1:6" x14ac:dyDescent="0.2">
      <c r="A350" s="275"/>
      <c r="B350" s="78"/>
      <c r="C350" s="189"/>
      <c r="D350" s="185"/>
      <c r="E350" s="229"/>
      <c r="F350" s="230"/>
    </row>
    <row r="351" spans="1:6" x14ac:dyDescent="0.2">
      <c r="A351" s="275"/>
      <c r="B351" s="78"/>
      <c r="C351" s="189"/>
      <c r="D351" s="185"/>
      <c r="E351" s="229"/>
      <c r="F351" s="230"/>
    </row>
    <row r="352" spans="1:6" x14ac:dyDescent="0.2">
      <c r="A352" s="275"/>
      <c r="B352" s="78"/>
      <c r="C352" s="189"/>
      <c r="D352" s="185"/>
      <c r="E352" s="229"/>
      <c r="F352" s="230"/>
    </row>
    <row r="353" spans="1:6" x14ac:dyDescent="0.2">
      <c r="A353" s="275"/>
      <c r="B353" s="78"/>
      <c r="C353" s="189"/>
      <c r="D353" s="185"/>
      <c r="E353" s="229"/>
      <c r="F353" s="230"/>
    </row>
    <row r="354" spans="1:6" x14ac:dyDescent="0.2">
      <c r="A354" s="275"/>
      <c r="B354" s="78"/>
      <c r="C354" s="189"/>
      <c r="D354" s="185"/>
      <c r="E354" s="229"/>
      <c r="F354" s="230"/>
    </row>
    <row r="355" spans="1:6" x14ac:dyDescent="0.2">
      <c r="A355" s="275"/>
      <c r="B355" s="78"/>
      <c r="C355" s="189"/>
      <c r="D355" s="185"/>
      <c r="E355" s="229"/>
      <c r="F355" s="230"/>
    </row>
    <row r="356" spans="1:6" x14ac:dyDescent="0.2">
      <c r="A356" s="275"/>
      <c r="B356" s="78"/>
      <c r="C356" s="189"/>
      <c r="D356" s="185"/>
      <c r="E356" s="229"/>
      <c r="F356" s="230"/>
    </row>
    <row r="357" spans="1:6" x14ac:dyDescent="0.2">
      <c r="A357" s="275"/>
      <c r="B357" s="78"/>
      <c r="C357" s="189"/>
      <c r="D357" s="185"/>
      <c r="E357" s="229"/>
      <c r="F357" s="230"/>
    </row>
    <row r="358" spans="1:6" x14ac:dyDescent="0.2">
      <c r="A358" s="275"/>
      <c r="B358" s="78"/>
      <c r="C358" s="189"/>
      <c r="D358" s="185"/>
      <c r="E358" s="229"/>
      <c r="F358" s="230"/>
    </row>
    <row r="359" spans="1:6" x14ac:dyDescent="0.2">
      <c r="A359" s="275"/>
      <c r="B359" s="78"/>
      <c r="C359" s="189"/>
      <c r="D359" s="185"/>
      <c r="E359" s="229"/>
      <c r="F359" s="230"/>
    </row>
    <row r="360" spans="1:6" x14ac:dyDescent="0.2">
      <c r="A360" s="275"/>
      <c r="B360" s="78"/>
      <c r="C360" s="189"/>
      <c r="D360" s="185"/>
      <c r="E360" s="229"/>
      <c r="F360" s="230"/>
    </row>
    <row r="361" spans="1:6" x14ac:dyDescent="0.2">
      <c r="A361" s="275"/>
      <c r="B361" s="78"/>
      <c r="C361" s="189"/>
      <c r="D361" s="185"/>
      <c r="E361" s="229"/>
      <c r="F361" s="230"/>
    </row>
    <row r="362" spans="1:6" x14ac:dyDescent="0.2">
      <c r="A362" s="275"/>
      <c r="B362" s="78"/>
      <c r="C362" s="189"/>
      <c r="D362" s="185"/>
      <c r="E362" s="229"/>
      <c r="F362" s="230"/>
    </row>
    <row r="363" spans="1:6" x14ac:dyDescent="0.2">
      <c r="A363" s="275"/>
      <c r="B363" s="78"/>
      <c r="C363" s="189"/>
      <c r="D363" s="185"/>
      <c r="E363" s="229"/>
      <c r="F363" s="230"/>
    </row>
    <row r="364" spans="1:6" x14ac:dyDescent="0.2">
      <c r="A364" s="275"/>
      <c r="B364" s="78"/>
      <c r="C364" s="189"/>
      <c r="D364" s="185"/>
      <c r="E364" s="229"/>
      <c r="F364" s="230"/>
    </row>
    <row r="365" spans="1:6" x14ac:dyDescent="0.2">
      <c r="A365" s="275"/>
      <c r="B365" s="78"/>
      <c r="C365" s="189"/>
      <c r="D365" s="185"/>
      <c r="E365" s="229"/>
      <c r="F365" s="230"/>
    </row>
    <row r="366" spans="1:6" x14ac:dyDescent="0.2">
      <c r="A366" s="275"/>
      <c r="B366" s="78"/>
      <c r="C366" s="189"/>
      <c r="D366" s="185"/>
      <c r="E366" s="229"/>
      <c r="F366" s="230"/>
    </row>
    <row r="367" spans="1:6" x14ac:dyDescent="0.2">
      <c r="A367" s="275"/>
      <c r="B367" s="78"/>
      <c r="C367" s="189"/>
      <c r="D367" s="185"/>
      <c r="E367" s="229"/>
      <c r="F367" s="230"/>
    </row>
    <row r="368" spans="1:6" x14ac:dyDescent="0.2">
      <c r="A368" s="275"/>
      <c r="B368" s="78"/>
      <c r="C368" s="189"/>
      <c r="D368" s="185"/>
      <c r="E368" s="229"/>
      <c r="F368" s="230"/>
    </row>
    <row r="369" spans="1:6" x14ac:dyDescent="0.2">
      <c r="A369" s="275"/>
      <c r="B369" s="78"/>
      <c r="C369" s="189"/>
      <c r="D369" s="185"/>
      <c r="E369" s="229"/>
      <c r="F369" s="230"/>
    </row>
    <row r="370" spans="1:6" x14ac:dyDescent="0.2">
      <c r="A370" s="275"/>
      <c r="B370" s="78"/>
      <c r="C370" s="189"/>
      <c r="D370" s="185"/>
      <c r="E370" s="229"/>
      <c r="F370" s="230"/>
    </row>
    <row r="371" spans="1:6" x14ac:dyDescent="0.2">
      <c r="A371" s="275"/>
      <c r="B371" s="78"/>
      <c r="C371" s="189"/>
      <c r="D371" s="185"/>
      <c r="E371" s="229"/>
      <c r="F371" s="230"/>
    </row>
    <row r="372" spans="1:6" x14ac:dyDescent="0.2">
      <c r="A372" s="275"/>
      <c r="B372" s="78"/>
      <c r="C372" s="189"/>
      <c r="D372" s="185"/>
      <c r="E372" s="229"/>
      <c r="F372" s="230"/>
    </row>
    <row r="373" spans="1:6" x14ac:dyDescent="0.2">
      <c r="A373" s="275"/>
      <c r="B373" s="78"/>
      <c r="C373" s="189"/>
      <c r="D373" s="185"/>
      <c r="E373" s="229"/>
      <c r="F373" s="230"/>
    </row>
    <row r="374" spans="1:6" x14ac:dyDescent="0.2">
      <c r="A374" s="275"/>
      <c r="B374" s="78"/>
      <c r="C374" s="189"/>
      <c r="D374" s="185"/>
      <c r="E374" s="229"/>
      <c r="F374" s="230"/>
    </row>
    <row r="375" spans="1:6" x14ac:dyDescent="0.2">
      <c r="A375" s="275"/>
      <c r="B375" s="78"/>
      <c r="C375" s="189"/>
      <c r="D375" s="185"/>
      <c r="E375" s="229"/>
      <c r="F375" s="230"/>
    </row>
    <row r="376" spans="1:6" x14ac:dyDescent="0.2">
      <c r="A376" s="275"/>
      <c r="B376" s="78"/>
      <c r="C376" s="189"/>
      <c r="D376" s="185"/>
      <c r="E376" s="229"/>
      <c r="F376" s="230"/>
    </row>
    <row r="377" spans="1:6" x14ac:dyDescent="0.2">
      <c r="A377" s="275"/>
      <c r="B377" s="78"/>
      <c r="C377" s="189"/>
      <c r="D377" s="185"/>
      <c r="E377" s="229"/>
      <c r="F377" s="230"/>
    </row>
    <row r="378" spans="1:6" x14ac:dyDescent="0.2">
      <c r="A378" s="275"/>
      <c r="B378" s="78"/>
      <c r="C378" s="189"/>
      <c r="D378" s="185"/>
      <c r="E378" s="229"/>
      <c r="F378" s="230"/>
    </row>
    <row r="379" spans="1:6" x14ac:dyDescent="0.2">
      <c r="A379" s="275"/>
      <c r="B379" s="78"/>
      <c r="C379" s="189"/>
      <c r="D379" s="185"/>
      <c r="E379" s="229"/>
      <c r="F379" s="230"/>
    </row>
    <row r="380" spans="1:6" x14ac:dyDescent="0.2">
      <c r="A380" s="275"/>
      <c r="B380" s="78"/>
      <c r="C380" s="189"/>
      <c r="D380" s="185"/>
      <c r="E380" s="229"/>
      <c r="F380" s="230"/>
    </row>
    <row r="381" spans="1:6" x14ac:dyDescent="0.2">
      <c r="A381" s="275"/>
      <c r="B381" s="78"/>
      <c r="C381" s="189"/>
      <c r="D381" s="185"/>
      <c r="E381" s="229"/>
      <c r="F381" s="230"/>
    </row>
    <row r="382" spans="1:6" x14ac:dyDescent="0.2">
      <c r="A382" s="275"/>
      <c r="B382" s="78"/>
      <c r="C382" s="189"/>
      <c r="D382" s="185"/>
      <c r="E382" s="229"/>
      <c r="F382" s="230"/>
    </row>
    <row r="383" spans="1:6" x14ac:dyDescent="0.2">
      <c r="A383" s="275"/>
      <c r="B383" s="78"/>
      <c r="C383" s="189"/>
      <c r="D383" s="185"/>
      <c r="E383" s="229"/>
      <c r="F383" s="230"/>
    </row>
    <row r="384" spans="1:6" x14ac:dyDescent="0.2">
      <c r="A384" s="275"/>
      <c r="B384" s="78"/>
      <c r="C384" s="189"/>
      <c r="D384" s="185"/>
      <c r="E384" s="229"/>
      <c r="F384" s="230"/>
    </row>
    <row r="385" spans="1:6" x14ac:dyDescent="0.2">
      <c r="A385" s="275"/>
      <c r="B385" s="78"/>
      <c r="C385" s="189"/>
      <c r="D385" s="185"/>
      <c r="E385" s="229"/>
      <c r="F385" s="230"/>
    </row>
    <row r="386" spans="1:6" x14ac:dyDescent="0.2">
      <c r="A386" s="275"/>
      <c r="B386" s="78"/>
      <c r="C386" s="189"/>
      <c r="D386" s="185"/>
      <c r="E386" s="229"/>
      <c r="F386" s="230"/>
    </row>
    <row r="387" spans="1:6" x14ac:dyDescent="0.2">
      <c r="A387" s="275"/>
      <c r="B387" s="78"/>
      <c r="C387" s="189"/>
      <c r="D387" s="185"/>
      <c r="E387" s="229"/>
      <c r="F387" s="230"/>
    </row>
    <row r="388" spans="1:6" x14ac:dyDescent="0.2">
      <c r="A388" s="275"/>
      <c r="B388" s="78"/>
      <c r="C388" s="189"/>
      <c r="D388" s="185"/>
      <c r="E388" s="229"/>
      <c r="F388" s="230"/>
    </row>
    <row r="389" spans="1:6" x14ac:dyDescent="0.2">
      <c r="A389" s="275"/>
      <c r="B389" s="78"/>
      <c r="C389" s="189"/>
      <c r="D389" s="185"/>
      <c r="E389" s="229"/>
      <c r="F389" s="230"/>
    </row>
    <row r="390" spans="1:6" x14ac:dyDescent="0.2">
      <c r="A390" s="275"/>
      <c r="B390" s="78"/>
      <c r="C390" s="189"/>
      <c r="D390" s="185"/>
      <c r="E390" s="229"/>
      <c r="F390" s="230"/>
    </row>
    <row r="391" spans="1:6" x14ac:dyDescent="0.2">
      <c r="A391" s="275"/>
      <c r="B391" s="78"/>
      <c r="C391" s="189"/>
      <c r="D391" s="185"/>
      <c r="E391" s="229"/>
      <c r="F391" s="230"/>
    </row>
    <row r="392" spans="1:6" x14ac:dyDescent="0.2">
      <c r="A392" s="275"/>
      <c r="B392" s="78"/>
      <c r="C392" s="189"/>
      <c r="D392" s="185"/>
      <c r="E392" s="229"/>
      <c r="F392" s="230"/>
    </row>
    <row r="393" spans="1:6" x14ac:dyDescent="0.2">
      <c r="A393" s="275"/>
      <c r="B393" s="78"/>
      <c r="C393" s="189"/>
      <c r="D393" s="185"/>
      <c r="E393" s="229"/>
      <c r="F393" s="230"/>
    </row>
    <row r="394" spans="1:6" x14ac:dyDescent="0.2">
      <c r="A394" s="275"/>
      <c r="B394" s="78"/>
      <c r="C394" s="189"/>
      <c r="D394" s="185"/>
      <c r="E394" s="229"/>
      <c r="F394" s="230"/>
    </row>
    <row r="395" spans="1:6" x14ac:dyDescent="0.2">
      <c r="A395" s="275"/>
      <c r="B395" s="78"/>
      <c r="C395" s="189"/>
      <c r="D395" s="185"/>
      <c r="E395" s="229"/>
      <c r="F395" s="230"/>
    </row>
    <row r="396" spans="1:6" x14ac:dyDescent="0.2">
      <c r="A396" s="275"/>
      <c r="B396" s="78"/>
      <c r="C396" s="189"/>
      <c r="D396" s="185"/>
      <c r="E396" s="229"/>
      <c r="F396" s="230"/>
    </row>
    <row r="397" spans="1:6" x14ac:dyDescent="0.2">
      <c r="A397" s="275"/>
      <c r="B397" s="78"/>
      <c r="C397" s="189"/>
      <c r="D397" s="185"/>
      <c r="E397" s="229"/>
      <c r="F397" s="230"/>
    </row>
    <row r="398" spans="1:6" x14ac:dyDescent="0.2">
      <c r="A398" s="275"/>
      <c r="B398" s="78"/>
      <c r="C398" s="189"/>
      <c r="D398" s="185"/>
      <c r="E398" s="229"/>
      <c r="F398" s="230"/>
    </row>
    <row r="399" spans="1:6" x14ac:dyDescent="0.2">
      <c r="A399" s="275"/>
      <c r="B399" s="78"/>
      <c r="C399" s="189"/>
      <c r="D399" s="185"/>
      <c r="E399" s="229"/>
      <c r="F399" s="230"/>
    </row>
    <row r="400" spans="1:6" x14ac:dyDescent="0.2">
      <c r="A400" s="275"/>
      <c r="B400" s="78"/>
      <c r="C400" s="189"/>
      <c r="D400" s="185"/>
      <c r="E400" s="229"/>
      <c r="F400" s="230"/>
    </row>
    <row r="401" spans="1:6" x14ac:dyDescent="0.2">
      <c r="A401" s="275"/>
      <c r="B401" s="78"/>
      <c r="C401" s="189"/>
      <c r="D401" s="185"/>
      <c r="E401" s="229"/>
      <c r="F401" s="230"/>
    </row>
    <row r="402" spans="1:6" x14ac:dyDescent="0.2">
      <c r="A402" s="275"/>
      <c r="B402" s="78"/>
      <c r="C402" s="189"/>
      <c r="D402" s="185"/>
      <c r="E402" s="229"/>
      <c r="F402" s="230"/>
    </row>
    <row r="403" spans="1:6" x14ac:dyDescent="0.2">
      <c r="A403" s="275"/>
      <c r="B403" s="78"/>
      <c r="C403" s="189"/>
      <c r="D403" s="185"/>
      <c r="E403" s="229"/>
      <c r="F403" s="230"/>
    </row>
    <row r="404" spans="1:6" x14ac:dyDescent="0.2">
      <c r="A404" s="275"/>
      <c r="B404" s="78"/>
      <c r="C404" s="189"/>
      <c r="D404" s="185"/>
      <c r="E404" s="229"/>
      <c r="F404" s="230"/>
    </row>
    <row r="405" spans="1:6" x14ac:dyDescent="0.2">
      <c r="A405" s="275"/>
      <c r="B405" s="78"/>
      <c r="C405" s="189"/>
      <c r="D405" s="185"/>
      <c r="E405" s="229"/>
      <c r="F405" s="230"/>
    </row>
    <row r="406" spans="1:6" x14ac:dyDescent="0.2">
      <c r="A406" s="275"/>
      <c r="B406" s="78"/>
      <c r="C406" s="189"/>
      <c r="D406" s="185"/>
      <c r="E406" s="229"/>
      <c r="F406" s="230"/>
    </row>
    <row r="407" spans="1:6" x14ac:dyDescent="0.2">
      <c r="A407" s="275"/>
      <c r="B407" s="78"/>
      <c r="C407" s="189"/>
      <c r="D407" s="185"/>
      <c r="E407" s="229"/>
      <c r="F407" s="230"/>
    </row>
    <row r="408" spans="1:6" x14ac:dyDescent="0.2">
      <c r="A408" s="275"/>
      <c r="B408" s="78"/>
      <c r="C408" s="189"/>
      <c r="D408" s="185"/>
      <c r="E408" s="229"/>
      <c r="F408" s="230"/>
    </row>
    <row r="409" spans="1:6" x14ac:dyDescent="0.2">
      <c r="A409" s="275"/>
      <c r="B409" s="78"/>
      <c r="C409" s="189"/>
      <c r="D409" s="185"/>
      <c r="E409" s="229"/>
      <c r="F409" s="230"/>
    </row>
    <row r="410" spans="1:6" x14ac:dyDescent="0.2">
      <c r="A410" s="275"/>
      <c r="B410" s="78"/>
      <c r="C410" s="189"/>
      <c r="D410" s="185"/>
      <c r="E410" s="229"/>
      <c r="F410" s="230"/>
    </row>
    <row r="411" spans="1:6" x14ac:dyDescent="0.2">
      <c r="A411" s="275"/>
      <c r="B411" s="78"/>
      <c r="C411" s="189"/>
      <c r="D411" s="185"/>
      <c r="E411" s="229"/>
      <c r="F411" s="230"/>
    </row>
    <row r="412" spans="1:6" x14ac:dyDescent="0.2">
      <c r="A412" s="275"/>
      <c r="B412" s="78"/>
      <c r="C412" s="189"/>
      <c r="D412" s="185"/>
      <c r="E412" s="229"/>
      <c r="F412" s="230"/>
    </row>
    <row r="413" spans="1:6" x14ac:dyDescent="0.2">
      <c r="A413" s="275"/>
      <c r="B413" s="78"/>
      <c r="C413" s="189"/>
      <c r="D413" s="185"/>
      <c r="E413" s="229"/>
      <c r="F413" s="230"/>
    </row>
    <row r="414" spans="1:6" x14ac:dyDescent="0.2">
      <c r="A414" s="275"/>
      <c r="B414" s="78"/>
      <c r="C414" s="189"/>
      <c r="D414" s="185"/>
      <c r="E414" s="229"/>
      <c r="F414" s="230"/>
    </row>
    <row r="415" spans="1:6" x14ac:dyDescent="0.2">
      <c r="A415" s="275"/>
      <c r="B415" s="78"/>
      <c r="C415" s="189"/>
      <c r="D415" s="185"/>
      <c r="E415" s="229"/>
      <c r="F415" s="230"/>
    </row>
    <row r="416" spans="1:6" x14ac:dyDescent="0.2">
      <c r="A416" s="275"/>
      <c r="B416" s="78"/>
      <c r="C416" s="189"/>
      <c r="D416" s="185"/>
      <c r="E416" s="229"/>
      <c r="F416" s="230"/>
    </row>
    <row r="417" spans="1:6" x14ac:dyDescent="0.2">
      <c r="A417" s="275"/>
      <c r="B417" s="78"/>
      <c r="C417" s="189"/>
      <c r="D417" s="185"/>
      <c r="E417" s="229"/>
      <c r="F417" s="230"/>
    </row>
    <row r="418" spans="1:6" x14ac:dyDescent="0.2">
      <c r="A418" s="275"/>
      <c r="B418" s="78"/>
      <c r="C418" s="189"/>
      <c r="D418" s="185"/>
      <c r="E418" s="229"/>
      <c r="F418" s="230"/>
    </row>
    <row r="419" spans="1:6" x14ac:dyDescent="0.2">
      <c r="A419" s="275"/>
      <c r="B419" s="78"/>
      <c r="C419" s="189"/>
      <c r="D419" s="185"/>
      <c r="E419" s="229"/>
      <c r="F419" s="230"/>
    </row>
    <row r="420" spans="1:6" x14ac:dyDescent="0.2">
      <c r="A420" s="275"/>
      <c r="B420" s="78"/>
      <c r="C420" s="189"/>
      <c r="D420" s="185"/>
      <c r="E420" s="229"/>
      <c r="F420" s="230"/>
    </row>
    <row r="421" spans="1:6" x14ac:dyDescent="0.2">
      <c r="A421" s="275"/>
      <c r="B421" s="78"/>
      <c r="C421" s="189"/>
      <c r="D421" s="185"/>
      <c r="E421" s="229"/>
      <c r="F421" s="230"/>
    </row>
    <row r="422" spans="1:6" x14ac:dyDescent="0.2">
      <c r="A422" s="275"/>
      <c r="B422" s="78"/>
      <c r="C422" s="189"/>
      <c r="D422" s="185"/>
      <c r="E422" s="229"/>
      <c r="F422" s="230"/>
    </row>
    <row r="423" spans="1:6" x14ac:dyDescent="0.2">
      <c r="A423" s="275"/>
      <c r="B423" s="78"/>
      <c r="C423" s="189"/>
      <c r="D423" s="185"/>
      <c r="E423" s="229"/>
      <c r="F423" s="230"/>
    </row>
    <row r="424" spans="1:6" x14ac:dyDescent="0.2">
      <c r="A424" s="275"/>
      <c r="B424" s="78"/>
      <c r="C424" s="189"/>
      <c r="D424" s="185"/>
      <c r="E424" s="229"/>
      <c r="F424" s="230"/>
    </row>
    <row r="425" spans="1:6" x14ac:dyDescent="0.2">
      <c r="A425" s="275"/>
      <c r="B425" s="78"/>
      <c r="C425" s="189"/>
      <c r="D425" s="185"/>
      <c r="E425" s="229"/>
      <c r="F425" s="230"/>
    </row>
    <row r="426" spans="1:6" x14ac:dyDescent="0.2">
      <c r="A426" s="275"/>
      <c r="B426" s="78"/>
      <c r="C426" s="189"/>
      <c r="D426" s="185"/>
      <c r="E426" s="229"/>
      <c r="F426" s="230"/>
    </row>
    <row r="427" spans="1:6" x14ac:dyDescent="0.2">
      <c r="A427" s="275"/>
      <c r="B427" s="78"/>
      <c r="C427" s="189"/>
      <c r="D427" s="185"/>
      <c r="E427" s="229"/>
      <c r="F427" s="230"/>
    </row>
    <row r="428" spans="1:6" x14ac:dyDescent="0.2">
      <c r="A428" s="275"/>
      <c r="B428" s="78"/>
      <c r="C428" s="189"/>
      <c r="D428" s="185"/>
      <c r="E428" s="229"/>
      <c r="F428" s="230"/>
    </row>
    <row r="429" spans="1:6" x14ac:dyDescent="0.2">
      <c r="A429" s="275"/>
      <c r="B429" s="78"/>
      <c r="C429" s="189"/>
      <c r="D429" s="185"/>
      <c r="E429" s="229"/>
      <c r="F429" s="230"/>
    </row>
    <row r="430" spans="1:6" x14ac:dyDescent="0.2">
      <c r="A430" s="275"/>
      <c r="B430" s="78"/>
      <c r="C430" s="189"/>
      <c r="D430" s="185"/>
      <c r="E430" s="229"/>
      <c r="F430" s="230"/>
    </row>
    <row r="431" spans="1:6" x14ac:dyDescent="0.2">
      <c r="A431" s="275"/>
      <c r="B431" s="78"/>
      <c r="C431" s="189"/>
      <c r="D431" s="185"/>
      <c r="E431" s="229"/>
      <c r="F431" s="230"/>
    </row>
    <row r="432" spans="1:6" x14ac:dyDescent="0.2">
      <c r="A432" s="275"/>
      <c r="B432" s="78"/>
      <c r="C432" s="189"/>
      <c r="D432" s="185"/>
      <c r="E432" s="229"/>
      <c r="F432" s="230"/>
    </row>
    <row r="433" spans="1:6" x14ac:dyDescent="0.2">
      <c r="A433" s="275"/>
      <c r="B433" s="78"/>
      <c r="C433" s="189"/>
      <c r="D433" s="185"/>
      <c r="E433" s="229"/>
      <c r="F433" s="230"/>
    </row>
    <row r="434" spans="1:6" x14ac:dyDescent="0.2">
      <c r="A434" s="275"/>
      <c r="B434" s="78"/>
      <c r="C434" s="189"/>
      <c r="D434" s="185"/>
      <c r="E434" s="229"/>
      <c r="F434" s="230"/>
    </row>
    <row r="435" spans="1:6" x14ac:dyDescent="0.2">
      <c r="A435" s="275"/>
      <c r="B435" s="78"/>
      <c r="C435" s="189"/>
      <c r="D435" s="185"/>
      <c r="E435" s="229"/>
      <c r="F435" s="230"/>
    </row>
    <row r="436" spans="1:6" x14ac:dyDescent="0.2">
      <c r="A436" s="275"/>
      <c r="B436" s="78"/>
      <c r="C436" s="189"/>
      <c r="D436" s="185"/>
      <c r="E436" s="229"/>
      <c r="F436" s="230"/>
    </row>
    <row r="437" spans="1:6" x14ac:dyDescent="0.2">
      <c r="A437" s="275"/>
      <c r="B437" s="78"/>
      <c r="C437" s="189"/>
      <c r="D437" s="185"/>
      <c r="E437" s="229"/>
      <c r="F437" s="230"/>
    </row>
    <row r="438" spans="1:6" x14ac:dyDescent="0.2">
      <c r="A438" s="275"/>
      <c r="B438" s="78"/>
      <c r="C438" s="189"/>
      <c r="D438" s="185"/>
      <c r="E438" s="229"/>
      <c r="F438" s="230"/>
    </row>
    <row r="439" spans="1:6" x14ac:dyDescent="0.2">
      <c r="A439" s="275"/>
      <c r="B439" s="78"/>
      <c r="C439" s="189"/>
      <c r="D439" s="185"/>
      <c r="E439" s="229"/>
      <c r="F439" s="230"/>
    </row>
    <row r="440" spans="1:6" x14ac:dyDescent="0.2">
      <c r="A440" s="275"/>
      <c r="B440" s="78"/>
      <c r="C440" s="189"/>
      <c r="D440" s="185"/>
      <c r="E440" s="229"/>
      <c r="F440" s="230"/>
    </row>
    <row r="441" spans="1:6" x14ac:dyDescent="0.2">
      <c r="A441" s="275"/>
      <c r="B441" s="78"/>
      <c r="C441" s="189"/>
      <c r="D441" s="185"/>
      <c r="E441" s="229"/>
      <c r="F441" s="230"/>
    </row>
    <row r="442" spans="1:6" x14ac:dyDescent="0.2">
      <c r="A442" s="275"/>
      <c r="B442" s="78"/>
      <c r="C442" s="189"/>
      <c r="D442" s="185"/>
      <c r="E442" s="229"/>
      <c r="F442" s="230"/>
    </row>
    <row r="443" spans="1:6" x14ac:dyDescent="0.2">
      <c r="A443" s="275"/>
      <c r="B443" s="78"/>
      <c r="C443" s="189"/>
      <c r="D443" s="185"/>
      <c r="E443" s="229"/>
      <c r="F443" s="230"/>
    </row>
    <row r="444" spans="1:6" x14ac:dyDescent="0.2">
      <c r="A444" s="275"/>
      <c r="B444" s="78"/>
      <c r="C444" s="189"/>
      <c r="D444" s="185"/>
      <c r="E444" s="229"/>
      <c r="F444" s="230"/>
    </row>
    <row r="445" spans="1:6" x14ac:dyDescent="0.2">
      <c r="A445" s="275"/>
      <c r="B445" s="78"/>
      <c r="C445" s="189"/>
      <c r="D445" s="185"/>
      <c r="E445" s="229"/>
      <c r="F445" s="230"/>
    </row>
    <row r="446" spans="1:6" x14ac:dyDescent="0.2">
      <c r="A446" s="275"/>
      <c r="B446" s="78"/>
      <c r="C446" s="189"/>
      <c r="D446" s="185"/>
      <c r="E446" s="229"/>
      <c r="F446" s="230"/>
    </row>
    <row r="447" spans="1:6" x14ac:dyDescent="0.2">
      <c r="A447" s="275"/>
      <c r="B447" s="78"/>
      <c r="C447" s="189"/>
      <c r="D447" s="185"/>
      <c r="E447" s="229"/>
      <c r="F447" s="230"/>
    </row>
    <row r="448" spans="1:6" x14ac:dyDescent="0.2">
      <c r="A448" s="275"/>
      <c r="B448" s="78"/>
      <c r="C448" s="189"/>
      <c r="D448" s="185"/>
      <c r="E448" s="229"/>
      <c r="F448" s="230"/>
    </row>
    <row r="449" spans="1:6" x14ac:dyDescent="0.2">
      <c r="A449" s="275"/>
      <c r="B449" s="78"/>
      <c r="C449" s="189"/>
      <c r="D449" s="185"/>
      <c r="E449" s="229"/>
      <c r="F449" s="230"/>
    </row>
    <row r="450" spans="1:6" x14ac:dyDescent="0.2">
      <c r="A450" s="275"/>
      <c r="B450" s="78"/>
      <c r="C450" s="189"/>
      <c r="D450" s="185"/>
      <c r="E450" s="229"/>
      <c r="F450" s="230"/>
    </row>
    <row r="451" spans="1:6" x14ac:dyDescent="0.2">
      <c r="A451" s="275"/>
      <c r="B451" s="78"/>
      <c r="C451" s="189"/>
      <c r="D451" s="185"/>
      <c r="E451" s="229"/>
      <c r="F451" s="230"/>
    </row>
    <row r="452" spans="1:6" x14ac:dyDescent="0.2">
      <c r="A452" s="275"/>
      <c r="B452" s="78"/>
      <c r="C452" s="189"/>
      <c r="D452" s="185"/>
      <c r="E452" s="229"/>
      <c r="F452" s="230"/>
    </row>
    <row r="453" spans="1:6" x14ac:dyDescent="0.2">
      <c r="A453" s="275"/>
      <c r="B453" s="78"/>
      <c r="C453" s="189"/>
      <c r="D453" s="185"/>
      <c r="E453" s="229"/>
      <c r="F453" s="230"/>
    </row>
    <row r="454" spans="1:6" x14ac:dyDescent="0.2">
      <c r="A454" s="275"/>
      <c r="B454" s="78"/>
      <c r="C454" s="189"/>
      <c r="D454" s="185"/>
      <c r="E454" s="229"/>
      <c r="F454" s="230"/>
    </row>
    <row r="455" spans="1:6" x14ac:dyDescent="0.2">
      <c r="A455" s="275"/>
      <c r="B455" s="78"/>
      <c r="C455" s="189"/>
      <c r="D455" s="185"/>
      <c r="E455" s="229"/>
      <c r="F455" s="230"/>
    </row>
    <row r="456" spans="1:6" x14ac:dyDescent="0.2">
      <c r="A456" s="275"/>
      <c r="B456" s="78"/>
      <c r="C456" s="189"/>
      <c r="D456" s="185"/>
      <c r="E456" s="229"/>
      <c r="F456" s="230"/>
    </row>
    <row r="457" spans="1:6" x14ac:dyDescent="0.2">
      <c r="A457" s="275"/>
      <c r="B457" s="78"/>
      <c r="C457" s="189"/>
      <c r="D457" s="185"/>
      <c r="E457" s="229"/>
      <c r="F457" s="230"/>
    </row>
    <row r="458" spans="1:6" x14ac:dyDescent="0.2">
      <c r="A458" s="275"/>
      <c r="B458" s="78"/>
      <c r="C458" s="189"/>
      <c r="D458" s="185"/>
      <c r="E458" s="229"/>
      <c r="F458" s="230"/>
    </row>
    <row r="459" spans="1:6" x14ac:dyDescent="0.2">
      <c r="A459" s="275"/>
      <c r="B459" s="78"/>
      <c r="C459" s="189"/>
      <c r="D459" s="185"/>
      <c r="E459" s="229"/>
      <c r="F459" s="230"/>
    </row>
    <row r="460" spans="1:6" x14ac:dyDescent="0.2">
      <c r="A460" s="275"/>
      <c r="B460" s="78"/>
      <c r="C460" s="189"/>
      <c r="D460" s="185"/>
      <c r="E460" s="229"/>
      <c r="F460" s="230"/>
    </row>
    <row r="461" spans="1:6" x14ac:dyDescent="0.2">
      <c r="A461" s="275"/>
      <c r="B461" s="78"/>
      <c r="C461" s="189"/>
      <c r="D461" s="185"/>
      <c r="E461" s="229"/>
      <c r="F461" s="230"/>
    </row>
    <row r="462" spans="1:6" x14ac:dyDescent="0.2">
      <c r="A462" s="275"/>
      <c r="B462" s="78"/>
      <c r="C462" s="189"/>
      <c r="D462" s="185"/>
      <c r="E462" s="229"/>
      <c r="F462" s="230"/>
    </row>
    <row r="463" spans="1:6" x14ac:dyDescent="0.2">
      <c r="A463" s="275"/>
      <c r="B463" s="78"/>
      <c r="C463" s="189"/>
      <c r="D463" s="185"/>
      <c r="E463" s="229"/>
      <c r="F463" s="230"/>
    </row>
    <row r="464" spans="1:6" x14ac:dyDescent="0.2">
      <c r="A464" s="275"/>
      <c r="B464" s="78"/>
      <c r="C464" s="189"/>
      <c r="D464" s="185"/>
      <c r="E464" s="229"/>
      <c r="F464" s="230"/>
    </row>
    <row r="465" spans="1:6" x14ac:dyDescent="0.2">
      <c r="A465" s="275"/>
      <c r="B465" s="78"/>
      <c r="C465" s="189"/>
      <c r="D465" s="185"/>
      <c r="E465" s="229"/>
      <c r="F465" s="230"/>
    </row>
    <row r="466" spans="1:6" x14ac:dyDescent="0.2">
      <c r="A466" s="275"/>
      <c r="B466" s="78"/>
      <c r="C466" s="189"/>
      <c r="D466" s="185"/>
      <c r="E466" s="229"/>
      <c r="F466" s="230"/>
    </row>
    <row r="467" spans="1:6" x14ac:dyDescent="0.2">
      <c r="A467" s="275"/>
      <c r="B467" s="78"/>
      <c r="C467" s="189"/>
      <c r="D467" s="185"/>
      <c r="E467" s="229"/>
      <c r="F467" s="230"/>
    </row>
    <row r="468" spans="1:6" x14ac:dyDescent="0.2">
      <c r="A468" s="275"/>
      <c r="B468" s="78"/>
      <c r="C468" s="189"/>
      <c r="D468" s="185"/>
      <c r="E468" s="229"/>
      <c r="F468" s="230"/>
    </row>
    <row r="469" spans="1:6" x14ac:dyDescent="0.2">
      <c r="A469" s="275"/>
      <c r="B469" s="78"/>
      <c r="C469" s="189"/>
      <c r="D469" s="185"/>
      <c r="E469" s="229"/>
      <c r="F469" s="230"/>
    </row>
    <row r="470" spans="1:6" x14ac:dyDescent="0.2">
      <c r="A470" s="275"/>
      <c r="B470" s="78"/>
      <c r="C470" s="189"/>
      <c r="D470" s="185"/>
      <c r="E470" s="229"/>
      <c r="F470" s="230"/>
    </row>
    <row r="471" spans="1:6" x14ac:dyDescent="0.2">
      <c r="A471" s="275"/>
      <c r="B471" s="78"/>
      <c r="C471" s="189"/>
      <c r="D471" s="185"/>
      <c r="E471" s="229"/>
      <c r="F471" s="230"/>
    </row>
    <row r="472" spans="1:6" x14ac:dyDescent="0.2">
      <c r="A472" s="275"/>
      <c r="B472" s="78"/>
      <c r="C472" s="189"/>
      <c r="D472" s="185"/>
      <c r="E472" s="229"/>
      <c r="F472" s="230"/>
    </row>
    <row r="473" spans="1:6" x14ac:dyDescent="0.2">
      <c r="A473" s="275"/>
      <c r="B473" s="78"/>
      <c r="C473" s="189"/>
      <c r="D473" s="185"/>
      <c r="E473" s="229"/>
      <c r="F473" s="230"/>
    </row>
    <row r="474" spans="1:6" x14ac:dyDescent="0.2">
      <c r="A474" s="275"/>
      <c r="B474" s="78"/>
      <c r="C474" s="189"/>
      <c r="D474" s="185"/>
      <c r="E474" s="229"/>
      <c r="F474" s="230"/>
    </row>
    <row r="475" spans="1:6" x14ac:dyDescent="0.2">
      <c r="A475" s="275"/>
      <c r="B475" s="78"/>
      <c r="C475" s="189"/>
      <c r="D475" s="185"/>
      <c r="E475" s="229"/>
      <c r="F475" s="230"/>
    </row>
    <row r="476" spans="1:6" x14ac:dyDescent="0.2">
      <c r="A476" s="275"/>
      <c r="B476" s="78"/>
      <c r="C476" s="189"/>
      <c r="D476" s="185"/>
      <c r="E476" s="229"/>
      <c r="F476" s="230"/>
    </row>
    <row r="477" spans="1:6" x14ac:dyDescent="0.2">
      <c r="A477" s="275"/>
      <c r="B477" s="78"/>
      <c r="C477" s="189"/>
      <c r="D477" s="185"/>
      <c r="E477" s="229"/>
      <c r="F477" s="230"/>
    </row>
    <row r="478" spans="1:6" x14ac:dyDescent="0.2">
      <c r="A478" s="275"/>
      <c r="B478" s="78"/>
      <c r="C478" s="189"/>
      <c r="D478" s="185"/>
      <c r="E478" s="229"/>
      <c r="F478" s="230"/>
    </row>
    <row r="479" spans="1:6" x14ac:dyDescent="0.2">
      <c r="A479" s="275"/>
      <c r="B479" s="78"/>
      <c r="C479" s="189"/>
      <c r="D479" s="185"/>
      <c r="E479" s="229"/>
      <c r="F479" s="230"/>
    </row>
    <row r="480" spans="1:6" x14ac:dyDescent="0.2">
      <c r="A480" s="275"/>
      <c r="B480" s="78"/>
      <c r="C480" s="189"/>
      <c r="D480" s="185"/>
      <c r="E480" s="229"/>
      <c r="F480" s="230"/>
    </row>
    <row r="481" spans="1:6" x14ac:dyDescent="0.2">
      <c r="A481" s="275"/>
      <c r="B481" s="78"/>
      <c r="C481" s="189"/>
      <c r="D481" s="185"/>
      <c r="E481" s="229"/>
      <c r="F481" s="230"/>
    </row>
    <row r="482" spans="1:6" x14ac:dyDescent="0.2">
      <c r="A482" s="275"/>
      <c r="B482" s="78"/>
      <c r="C482" s="189"/>
      <c r="D482" s="185"/>
      <c r="E482" s="229"/>
      <c r="F482" s="230"/>
    </row>
    <row r="483" spans="1:6" x14ac:dyDescent="0.2">
      <c r="A483" s="275"/>
      <c r="B483" s="78"/>
      <c r="C483" s="189"/>
      <c r="D483" s="185"/>
      <c r="E483" s="229"/>
      <c r="F483" s="230"/>
    </row>
    <row r="484" spans="1:6" x14ac:dyDescent="0.2">
      <c r="A484" s="275"/>
      <c r="B484" s="78"/>
      <c r="C484" s="189"/>
      <c r="D484" s="185"/>
      <c r="E484" s="229"/>
      <c r="F484" s="230"/>
    </row>
    <row r="485" spans="1:6" x14ac:dyDescent="0.2">
      <c r="A485" s="275"/>
      <c r="B485" s="78"/>
      <c r="C485" s="189"/>
      <c r="D485" s="185"/>
      <c r="E485" s="229"/>
      <c r="F485" s="230"/>
    </row>
    <row r="486" spans="1:6" x14ac:dyDescent="0.2">
      <c r="A486" s="275"/>
      <c r="B486" s="78"/>
      <c r="C486" s="189"/>
      <c r="D486" s="185"/>
      <c r="E486" s="229"/>
      <c r="F486" s="230"/>
    </row>
    <row r="487" spans="1:6" x14ac:dyDescent="0.2">
      <c r="A487" s="275"/>
      <c r="B487" s="78"/>
      <c r="C487" s="189"/>
      <c r="D487" s="185"/>
      <c r="E487" s="229"/>
      <c r="F487" s="230"/>
    </row>
    <row r="488" spans="1:6" x14ac:dyDescent="0.2">
      <c r="A488" s="275"/>
      <c r="B488" s="78"/>
      <c r="C488" s="189"/>
      <c r="D488" s="185"/>
      <c r="E488" s="229"/>
      <c r="F488" s="230"/>
    </row>
    <row r="489" spans="1:6" x14ac:dyDescent="0.2">
      <c r="A489" s="275"/>
      <c r="B489" s="78"/>
      <c r="C489" s="189"/>
      <c r="D489" s="185"/>
      <c r="E489" s="229"/>
      <c r="F489" s="230"/>
    </row>
    <row r="490" spans="1:6" x14ac:dyDescent="0.2">
      <c r="A490" s="275"/>
      <c r="B490" s="78"/>
      <c r="C490" s="189"/>
      <c r="D490" s="185"/>
      <c r="E490" s="229"/>
      <c r="F490" s="230"/>
    </row>
    <row r="491" spans="1:6" x14ac:dyDescent="0.2">
      <c r="A491" s="275"/>
      <c r="B491" s="78"/>
      <c r="C491" s="189"/>
      <c r="D491" s="185"/>
      <c r="E491" s="229"/>
      <c r="F491" s="230"/>
    </row>
    <row r="492" spans="1:6" x14ac:dyDescent="0.2">
      <c r="A492" s="275"/>
      <c r="B492" s="78"/>
      <c r="C492" s="189"/>
      <c r="D492" s="185"/>
      <c r="E492" s="229"/>
      <c r="F492" s="230"/>
    </row>
    <row r="493" spans="1:6" x14ac:dyDescent="0.2">
      <c r="A493" s="275"/>
      <c r="B493" s="78"/>
      <c r="C493" s="189"/>
      <c r="D493" s="185"/>
      <c r="E493" s="229"/>
      <c r="F493" s="230"/>
    </row>
    <row r="494" spans="1:6" x14ac:dyDescent="0.2">
      <c r="A494" s="275"/>
      <c r="B494" s="78"/>
      <c r="C494" s="189"/>
      <c r="D494" s="185"/>
      <c r="E494" s="229"/>
      <c r="F494" s="230"/>
    </row>
    <row r="495" spans="1:6" x14ac:dyDescent="0.2">
      <c r="A495" s="275"/>
      <c r="B495" s="78"/>
      <c r="C495" s="189"/>
      <c r="D495" s="185"/>
      <c r="E495" s="229"/>
      <c r="F495" s="230"/>
    </row>
    <row r="496" spans="1:6" x14ac:dyDescent="0.2">
      <c r="A496" s="275"/>
      <c r="B496" s="78"/>
      <c r="C496" s="189"/>
      <c r="D496" s="185"/>
      <c r="E496" s="229"/>
      <c r="F496" s="230"/>
    </row>
    <row r="497" spans="1:6" x14ac:dyDescent="0.2">
      <c r="A497" s="275"/>
      <c r="B497" s="78"/>
      <c r="C497" s="189"/>
      <c r="D497" s="185"/>
      <c r="E497" s="229"/>
      <c r="F497" s="230"/>
    </row>
    <row r="498" spans="1:6" x14ac:dyDescent="0.2">
      <c r="A498" s="275"/>
      <c r="B498" s="78"/>
      <c r="C498" s="189"/>
      <c r="D498" s="185"/>
      <c r="E498" s="229"/>
      <c r="F498" s="230"/>
    </row>
    <row r="499" spans="1:6" x14ac:dyDescent="0.2">
      <c r="A499" s="275"/>
      <c r="B499" s="78"/>
      <c r="C499" s="189"/>
      <c r="D499" s="185"/>
      <c r="E499" s="229"/>
      <c r="F499" s="230"/>
    </row>
    <row r="500" spans="1:6" x14ac:dyDescent="0.2">
      <c r="A500" s="275"/>
      <c r="B500" s="78"/>
      <c r="C500" s="189"/>
      <c r="D500" s="185"/>
      <c r="E500" s="229"/>
      <c r="F500" s="230"/>
    </row>
    <row r="501" spans="1:6" x14ac:dyDescent="0.2">
      <c r="A501" s="275"/>
      <c r="B501" s="78"/>
      <c r="C501" s="189"/>
      <c r="D501" s="185"/>
      <c r="E501" s="229"/>
      <c r="F501" s="230"/>
    </row>
    <row r="502" spans="1:6" x14ac:dyDescent="0.2">
      <c r="A502" s="275"/>
      <c r="B502" s="78"/>
      <c r="C502" s="189"/>
      <c r="D502" s="185"/>
      <c r="E502" s="229"/>
      <c r="F502" s="230"/>
    </row>
    <row r="503" spans="1:6" x14ac:dyDescent="0.2">
      <c r="A503" s="275"/>
      <c r="B503" s="78"/>
      <c r="C503" s="189"/>
      <c r="D503" s="185"/>
      <c r="E503" s="229"/>
      <c r="F503" s="230"/>
    </row>
    <row r="504" spans="1:6" x14ac:dyDescent="0.2">
      <c r="A504" s="275"/>
      <c r="B504" s="78"/>
      <c r="C504" s="189"/>
      <c r="D504" s="185"/>
      <c r="E504" s="229"/>
      <c r="F504" s="230"/>
    </row>
    <row r="505" spans="1:6" x14ac:dyDescent="0.2">
      <c r="A505" s="275"/>
      <c r="B505" s="78"/>
      <c r="C505" s="189"/>
      <c r="D505" s="185"/>
      <c r="E505" s="229"/>
      <c r="F505" s="230"/>
    </row>
    <row r="506" spans="1:6" x14ac:dyDescent="0.2">
      <c r="A506" s="275"/>
      <c r="B506" s="78"/>
      <c r="C506" s="189"/>
      <c r="D506" s="185"/>
      <c r="E506" s="229"/>
      <c r="F506" s="230"/>
    </row>
    <row r="507" spans="1:6" x14ac:dyDescent="0.2">
      <c r="A507" s="275"/>
      <c r="B507" s="78"/>
      <c r="C507" s="189"/>
      <c r="D507" s="185"/>
      <c r="E507" s="229"/>
      <c r="F507" s="230"/>
    </row>
    <row r="508" spans="1:6" x14ac:dyDescent="0.2">
      <c r="A508" s="275"/>
      <c r="B508" s="78"/>
      <c r="C508" s="189"/>
      <c r="D508" s="185"/>
      <c r="E508" s="229"/>
      <c r="F508" s="230"/>
    </row>
    <row r="509" spans="1:6" x14ac:dyDescent="0.2">
      <c r="A509" s="275"/>
      <c r="B509" s="78"/>
      <c r="C509" s="189"/>
      <c r="D509" s="185"/>
      <c r="E509" s="229"/>
      <c r="F509" s="230"/>
    </row>
    <row r="510" spans="1:6" x14ac:dyDescent="0.2">
      <c r="A510" s="275"/>
      <c r="B510" s="78"/>
      <c r="C510" s="189"/>
      <c r="D510" s="185"/>
      <c r="E510" s="229"/>
      <c r="F510" s="230"/>
    </row>
    <row r="511" spans="1:6" x14ac:dyDescent="0.2">
      <c r="A511" s="275"/>
      <c r="B511" s="78"/>
      <c r="C511" s="189"/>
      <c r="D511" s="185"/>
      <c r="E511" s="229"/>
      <c r="F511" s="230"/>
    </row>
    <row r="512" spans="1:6" x14ac:dyDescent="0.2">
      <c r="A512" s="275"/>
      <c r="B512" s="78"/>
      <c r="C512" s="189"/>
      <c r="D512" s="185"/>
      <c r="E512" s="229"/>
      <c r="F512" s="230"/>
    </row>
    <row r="513" spans="1:6" x14ac:dyDescent="0.2">
      <c r="A513" s="275"/>
      <c r="B513" s="78"/>
      <c r="C513" s="189"/>
      <c r="D513" s="185"/>
      <c r="E513" s="229"/>
      <c r="F513" s="230"/>
    </row>
    <row r="514" spans="1:6" x14ac:dyDescent="0.2">
      <c r="A514" s="275"/>
      <c r="B514" s="78"/>
      <c r="C514" s="189"/>
      <c r="D514" s="185"/>
      <c r="E514" s="229"/>
      <c r="F514" s="230"/>
    </row>
    <row r="515" spans="1:6" x14ac:dyDescent="0.2">
      <c r="A515" s="275"/>
      <c r="B515" s="78"/>
      <c r="C515" s="189"/>
      <c r="D515" s="185"/>
      <c r="E515" s="229"/>
      <c r="F515" s="230"/>
    </row>
    <row r="516" spans="1:6" x14ac:dyDescent="0.2">
      <c r="A516" s="275"/>
      <c r="B516" s="78"/>
      <c r="C516" s="189"/>
      <c r="D516" s="185"/>
      <c r="E516" s="229"/>
      <c r="F516" s="230"/>
    </row>
    <row r="517" spans="1:6" x14ac:dyDescent="0.2">
      <c r="A517" s="275"/>
      <c r="B517" s="78"/>
      <c r="C517" s="189"/>
      <c r="D517" s="185"/>
      <c r="E517" s="229"/>
      <c r="F517" s="230"/>
    </row>
    <row r="518" spans="1:6" x14ac:dyDescent="0.2">
      <c r="A518" s="275"/>
      <c r="B518" s="78"/>
      <c r="C518" s="189"/>
      <c r="D518" s="185"/>
      <c r="E518" s="229"/>
      <c r="F518" s="230"/>
    </row>
    <row r="519" spans="1:6" x14ac:dyDescent="0.2">
      <c r="A519" s="275"/>
      <c r="B519" s="78"/>
      <c r="C519" s="189"/>
      <c r="D519" s="185"/>
      <c r="E519" s="229"/>
      <c r="F519" s="230"/>
    </row>
    <row r="520" spans="1:6" x14ac:dyDescent="0.2">
      <c r="A520" s="275"/>
      <c r="B520" s="78"/>
      <c r="C520" s="189"/>
      <c r="D520" s="185"/>
      <c r="E520" s="229"/>
      <c r="F520" s="230"/>
    </row>
    <row r="521" spans="1:6" x14ac:dyDescent="0.2">
      <c r="A521" s="275"/>
      <c r="B521" s="78"/>
      <c r="C521" s="189"/>
      <c r="D521" s="185"/>
      <c r="E521" s="229"/>
      <c r="F521" s="230"/>
    </row>
    <row r="522" spans="1:6" x14ac:dyDescent="0.2">
      <c r="A522" s="275"/>
      <c r="B522" s="78"/>
      <c r="C522" s="189"/>
      <c r="D522" s="185"/>
      <c r="E522" s="229"/>
      <c r="F522" s="230"/>
    </row>
    <row r="523" spans="1:6" x14ac:dyDescent="0.2">
      <c r="A523" s="275"/>
      <c r="B523" s="78"/>
      <c r="C523" s="189"/>
      <c r="D523" s="185"/>
      <c r="E523" s="229"/>
      <c r="F523" s="230"/>
    </row>
    <row r="524" spans="1:6" x14ac:dyDescent="0.2">
      <c r="A524" s="275"/>
      <c r="B524" s="78"/>
      <c r="C524" s="189"/>
      <c r="D524" s="185"/>
      <c r="E524" s="229"/>
      <c r="F524" s="230"/>
    </row>
    <row r="525" spans="1:6" x14ac:dyDescent="0.2">
      <c r="A525" s="275"/>
      <c r="B525" s="78"/>
      <c r="C525" s="189"/>
      <c r="D525" s="185"/>
      <c r="E525" s="229"/>
      <c r="F525" s="230"/>
    </row>
    <row r="526" spans="1:6" x14ac:dyDescent="0.2">
      <c r="A526" s="275"/>
      <c r="B526" s="78"/>
      <c r="C526" s="189"/>
      <c r="D526" s="185"/>
      <c r="E526" s="229"/>
      <c r="F526" s="230"/>
    </row>
    <row r="527" spans="1:6" x14ac:dyDescent="0.2">
      <c r="A527" s="275"/>
      <c r="B527" s="78"/>
      <c r="C527" s="189"/>
      <c r="D527" s="185"/>
      <c r="E527" s="229"/>
      <c r="F527" s="230"/>
    </row>
    <row r="528" spans="1:6" x14ac:dyDescent="0.2">
      <c r="A528" s="275"/>
      <c r="B528" s="78"/>
      <c r="C528" s="189"/>
      <c r="D528" s="185"/>
      <c r="E528" s="229"/>
      <c r="F528" s="230"/>
    </row>
    <row r="529" spans="1:6" x14ac:dyDescent="0.2">
      <c r="A529" s="275"/>
      <c r="B529" s="78"/>
      <c r="C529" s="189"/>
      <c r="D529" s="185"/>
      <c r="E529" s="229"/>
      <c r="F529" s="230"/>
    </row>
    <row r="530" spans="1:6" x14ac:dyDescent="0.2">
      <c r="A530" s="275"/>
      <c r="B530" s="78"/>
      <c r="C530" s="189"/>
      <c r="D530" s="185"/>
      <c r="E530" s="229"/>
      <c r="F530" s="230"/>
    </row>
    <row r="531" spans="1:6" x14ac:dyDescent="0.2">
      <c r="A531" s="275"/>
      <c r="B531" s="78"/>
      <c r="C531" s="189"/>
      <c r="D531" s="185"/>
      <c r="E531" s="229"/>
      <c r="F531" s="230"/>
    </row>
    <row r="532" spans="1:6" x14ac:dyDescent="0.2">
      <c r="A532" s="275"/>
      <c r="B532" s="78"/>
      <c r="C532" s="189"/>
      <c r="D532" s="185"/>
      <c r="E532" s="229"/>
      <c r="F532" s="230"/>
    </row>
    <row r="533" spans="1:6" x14ac:dyDescent="0.2">
      <c r="A533" s="275"/>
      <c r="B533" s="78"/>
      <c r="C533" s="189"/>
      <c r="D533" s="185"/>
      <c r="E533" s="229"/>
      <c r="F533" s="230"/>
    </row>
    <row r="534" spans="1:6" x14ac:dyDescent="0.2">
      <c r="A534" s="275"/>
      <c r="B534" s="78"/>
      <c r="C534" s="189"/>
      <c r="D534" s="185"/>
      <c r="E534" s="229"/>
      <c r="F534" s="230"/>
    </row>
    <row r="535" spans="1:6" x14ac:dyDescent="0.2">
      <c r="A535" s="275"/>
      <c r="B535" s="78"/>
      <c r="C535" s="189"/>
      <c r="D535" s="185"/>
      <c r="E535" s="229"/>
      <c r="F535" s="230"/>
    </row>
    <row r="536" spans="1:6" x14ac:dyDescent="0.2">
      <c r="A536" s="275"/>
      <c r="B536" s="78"/>
      <c r="C536" s="189"/>
      <c r="D536" s="185"/>
      <c r="E536" s="229"/>
      <c r="F536" s="230"/>
    </row>
    <row r="537" spans="1:6" x14ac:dyDescent="0.2">
      <c r="A537" s="275"/>
      <c r="B537" s="78"/>
      <c r="C537" s="189"/>
      <c r="D537" s="185"/>
      <c r="E537" s="229"/>
      <c r="F537" s="230"/>
    </row>
    <row r="538" spans="1:6" x14ac:dyDescent="0.2">
      <c r="A538" s="275"/>
      <c r="B538" s="78"/>
      <c r="C538" s="189"/>
      <c r="D538" s="185"/>
      <c r="E538" s="229"/>
      <c r="F538" s="230"/>
    </row>
    <row r="539" spans="1:6" x14ac:dyDescent="0.2">
      <c r="A539" s="275"/>
      <c r="B539" s="78"/>
      <c r="C539" s="189"/>
      <c r="D539" s="185"/>
      <c r="E539" s="229"/>
      <c r="F539" s="230"/>
    </row>
    <row r="540" spans="1:6" x14ac:dyDescent="0.2">
      <c r="A540" s="275"/>
      <c r="B540" s="78"/>
      <c r="C540" s="189"/>
      <c r="D540" s="185"/>
      <c r="E540" s="229"/>
      <c r="F540" s="230"/>
    </row>
    <row r="541" spans="1:6" x14ac:dyDescent="0.2">
      <c r="A541" s="275"/>
      <c r="B541" s="78"/>
      <c r="C541" s="189"/>
      <c r="D541" s="185"/>
      <c r="E541" s="229"/>
      <c r="F541" s="230"/>
    </row>
    <row r="542" spans="1:6" x14ac:dyDescent="0.2">
      <c r="A542" s="275"/>
      <c r="B542" s="78"/>
      <c r="C542" s="189"/>
      <c r="D542" s="185"/>
      <c r="E542" s="229"/>
      <c r="F542" s="230"/>
    </row>
    <row r="543" spans="1:6" x14ac:dyDescent="0.2">
      <c r="A543" s="275"/>
      <c r="B543" s="78"/>
      <c r="C543" s="189"/>
      <c r="D543" s="185"/>
      <c r="E543" s="229"/>
      <c r="F543" s="230"/>
    </row>
    <row r="544" spans="1:6" x14ac:dyDescent="0.2">
      <c r="A544" s="275"/>
      <c r="B544" s="78"/>
      <c r="C544" s="189"/>
      <c r="D544" s="185"/>
      <c r="E544" s="229"/>
      <c r="F544" s="230"/>
    </row>
    <row r="545" spans="1:6" x14ac:dyDescent="0.2">
      <c r="A545" s="275"/>
      <c r="B545" s="78"/>
      <c r="C545" s="189"/>
      <c r="D545" s="185"/>
      <c r="E545" s="229"/>
      <c r="F545" s="230"/>
    </row>
    <row r="546" spans="1:6" x14ac:dyDescent="0.2">
      <c r="A546" s="275"/>
      <c r="B546" s="78"/>
      <c r="C546" s="189"/>
      <c r="D546" s="185"/>
      <c r="E546" s="229"/>
      <c r="F546" s="230"/>
    </row>
    <row r="547" spans="1:6" x14ac:dyDescent="0.2">
      <c r="A547" s="275"/>
      <c r="B547" s="78"/>
      <c r="C547" s="189"/>
      <c r="D547" s="185"/>
      <c r="E547" s="229"/>
      <c r="F547" s="230"/>
    </row>
    <row r="548" spans="1:6" x14ac:dyDescent="0.2">
      <c r="A548" s="275"/>
      <c r="B548" s="78"/>
      <c r="C548" s="189"/>
      <c r="D548" s="185"/>
      <c r="E548" s="229"/>
      <c r="F548" s="230"/>
    </row>
    <row r="549" spans="1:6" x14ac:dyDescent="0.2">
      <c r="A549" s="275"/>
      <c r="B549" s="78"/>
      <c r="C549" s="189"/>
      <c r="D549" s="185"/>
      <c r="E549" s="229"/>
      <c r="F549" s="230"/>
    </row>
    <row r="550" spans="1:6" x14ac:dyDescent="0.2">
      <c r="A550" s="275"/>
      <c r="B550" s="78"/>
      <c r="C550" s="189"/>
      <c r="D550" s="185"/>
      <c r="E550" s="229"/>
      <c r="F550" s="230"/>
    </row>
    <row r="551" spans="1:6" x14ac:dyDescent="0.2">
      <c r="A551" s="275"/>
      <c r="B551" s="78"/>
      <c r="C551" s="189"/>
      <c r="D551" s="185"/>
      <c r="E551" s="229"/>
      <c r="F551" s="230"/>
    </row>
    <row r="552" spans="1:6" x14ac:dyDescent="0.2">
      <c r="A552" s="275"/>
      <c r="B552" s="78"/>
      <c r="C552" s="189"/>
      <c r="D552" s="185"/>
      <c r="E552" s="229"/>
      <c r="F552" s="230"/>
    </row>
    <row r="553" spans="1:6" x14ac:dyDescent="0.2">
      <c r="A553" s="275"/>
      <c r="B553" s="78"/>
      <c r="C553" s="189"/>
      <c r="D553" s="185"/>
      <c r="E553" s="229"/>
      <c r="F553" s="230"/>
    </row>
    <row r="554" spans="1:6" x14ac:dyDescent="0.2">
      <c r="A554" s="275"/>
      <c r="B554" s="78"/>
      <c r="C554" s="189"/>
      <c r="D554" s="185"/>
      <c r="E554" s="229"/>
      <c r="F554" s="230"/>
    </row>
    <row r="555" spans="1:6" x14ac:dyDescent="0.2">
      <c r="A555" s="275"/>
      <c r="B555" s="78"/>
      <c r="C555" s="189"/>
      <c r="D555" s="185"/>
      <c r="E555" s="229"/>
      <c r="F555" s="230"/>
    </row>
    <row r="556" spans="1:6" x14ac:dyDescent="0.2">
      <c r="A556" s="275"/>
      <c r="B556" s="78"/>
      <c r="C556" s="189"/>
      <c r="D556" s="185"/>
      <c r="E556" s="229"/>
      <c r="F556" s="230"/>
    </row>
    <row r="557" spans="1:6" x14ac:dyDescent="0.2">
      <c r="A557" s="275"/>
      <c r="B557" s="78"/>
      <c r="C557" s="189"/>
      <c r="D557" s="185"/>
      <c r="E557" s="229"/>
      <c r="F557" s="230"/>
    </row>
    <row r="558" spans="1:6" x14ac:dyDescent="0.2">
      <c r="A558" s="275"/>
      <c r="B558" s="78"/>
      <c r="C558" s="189"/>
      <c r="D558" s="185"/>
      <c r="E558" s="229"/>
      <c r="F558" s="230"/>
    </row>
    <row r="559" spans="1:6" x14ac:dyDescent="0.2">
      <c r="A559" s="275"/>
      <c r="B559" s="78"/>
      <c r="C559" s="189"/>
      <c r="D559" s="185"/>
      <c r="E559" s="229"/>
      <c r="F559" s="230"/>
    </row>
    <row r="560" spans="1:6" x14ac:dyDescent="0.2">
      <c r="A560" s="275"/>
      <c r="B560" s="78"/>
      <c r="C560" s="189"/>
      <c r="D560" s="185"/>
      <c r="E560" s="229"/>
      <c r="F560" s="230"/>
    </row>
    <row r="561" spans="1:6" x14ac:dyDescent="0.2">
      <c r="A561" s="275"/>
      <c r="B561" s="78"/>
      <c r="C561" s="189"/>
      <c r="D561" s="185"/>
      <c r="E561" s="229"/>
      <c r="F561" s="230"/>
    </row>
    <row r="562" spans="1:6" x14ac:dyDescent="0.2">
      <c r="A562" s="275"/>
      <c r="B562" s="78"/>
      <c r="C562" s="189"/>
      <c r="D562" s="185"/>
      <c r="E562" s="229"/>
      <c r="F562" s="230"/>
    </row>
    <row r="563" spans="1:6" x14ac:dyDescent="0.2">
      <c r="A563" s="275"/>
      <c r="B563" s="78"/>
      <c r="C563" s="189"/>
      <c r="D563" s="185"/>
      <c r="E563" s="229"/>
      <c r="F563" s="230"/>
    </row>
    <row r="564" spans="1:6" x14ac:dyDescent="0.2">
      <c r="A564" s="275"/>
      <c r="B564" s="78"/>
      <c r="C564" s="189"/>
      <c r="D564" s="185"/>
      <c r="E564" s="229"/>
      <c r="F564" s="230"/>
    </row>
    <row r="565" spans="1:6" x14ac:dyDescent="0.2">
      <c r="A565" s="275"/>
      <c r="B565" s="78"/>
      <c r="C565" s="189"/>
      <c r="D565" s="185"/>
      <c r="E565" s="229"/>
      <c r="F565" s="230"/>
    </row>
    <row r="566" spans="1:6" x14ac:dyDescent="0.2">
      <c r="A566" s="275"/>
      <c r="B566" s="78"/>
      <c r="C566" s="189"/>
      <c r="D566" s="185"/>
      <c r="E566" s="229"/>
      <c r="F566" s="230"/>
    </row>
    <row r="567" spans="1:6" x14ac:dyDescent="0.2">
      <c r="A567" s="275"/>
      <c r="B567" s="78"/>
      <c r="C567" s="189"/>
      <c r="D567" s="185"/>
      <c r="E567" s="229"/>
      <c r="F567" s="230"/>
    </row>
    <row r="568" spans="1:6" x14ac:dyDescent="0.2">
      <c r="A568" s="275"/>
      <c r="B568" s="78"/>
      <c r="C568" s="189"/>
      <c r="D568" s="185"/>
      <c r="E568" s="229"/>
      <c r="F568" s="230"/>
    </row>
    <row r="569" spans="1:6" x14ac:dyDescent="0.2">
      <c r="A569" s="275"/>
      <c r="B569" s="78"/>
      <c r="C569" s="189"/>
      <c r="D569" s="185"/>
      <c r="E569" s="229"/>
      <c r="F569" s="230"/>
    </row>
    <row r="570" spans="1:6" x14ac:dyDescent="0.2">
      <c r="A570" s="275"/>
      <c r="B570" s="78"/>
      <c r="C570" s="189"/>
      <c r="D570" s="185"/>
      <c r="E570" s="229"/>
      <c r="F570" s="230"/>
    </row>
    <row r="571" spans="1:6" x14ac:dyDescent="0.2">
      <c r="A571" s="275"/>
      <c r="B571" s="78"/>
      <c r="C571" s="189"/>
      <c r="D571" s="185"/>
      <c r="E571" s="229"/>
      <c r="F571" s="230"/>
    </row>
    <row r="572" spans="1:6" x14ac:dyDescent="0.2">
      <c r="A572" s="275"/>
      <c r="B572" s="78"/>
      <c r="C572" s="189"/>
      <c r="D572" s="185"/>
      <c r="E572" s="229"/>
      <c r="F572" s="230"/>
    </row>
    <row r="573" spans="1:6" x14ac:dyDescent="0.2">
      <c r="A573" s="275"/>
      <c r="B573" s="78"/>
      <c r="C573" s="189"/>
      <c r="D573" s="185"/>
      <c r="E573" s="229"/>
      <c r="F573" s="230"/>
    </row>
    <row r="574" spans="1:6" x14ac:dyDescent="0.2">
      <c r="A574" s="275"/>
      <c r="B574" s="78"/>
      <c r="C574" s="189"/>
      <c r="D574" s="185"/>
      <c r="E574" s="229"/>
      <c r="F574" s="230"/>
    </row>
    <row r="575" spans="1:6" x14ac:dyDescent="0.2">
      <c r="A575" s="275"/>
      <c r="B575" s="78"/>
      <c r="C575" s="189"/>
      <c r="D575" s="185"/>
      <c r="E575" s="229"/>
      <c r="F575" s="230"/>
    </row>
    <row r="576" spans="1:6" x14ac:dyDescent="0.2">
      <c r="A576" s="275"/>
      <c r="B576" s="78"/>
      <c r="C576" s="189"/>
      <c r="D576" s="185"/>
      <c r="E576" s="229"/>
      <c r="F576" s="230"/>
    </row>
    <row r="577" spans="1:6" x14ac:dyDescent="0.2">
      <c r="A577" s="275"/>
      <c r="B577" s="78"/>
      <c r="C577" s="189"/>
      <c r="D577" s="185"/>
      <c r="E577" s="229"/>
      <c r="F577" s="230"/>
    </row>
    <row r="578" spans="1:6" x14ac:dyDescent="0.2">
      <c r="A578" s="275"/>
      <c r="B578" s="78"/>
      <c r="C578" s="189"/>
      <c r="D578" s="185"/>
      <c r="E578" s="229"/>
      <c r="F578" s="230"/>
    </row>
    <row r="579" spans="1:6" x14ac:dyDescent="0.2">
      <c r="A579" s="275"/>
      <c r="B579" s="78"/>
      <c r="C579" s="189"/>
      <c r="D579" s="185"/>
      <c r="E579" s="229"/>
      <c r="F579" s="230"/>
    </row>
    <row r="580" spans="1:6" x14ac:dyDescent="0.2">
      <c r="A580" s="275"/>
      <c r="B580" s="78"/>
      <c r="C580" s="189"/>
      <c r="D580" s="185"/>
      <c r="E580" s="229"/>
      <c r="F580" s="230"/>
    </row>
    <row r="581" spans="1:6" x14ac:dyDescent="0.2">
      <c r="A581" s="275"/>
      <c r="B581" s="78"/>
      <c r="C581" s="189"/>
      <c r="D581" s="185"/>
      <c r="E581" s="229"/>
      <c r="F581" s="230"/>
    </row>
    <row r="582" spans="1:6" x14ac:dyDescent="0.2">
      <c r="A582" s="275"/>
      <c r="B582" s="78"/>
      <c r="C582" s="189"/>
      <c r="D582" s="185"/>
      <c r="E582" s="229"/>
      <c r="F582" s="230"/>
    </row>
    <row r="583" spans="1:6" x14ac:dyDescent="0.2">
      <c r="A583" s="275"/>
      <c r="B583" s="78"/>
      <c r="C583" s="189"/>
      <c r="D583" s="185"/>
      <c r="E583" s="229"/>
      <c r="F583" s="230"/>
    </row>
    <row r="584" spans="1:6" x14ac:dyDescent="0.2">
      <c r="A584" s="275"/>
      <c r="B584" s="78"/>
      <c r="C584" s="189"/>
      <c r="D584" s="185"/>
      <c r="E584" s="229"/>
      <c r="F584" s="230"/>
    </row>
    <row r="585" spans="1:6" x14ac:dyDescent="0.2">
      <c r="A585" s="275"/>
      <c r="B585" s="78"/>
      <c r="C585" s="189"/>
      <c r="D585" s="185"/>
      <c r="E585" s="229"/>
      <c r="F585" s="230"/>
    </row>
    <row r="586" spans="1:6" x14ac:dyDescent="0.2">
      <c r="A586" s="275"/>
      <c r="B586" s="78"/>
      <c r="C586" s="189"/>
      <c r="D586" s="185"/>
      <c r="E586" s="229"/>
      <c r="F586" s="230"/>
    </row>
    <row r="587" spans="1:6" x14ac:dyDescent="0.2">
      <c r="A587" s="275"/>
      <c r="B587" s="78"/>
      <c r="C587" s="189"/>
      <c r="D587" s="185"/>
      <c r="E587" s="229"/>
      <c r="F587" s="230"/>
    </row>
    <row r="588" spans="1:6" x14ac:dyDescent="0.2">
      <c r="A588" s="275"/>
      <c r="B588" s="78"/>
      <c r="C588" s="189"/>
      <c r="D588" s="185"/>
      <c r="E588" s="229"/>
      <c r="F588" s="230"/>
    </row>
    <row r="589" spans="1:6" x14ac:dyDescent="0.2">
      <c r="A589" s="275"/>
      <c r="B589" s="78"/>
      <c r="C589" s="189"/>
      <c r="D589" s="185"/>
      <c r="E589" s="229"/>
      <c r="F589" s="230"/>
    </row>
    <row r="590" spans="1:6" x14ac:dyDescent="0.2">
      <c r="A590" s="275"/>
      <c r="B590" s="78"/>
      <c r="C590" s="189"/>
      <c r="D590" s="185"/>
      <c r="E590" s="229"/>
      <c r="F590" s="230"/>
    </row>
    <row r="591" spans="1:6" x14ac:dyDescent="0.2">
      <c r="A591" s="275"/>
      <c r="B591" s="78"/>
      <c r="C591" s="189"/>
      <c r="D591" s="185"/>
      <c r="E591" s="229"/>
      <c r="F591" s="230"/>
    </row>
    <row r="592" spans="1:6" x14ac:dyDescent="0.2">
      <c r="A592" s="275"/>
      <c r="B592" s="78"/>
      <c r="C592" s="189"/>
      <c r="D592" s="185"/>
      <c r="E592" s="229"/>
      <c r="F592" s="230"/>
    </row>
    <row r="593" spans="1:6" x14ac:dyDescent="0.2">
      <c r="A593" s="275"/>
      <c r="B593" s="78"/>
      <c r="C593" s="189"/>
      <c r="D593" s="185"/>
      <c r="E593" s="229"/>
      <c r="F593" s="230"/>
    </row>
    <row r="594" spans="1:6" x14ac:dyDescent="0.2">
      <c r="A594" s="275"/>
      <c r="B594" s="78"/>
      <c r="C594" s="189"/>
      <c r="D594" s="185"/>
      <c r="E594" s="229"/>
      <c r="F594" s="230"/>
    </row>
    <row r="595" spans="1:6" x14ac:dyDescent="0.2">
      <c r="A595" s="275"/>
      <c r="B595" s="78"/>
      <c r="C595" s="189"/>
      <c r="D595" s="185"/>
      <c r="E595" s="229"/>
      <c r="F595" s="230"/>
    </row>
    <row r="596" spans="1:6" x14ac:dyDescent="0.2">
      <c r="A596" s="275"/>
      <c r="B596" s="78"/>
      <c r="C596" s="189"/>
      <c r="D596" s="185"/>
      <c r="E596" s="229"/>
      <c r="F596" s="230"/>
    </row>
    <row r="597" spans="1:6" x14ac:dyDescent="0.2">
      <c r="A597" s="275"/>
      <c r="B597" s="78"/>
      <c r="C597" s="189"/>
      <c r="D597" s="185"/>
      <c r="E597" s="229"/>
      <c r="F597" s="230"/>
    </row>
    <row r="598" spans="1:6" x14ac:dyDescent="0.2">
      <c r="A598" s="275"/>
      <c r="B598" s="78"/>
      <c r="C598" s="189"/>
      <c r="D598" s="185"/>
      <c r="E598" s="229"/>
      <c r="F598" s="230"/>
    </row>
    <row r="599" spans="1:6" x14ac:dyDescent="0.2">
      <c r="A599" s="275"/>
      <c r="B599" s="78"/>
      <c r="C599" s="189"/>
      <c r="D599" s="185"/>
      <c r="E599" s="229"/>
      <c r="F599" s="230"/>
    </row>
    <row r="600" spans="1:6" x14ac:dyDescent="0.2">
      <c r="A600" s="275"/>
      <c r="B600" s="78"/>
      <c r="C600" s="189"/>
      <c r="D600" s="185"/>
      <c r="E600" s="229"/>
      <c r="F600" s="230"/>
    </row>
    <row r="601" spans="1:6" x14ac:dyDescent="0.2">
      <c r="A601" s="275"/>
      <c r="B601" s="78"/>
      <c r="C601" s="189"/>
      <c r="D601" s="185"/>
      <c r="E601" s="229"/>
      <c r="F601" s="230"/>
    </row>
    <row r="602" spans="1:6" x14ac:dyDescent="0.2">
      <c r="A602" s="275"/>
      <c r="B602" s="78"/>
      <c r="C602" s="189"/>
      <c r="D602" s="185"/>
      <c r="E602" s="229"/>
      <c r="F602" s="230"/>
    </row>
    <row r="603" spans="1:6" x14ac:dyDescent="0.2">
      <c r="A603" s="275"/>
      <c r="B603" s="78"/>
      <c r="C603" s="189"/>
      <c r="D603" s="185"/>
      <c r="E603" s="229"/>
      <c r="F603" s="230"/>
    </row>
    <row r="604" spans="1:6" x14ac:dyDescent="0.2">
      <c r="A604" s="275"/>
      <c r="B604" s="78"/>
      <c r="C604" s="189"/>
      <c r="D604" s="185"/>
      <c r="E604" s="229"/>
      <c r="F604" s="230"/>
    </row>
    <row r="605" spans="1:6" x14ac:dyDescent="0.2">
      <c r="A605" s="275"/>
      <c r="B605" s="78"/>
      <c r="C605" s="189"/>
      <c r="D605" s="185"/>
      <c r="E605" s="229"/>
      <c r="F605" s="230"/>
    </row>
    <row r="606" spans="1:6" x14ac:dyDescent="0.2">
      <c r="A606" s="275"/>
      <c r="B606" s="78"/>
      <c r="C606" s="189"/>
      <c r="D606" s="185"/>
      <c r="E606" s="229"/>
      <c r="F606" s="230"/>
    </row>
    <row r="607" spans="1:6" x14ac:dyDescent="0.2">
      <c r="A607" s="275"/>
      <c r="B607" s="78"/>
      <c r="C607" s="189"/>
      <c r="D607" s="185"/>
      <c r="E607" s="229"/>
      <c r="F607" s="230"/>
    </row>
    <row r="608" spans="1:6" x14ac:dyDescent="0.2">
      <c r="A608" s="275"/>
      <c r="B608" s="78"/>
      <c r="C608" s="189"/>
      <c r="D608" s="185"/>
      <c r="E608" s="229"/>
      <c r="F608" s="230"/>
    </row>
    <row r="609" spans="1:6" x14ac:dyDescent="0.2">
      <c r="A609" s="275"/>
      <c r="B609" s="78"/>
      <c r="C609" s="189"/>
      <c r="D609" s="185"/>
      <c r="E609" s="229"/>
      <c r="F609" s="230"/>
    </row>
    <row r="610" spans="1:6" x14ac:dyDescent="0.2">
      <c r="A610" s="275"/>
      <c r="B610" s="78"/>
      <c r="C610" s="189"/>
      <c r="D610" s="185"/>
      <c r="E610" s="229"/>
      <c r="F610" s="230"/>
    </row>
    <row r="611" spans="1:6" x14ac:dyDescent="0.2">
      <c r="A611" s="275"/>
      <c r="B611" s="78"/>
      <c r="C611" s="189"/>
      <c r="D611" s="185"/>
      <c r="E611" s="229"/>
      <c r="F611" s="230"/>
    </row>
    <row r="612" spans="1:6" x14ac:dyDescent="0.2">
      <c r="A612" s="275"/>
      <c r="B612" s="78"/>
      <c r="C612" s="189"/>
      <c r="D612" s="185"/>
      <c r="E612" s="229"/>
      <c r="F612" s="230"/>
    </row>
    <row r="613" spans="1:6" x14ac:dyDescent="0.2">
      <c r="A613" s="275"/>
      <c r="B613" s="78"/>
      <c r="C613" s="189"/>
      <c r="D613" s="185"/>
      <c r="E613" s="229"/>
      <c r="F613" s="230"/>
    </row>
    <row r="614" spans="1:6" x14ac:dyDescent="0.2">
      <c r="A614" s="275"/>
      <c r="B614" s="78"/>
      <c r="C614" s="189"/>
      <c r="D614" s="185"/>
      <c r="E614" s="229"/>
      <c r="F614" s="230"/>
    </row>
    <row r="615" spans="1:6" x14ac:dyDescent="0.2">
      <c r="A615" s="275"/>
      <c r="B615" s="78"/>
      <c r="C615" s="189"/>
      <c r="D615" s="185"/>
      <c r="E615" s="229"/>
      <c r="F615" s="230"/>
    </row>
    <row r="616" spans="1:6" x14ac:dyDescent="0.2">
      <c r="A616" s="275"/>
      <c r="B616" s="78"/>
      <c r="C616" s="189"/>
      <c r="D616" s="185"/>
      <c r="E616" s="229"/>
      <c r="F616" s="230"/>
    </row>
    <row r="617" spans="1:6" x14ac:dyDescent="0.2">
      <c r="A617" s="275"/>
      <c r="B617" s="78"/>
      <c r="C617" s="189"/>
      <c r="D617" s="185"/>
      <c r="E617" s="229"/>
      <c r="F617" s="230"/>
    </row>
    <row r="618" spans="1:6" x14ac:dyDescent="0.2">
      <c r="A618" s="275"/>
      <c r="B618" s="78"/>
      <c r="C618" s="189"/>
      <c r="D618" s="185"/>
      <c r="E618" s="229"/>
      <c r="F618" s="230"/>
    </row>
    <row r="619" spans="1:6" x14ac:dyDescent="0.2">
      <c r="A619" s="275"/>
      <c r="B619" s="78"/>
      <c r="C619" s="189"/>
      <c r="D619" s="185"/>
      <c r="E619" s="229"/>
      <c r="F619" s="230"/>
    </row>
    <row r="620" spans="1:6" x14ac:dyDescent="0.2">
      <c r="A620" s="275"/>
      <c r="B620" s="78"/>
      <c r="C620" s="189"/>
      <c r="D620" s="185"/>
      <c r="E620" s="229"/>
      <c r="F620" s="230"/>
    </row>
    <row r="621" spans="1:6" x14ac:dyDescent="0.2">
      <c r="A621" s="275"/>
      <c r="B621" s="78"/>
      <c r="C621" s="189"/>
      <c r="D621" s="185"/>
      <c r="E621" s="229"/>
      <c r="F621" s="230"/>
    </row>
    <row r="622" spans="1:6" x14ac:dyDescent="0.2">
      <c r="A622" s="275"/>
      <c r="B622" s="78"/>
      <c r="C622" s="189"/>
      <c r="D622" s="185"/>
      <c r="E622" s="229"/>
      <c r="F622" s="230"/>
    </row>
    <row r="623" spans="1:6" x14ac:dyDescent="0.2">
      <c r="A623" s="275"/>
      <c r="B623" s="78"/>
      <c r="C623" s="189"/>
      <c r="D623" s="185"/>
      <c r="E623" s="229"/>
      <c r="F623" s="230"/>
    </row>
    <row r="624" spans="1:6" x14ac:dyDescent="0.2">
      <c r="A624" s="275"/>
      <c r="B624" s="78"/>
      <c r="C624" s="189"/>
      <c r="D624" s="185"/>
      <c r="E624" s="229"/>
      <c r="F624" s="230"/>
    </row>
    <row r="625" spans="1:6" x14ac:dyDescent="0.2">
      <c r="A625" s="275"/>
      <c r="B625" s="78"/>
      <c r="C625" s="189"/>
      <c r="D625" s="185"/>
      <c r="E625" s="229"/>
      <c r="F625" s="230"/>
    </row>
    <row r="626" spans="1:6" x14ac:dyDescent="0.2">
      <c r="A626" s="275"/>
      <c r="B626" s="78"/>
      <c r="C626" s="189"/>
      <c r="D626" s="185"/>
      <c r="E626" s="229"/>
      <c r="F626" s="230"/>
    </row>
    <row r="627" spans="1:6" x14ac:dyDescent="0.2">
      <c r="A627" s="275"/>
      <c r="B627" s="78"/>
      <c r="C627" s="189"/>
      <c r="D627" s="185"/>
      <c r="E627" s="229"/>
      <c r="F627" s="230"/>
    </row>
    <row r="628" spans="1:6" x14ac:dyDescent="0.2">
      <c r="A628" s="275"/>
      <c r="B628" s="78"/>
      <c r="C628" s="189"/>
      <c r="D628" s="185"/>
      <c r="E628" s="229"/>
      <c r="F628" s="230"/>
    </row>
    <row r="629" spans="1:6" x14ac:dyDescent="0.2">
      <c r="A629" s="275"/>
      <c r="B629" s="78"/>
      <c r="C629" s="189"/>
      <c r="D629" s="185"/>
      <c r="E629" s="229"/>
      <c r="F629" s="230"/>
    </row>
    <row r="630" spans="1:6" x14ac:dyDescent="0.2">
      <c r="A630" s="275"/>
      <c r="B630" s="78"/>
      <c r="C630" s="189"/>
      <c r="D630" s="185"/>
      <c r="E630" s="229"/>
      <c r="F630" s="230"/>
    </row>
    <row r="631" spans="1:6" x14ac:dyDescent="0.2">
      <c r="A631" s="275"/>
      <c r="B631" s="78"/>
      <c r="C631" s="189"/>
      <c r="D631" s="185"/>
      <c r="E631" s="229"/>
      <c r="F631" s="230"/>
    </row>
    <row r="632" spans="1:6" x14ac:dyDescent="0.2">
      <c r="A632" s="275"/>
      <c r="B632" s="78"/>
      <c r="C632" s="189"/>
      <c r="D632" s="185"/>
      <c r="E632" s="229"/>
      <c r="F632" s="230"/>
    </row>
    <row r="633" spans="1:6" x14ac:dyDescent="0.2">
      <c r="A633" s="275"/>
      <c r="B633" s="78"/>
      <c r="C633" s="189"/>
      <c r="D633" s="185"/>
      <c r="E633" s="229"/>
      <c r="F633" s="230"/>
    </row>
    <row r="634" spans="1:6" x14ac:dyDescent="0.2">
      <c r="A634" s="275"/>
      <c r="B634" s="78"/>
      <c r="C634" s="189"/>
      <c r="D634" s="185"/>
      <c r="E634" s="229"/>
      <c r="F634" s="230"/>
    </row>
    <row r="635" spans="1:6" x14ac:dyDescent="0.2">
      <c r="A635" s="275"/>
      <c r="B635" s="78"/>
      <c r="C635" s="189"/>
      <c r="D635" s="185"/>
      <c r="E635" s="229"/>
      <c r="F635" s="230"/>
    </row>
    <row r="636" spans="1:6" x14ac:dyDescent="0.2">
      <c r="A636" s="275"/>
      <c r="B636" s="78"/>
      <c r="C636" s="189"/>
      <c r="D636" s="185"/>
      <c r="E636" s="229"/>
      <c r="F636" s="230"/>
    </row>
    <row r="637" spans="1:6" x14ac:dyDescent="0.2">
      <c r="A637" s="275"/>
      <c r="B637" s="78"/>
      <c r="C637" s="189"/>
      <c r="D637" s="185"/>
      <c r="E637" s="229"/>
      <c r="F637" s="230"/>
    </row>
    <row r="638" spans="1:6" x14ac:dyDescent="0.2">
      <c r="A638" s="275"/>
      <c r="B638" s="78"/>
      <c r="C638" s="189"/>
      <c r="D638" s="185"/>
      <c r="E638" s="229"/>
      <c r="F638" s="230"/>
    </row>
    <row r="639" spans="1:6" x14ac:dyDescent="0.2">
      <c r="A639" s="275"/>
      <c r="B639" s="78"/>
      <c r="C639" s="189"/>
      <c r="D639" s="185"/>
      <c r="E639" s="229"/>
      <c r="F639" s="230"/>
    </row>
    <row r="640" spans="1:6" x14ac:dyDescent="0.2">
      <c r="A640" s="275"/>
      <c r="B640" s="78"/>
      <c r="C640" s="189"/>
      <c r="D640" s="185"/>
      <c r="E640" s="229"/>
      <c r="F640" s="230"/>
    </row>
    <row r="641" spans="1:6" x14ac:dyDescent="0.2">
      <c r="A641" s="275"/>
      <c r="B641" s="78"/>
      <c r="C641" s="189"/>
      <c r="D641" s="185"/>
      <c r="E641" s="229"/>
      <c r="F641" s="230"/>
    </row>
    <row r="642" spans="1:6" x14ac:dyDescent="0.2">
      <c r="A642" s="275"/>
      <c r="B642" s="78"/>
      <c r="C642" s="189"/>
      <c r="D642" s="185"/>
      <c r="E642" s="229"/>
      <c r="F642" s="230"/>
    </row>
    <row r="643" spans="1:6" x14ac:dyDescent="0.2">
      <c r="A643" s="275"/>
      <c r="B643" s="78"/>
      <c r="C643" s="189"/>
      <c r="D643" s="185"/>
      <c r="E643" s="229"/>
      <c r="F643" s="230"/>
    </row>
    <row r="644" spans="1:6" x14ac:dyDescent="0.2">
      <c r="A644" s="275"/>
      <c r="B644" s="78"/>
      <c r="C644" s="189"/>
      <c r="D644" s="185"/>
      <c r="E644" s="229"/>
      <c r="F644" s="230"/>
    </row>
    <row r="645" spans="1:6" x14ac:dyDescent="0.2">
      <c r="A645" s="275"/>
      <c r="B645" s="78"/>
      <c r="C645" s="189"/>
      <c r="D645" s="185"/>
      <c r="E645" s="229"/>
      <c r="F645" s="230"/>
    </row>
    <row r="646" spans="1:6" x14ac:dyDescent="0.2">
      <c r="A646" s="275"/>
      <c r="B646" s="78"/>
      <c r="C646" s="189"/>
      <c r="D646" s="185"/>
      <c r="E646" s="229"/>
      <c r="F646" s="230"/>
    </row>
    <row r="647" spans="1:6" x14ac:dyDescent="0.2">
      <c r="A647" s="275"/>
      <c r="B647" s="78"/>
      <c r="C647" s="189"/>
      <c r="D647" s="185"/>
      <c r="E647" s="229"/>
      <c r="F647" s="230"/>
    </row>
    <row r="648" spans="1:6" x14ac:dyDescent="0.2">
      <c r="A648" s="275"/>
      <c r="B648" s="78"/>
      <c r="C648" s="189"/>
      <c r="D648" s="185"/>
      <c r="E648" s="229"/>
      <c r="F648" s="230"/>
    </row>
    <row r="649" spans="1:6" x14ac:dyDescent="0.2">
      <c r="A649" s="275"/>
      <c r="B649" s="78"/>
      <c r="C649" s="189"/>
      <c r="D649" s="185"/>
      <c r="E649" s="229"/>
      <c r="F649" s="230"/>
    </row>
    <row r="650" spans="1:6" x14ac:dyDescent="0.2">
      <c r="A650" s="275"/>
      <c r="B650" s="78"/>
      <c r="C650" s="189"/>
      <c r="D650" s="185"/>
      <c r="E650" s="229"/>
      <c r="F650" s="230"/>
    </row>
    <row r="651" spans="1:6" x14ac:dyDescent="0.2">
      <c r="A651" s="275"/>
      <c r="B651" s="78"/>
      <c r="C651" s="189"/>
      <c r="D651" s="185"/>
      <c r="E651" s="229"/>
      <c r="F651" s="230"/>
    </row>
    <row r="652" spans="1:6" x14ac:dyDescent="0.2">
      <c r="A652" s="275"/>
      <c r="B652" s="78"/>
      <c r="C652" s="189"/>
      <c r="D652" s="185"/>
      <c r="E652" s="229"/>
      <c r="F652" s="230"/>
    </row>
    <row r="653" spans="1:6" x14ac:dyDescent="0.2">
      <c r="A653" s="275"/>
      <c r="B653" s="78"/>
      <c r="C653" s="189"/>
      <c r="D653" s="185"/>
      <c r="E653" s="229"/>
      <c r="F653" s="230"/>
    </row>
    <row r="654" spans="1:6" x14ac:dyDescent="0.2">
      <c r="A654" s="275"/>
      <c r="B654" s="78"/>
      <c r="C654" s="189"/>
      <c r="D654" s="185"/>
      <c r="E654" s="229"/>
      <c r="F654" s="230"/>
    </row>
    <row r="655" spans="1:6" x14ac:dyDescent="0.2">
      <c r="A655" s="275"/>
      <c r="B655" s="78"/>
      <c r="C655" s="189"/>
      <c r="D655" s="185"/>
      <c r="E655" s="229"/>
      <c r="F655" s="230"/>
    </row>
    <row r="656" spans="1:6" x14ac:dyDescent="0.2">
      <c r="A656" s="275"/>
      <c r="B656" s="78"/>
      <c r="C656" s="189"/>
      <c r="D656" s="185"/>
      <c r="E656" s="229"/>
      <c r="F656" s="230"/>
    </row>
    <row r="657" spans="1:6" x14ac:dyDescent="0.2">
      <c r="A657" s="275"/>
      <c r="B657" s="78"/>
      <c r="C657" s="189"/>
      <c r="D657" s="185"/>
      <c r="E657" s="229"/>
      <c r="F657" s="230"/>
    </row>
    <row r="658" spans="1:6" x14ac:dyDescent="0.2">
      <c r="A658" s="275"/>
      <c r="B658" s="78"/>
      <c r="C658" s="189"/>
      <c r="D658" s="185"/>
      <c r="E658" s="229"/>
      <c r="F658" s="230"/>
    </row>
    <row r="659" spans="1:6" x14ac:dyDescent="0.2">
      <c r="A659" s="275"/>
      <c r="B659" s="78"/>
      <c r="C659" s="189"/>
      <c r="D659" s="185"/>
      <c r="E659" s="229"/>
      <c r="F659" s="230"/>
    </row>
    <row r="660" spans="1:6" x14ac:dyDescent="0.2">
      <c r="A660" s="275"/>
      <c r="B660" s="78"/>
      <c r="C660" s="189"/>
      <c r="D660" s="185"/>
      <c r="E660" s="229"/>
      <c r="F660" s="230"/>
    </row>
    <row r="661" spans="1:6" x14ac:dyDescent="0.2">
      <c r="A661" s="275"/>
      <c r="B661" s="78"/>
      <c r="C661" s="189"/>
      <c r="D661" s="185"/>
      <c r="E661" s="229"/>
      <c r="F661" s="230"/>
    </row>
    <row r="662" spans="1:6" x14ac:dyDescent="0.2">
      <c r="A662" s="275"/>
      <c r="B662" s="78"/>
      <c r="C662" s="189"/>
      <c r="D662" s="185"/>
      <c r="E662" s="229"/>
      <c r="F662" s="230"/>
    </row>
    <row r="663" spans="1:6" x14ac:dyDescent="0.2">
      <c r="A663" s="275"/>
      <c r="B663" s="78"/>
      <c r="C663" s="189"/>
      <c r="D663" s="185"/>
      <c r="E663" s="229"/>
      <c r="F663" s="230"/>
    </row>
    <row r="664" spans="1:6" x14ac:dyDescent="0.2">
      <c r="A664" s="275"/>
      <c r="B664" s="78"/>
      <c r="C664" s="189"/>
      <c r="D664" s="185"/>
      <c r="E664" s="229"/>
      <c r="F664" s="230"/>
    </row>
    <row r="665" spans="1:6" x14ac:dyDescent="0.2">
      <c r="A665" s="275"/>
      <c r="B665" s="78"/>
      <c r="C665" s="189"/>
      <c r="D665" s="185"/>
      <c r="E665" s="229"/>
      <c r="F665" s="230"/>
    </row>
    <row r="666" spans="1:6" x14ac:dyDescent="0.2">
      <c r="A666" s="275"/>
      <c r="B666" s="78"/>
      <c r="C666" s="189"/>
      <c r="D666" s="185"/>
      <c r="E666" s="229"/>
      <c r="F666" s="230"/>
    </row>
    <row r="667" spans="1:6" x14ac:dyDescent="0.2">
      <c r="A667" s="275"/>
      <c r="B667" s="78"/>
      <c r="C667" s="189"/>
      <c r="D667" s="185"/>
      <c r="E667" s="229"/>
      <c r="F667" s="230"/>
    </row>
    <row r="668" spans="1:6" x14ac:dyDescent="0.2">
      <c r="A668" s="275"/>
      <c r="B668" s="78"/>
      <c r="C668" s="189"/>
      <c r="D668" s="185"/>
      <c r="E668" s="229"/>
      <c r="F668" s="230"/>
    </row>
    <row r="669" spans="1:6" x14ac:dyDescent="0.2">
      <c r="A669" s="275"/>
      <c r="B669" s="78"/>
      <c r="C669" s="189"/>
      <c r="D669" s="185"/>
      <c r="E669" s="229"/>
      <c r="F669" s="230"/>
    </row>
    <row r="670" spans="1:6" x14ac:dyDescent="0.2">
      <c r="A670" s="275"/>
      <c r="B670" s="78"/>
      <c r="C670" s="189"/>
      <c r="D670" s="185"/>
      <c r="E670" s="229"/>
      <c r="F670" s="230"/>
    </row>
    <row r="671" spans="1:6" x14ac:dyDescent="0.2">
      <c r="A671" s="275"/>
      <c r="B671" s="78"/>
      <c r="C671" s="189"/>
      <c r="D671" s="185"/>
      <c r="E671" s="229"/>
      <c r="F671" s="230"/>
    </row>
    <row r="672" spans="1:6" x14ac:dyDescent="0.2">
      <c r="A672" s="275"/>
      <c r="B672" s="78"/>
      <c r="C672" s="189"/>
      <c r="D672" s="185"/>
      <c r="E672" s="229"/>
      <c r="F672" s="230"/>
    </row>
    <row r="673" spans="1:6" x14ac:dyDescent="0.2">
      <c r="A673" s="275"/>
      <c r="B673" s="78"/>
      <c r="C673" s="189"/>
      <c r="D673" s="185"/>
      <c r="E673" s="229"/>
      <c r="F673" s="230"/>
    </row>
    <row r="674" spans="1:6" x14ac:dyDescent="0.2">
      <c r="A674" s="275"/>
      <c r="B674" s="78"/>
      <c r="C674" s="189"/>
      <c r="D674" s="185"/>
      <c r="E674" s="229"/>
      <c r="F674" s="230"/>
    </row>
    <row r="675" spans="1:6" x14ac:dyDescent="0.2">
      <c r="A675" s="275"/>
      <c r="B675" s="78"/>
      <c r="C675" s="189"/>
      <c r="D675" s="185"/>
      <c r="E675" s="229"/>
      <c r="F675" s="230"/>
    </row>
    <row r="676" spans="1:6" x14ac:dyDescent="0.2">
      <c r="A676" s="275"/>
      <c r="B676" s="78"/>
      <c r="C676" s="189"/>
      <c r="D676" s="185"/>
      <c r="E676" s="229"/>
      <c r="F676" s="230"/>
    </row>
    <row r="677" spans="1:6" x14ac:dyDescent="0.2">
      <c r="A677" s="275"/>
      <c r="B677" s="78"/>
      <c r="C677" s="189"/>
      <c r="D677" s="185"/>
      <c r="E677" s="229"/>
      <c r="F677" s="230"/>
    </row>
    <row r="678" spans="1:6" x14ac:dyDescent="0.2">
      <c r="A678" s="275"/>
      <c r="B678" s="78"/>
      <c r="C678" s="189"/>
      <c r="D678" s="185"/>
      <c r="E678" s="229"/>
      <c r="F678" s="230"/>
    </row>
    <row r="679" spans="1:6" x14ac:dyDescent="0.2">
      <c r="A679" s="275"/>
      <c r="B679" s="78"/>
      <c r="C679" s="189"/>
      <c r="D679" s="185"/>
      <c r="E679" s="229"/>
      <c r="F679" s="230"/>
    </row>
    <row r="680" spans="1:6" x14ac:dyDescent="0.2">
      <c r="A680" s="275"/>
      <c r="B680" s="78"/>
      <c r="C680" s="189"/>
      <c r="D680" s="185"/>
      <c r="E680" s="229"/>
      <c r="F680" s="230"/>
    </row>
    <row r="681" spans="1:6" x14ac:dyDescent="0.2">
      <c r="A681" s="275"/>
      <c r="B681" s="78"/>
      <c r="C681" s="189"/>
      <c r="D681" s="185"/>
      <c r="E681" s="229"/>
      <c r="F681" s="230"/>
    </row>
    <row r="682" spans="1:6" x14ac:dyDescent="0.2">
      <c r="A682" s="275"/>
      <c r="B682" s="78"/>
      <c r="C682" s="189"/>
      <c r="D682" s="185"/>
      <c r="E682" s="229"/>
      <c r="F682" s="230"/>
    </row>
    <row r="683" spans="1:6" x14ac:dyDescent="0.2">
      <c r="A683" s="275"/>
      <c r="B683" s="78"/>
      <c r="C683" s="189"/>
      <c r="D683" s="185"/>
      <c r="E683" s="229"/>
      <c r="F683" s="230"/>
    </row>
    <row r="684" spans="1:6" x14ac:dyDescent="0.2">
      <c r="A684" s="275"/>
      <c r="B684" s="78"/>
      <c r="C684" s="189"/>
      <c r="D684" s="185"/>
      <c r="E684" s="229"/>
      <c r="F684" s="230"/>
    </row>
    <row r="685" spans="1:6" x14ac:dyDescent="0.2">
      <c r="A685" s="275"/>
      <c r="B685" s="78"/>
      <c r="C685" s="189"/>
      <c r="D685" s="185"/>
      <c r="E685" s="229"/>
      <c r="F685" s="230"/>
    </row>
    <row r="686" spans="1:6" x14ac:dyDescent="0.2">
      <c r="A686" s="275"/>
      <c r="B686" s="78"/>
      <c r="C686" s="189"/>
      <c r="D686" s="185"/>
      <c r="E686" s="229"/>
      <c r="F686" s="230"/>
    </row>
    <row r="687" spans="1:6" x14ac:dyDescent="0.2">
      <c r="A687" s="275"/>
      <c r="B687" s="78"/>
      <c r="C687" s="189"/>
      <c r="D687" s="185"/>
      <c r="E687" s="229"/>
      <c r="F687" s="230"/>
    </row>
    <row r="688" spans="1:6" x14ac:dyDescent="0.2">
      <c r="A688" s="275"/>
      <c r="B688" s="78"/>
      <c r="C688" s="189"/>
      <c r="D688" s="185"/>
      <c r="E688" s="229"/>
      <c r="F688" s="230"/>
    </row>
    <row r="689" spans="1:6" x14ac:dyDescent="0.2">
      <c r="A689" s="275"/>
      <c r="B689" s="78"/>
      <c r="C689" s="189"/>
      <c r="D689" s="185"/>
      <c r="E689" s="229"/>
      <c r="F689" s="230"/>
    </row>
    <row r="690" spans="1:6" x14ac:dyDescent="0.2">
      <c r="A690" s="275"/>
      <c r="B690" s="78"/>
      <c r="C690" s="189"/>
      <c r="D690" s="185"/>
      <c r="E690" s="229"/>
      <c r="F690" s="230"/>
    </row>
    <row r="691" spans="1:6" x14ac:dyDescent="0.2">
      <c r="A691" s="275"/>
      <c r="B691" s="78"/>
      <c r="C691" s="189"/>
      <c r="D691" s="185"/>
      <c r="E691" s="229"/>
      <c r="F691" s="230"/>
    </row>
    <row r="692" spans="1:6" x14ac:dyDescent="0.2">
      <c r="A692" s="275"/>
      <c r="B692" s="78"/>
      <c r="C692" s="189"/>
      <c r="D692" s="185"/>
      <c r="E692" s="229"/>
      <c r="F692" s="230"/>
    </row>
    <row r="693" spans="1:6" x14ac:dyDescent="0.2">
      <c r="A693" s="275"/>
      <c r="B693" s="78"/>
      <c r="C693" s="189"/>
      <c r="D693" s="185"/>
      <c r="E693" s="229"/>
      <c r="F693" s="230"/>
    </row>
    <row r="694" spans="1:6" x14ac:dyDescent="0.2">
      <c r="A694" s="275"/>
      <c r="B694" s="78"/>
      <c r="C694" s="189"/>
      <c r="D694" s="185"/>
      <c r="E694" s="229"/>
      <c r="F694" s="230"/>
    </row>
    <row r="695" spans="1:6" x14ac:dyDescent="0.2">
      <c r="A695" s="275"/>
      <c r="B695" s="78"/>
      <c r="C695" s="189"/>
      <c r="D695" s="185"/>
      <c r="E695" s="229"/>
      <c r="F695" s="230"/>
    </row>
    <row r="696" spans="1:6" x14ac:dyDescent="0.2">
      <c r="A696" s="275"/>
      <c r="B696" s="78"/>
      <c r="C696" s="189"/>
      <c r="D696" s="185"/>
      <c r="E696" s="229"/>
      <c r="F696" s="230"/>
    </row>
    <row r="697" spans="1:6" x14ac:dyDescent="0.2">
      <c r="A697" s="275"/>
      <c r="B697" s="78"/>
      <c r="C697" s="189"/>
      <c r="D697" s="185"/>
      <c r="E697" s="229"/>
      <c r="F697" s="230"/>
    </row>
    <row r="698" spans="1:6" x14ac:dyDescent="0.2">
      <c r="A698" s="275"/>
      <c r="B698" s="78"/>
      <c r="C698" s="189"/>
      <c r="D698" s="185"/>
      <c r="E698" s="229"/>
      <c r="F698" s="230"/>
    </row>
    <row r="699" spans="1:6" x14ac:dyDescent="0.2">
      <c r="A699" s="275"/>
      <c r="B699" s="78"/>
      <c r="C699" s="189"/>
      <c r="D699" s="185"/>
      <c r="E699" s="229"/>
      <c r="F699" s="230"/>
    </row>
    <row r="700" spans="1:6" x14ac:dyDescent="0.2">
      <c r="A700" s="275"/>
      <c r="B700" s="78"/>
      <c r="C700" s="189"/>
      <c r="D700" s="185"/>
      <c r="E700" s="229"/>
      <c r="F700" s="230"/>
    </row>
    <row r="701" spans="1:6" x14ac:dyDescent="0.2">
      <c r="A701" s="275"/>
      <c r="B701" s="78"/>
      <c r="C701" s="189"/>
      <c r="D701" s="185"/>
      <c r="E701" s="229"/>
      <c r="F701" s="230"/>
    </row>
    <row r="702" spans="1:6" x14ac:dyDescent="0.2">
      <c r="A702" s="275"/>
      <c r="B702" s="78"/>
      <c r="C702" s="189"/>
      <c r="D702" s="185"/>
      <c r="E702" s="229"/>
      <c r="F702" s="230"/>
    </row>
    <row r="703" spans="1:6" x14ac:dyDescent="0.2">
      <c r="A703" s="275"/>
      <c r="B703" s="78"/>
      <c r="C703" s="189"/>
      <c r="D703" s="185"/>
      <c r="E703" s="229"/>
      <c r="F703" s="230"/>
    </row>
    <row r="704" spans="1:6" x14ac:dyDescent="0.2">
      <c r="A704" s="275"/>
      <c r="B704" s="78"/>
      <c r="C704" s="189"/>
      <c r="D704" s="185"/>
      <c r="E704" s="229"/>
      <c r="F704" s="230"/>
    </row>
    <row r="705" spans="1:6" x14ac:dyDescent="0.2">
      <c r="A705" s="275"/>
      <c r="B705" s="78"/>
      <c r="C705" s="189"/>
      <c r="D705" s="185"/>
      <c r="E705" s="229"/>
      <c r="F705" s="230"/>
    </row>
    <row r="706" spans="1:6" x14ac:dyDescent="0.2">
      <c r="A706" s="275"/>
      <c r="B706" s="78"/>
      <c r="C706" s="189"/>
      <c r="D706" s="185"/>
      <c r="E706" s="229"/>
      <c r="F706" s="230"/>
    </row>
    <row r="707" spans="1:6" x14ac:dyDescent="0.2">
      <c r="A707" s="275"/>
      <c r="B707" s="78"/>
      <c r="C707" s="189"/>
      <c r="D707" s="185"/>
      <c r="E707" s="229"/>
      <c r="F707" s="230"/>
    </row>
    <row r="708" spans="1:6" x14ac:dyDescent="0.2">
      <c r="A708" s="275"/>
      <c r="B708" s="78"/>
      <c r="C708" s="189"/>
      <c r="D708" s="185"/>
      <c r="E708" s="229"/>
      <c r="F708" s="230"/>
    </row>
    <row r="709" spans="1:6" x14ac:dyDescent="0.2">
      <c r="A709" s="275"/>
      <c r="B709" s="78"/>
      <c r="C709" s="189"/>
      <c r="D709" s="185"/>
      <c r="E709" s="229"/>
      <c r="F709" s="230"/>
    </row>
    <row r="710" spans="1:6" x14ac:dyDescent="0.2">
      <c r="A710" s="275"/>
      <c r="B710" s="78"/>
      <c r="C710" s="189"/>
      <c r="D710" s="185"/>
      <c r="E710" s="229"/>
      <c r="F710" s="230"/>
    </row>
    <row r="711" spans="1:6" x14ac:dyDescent="0.2">
      <c r="A711" s="275"/>
      <c r="B711" s="78"/>
      <c r="C711" s="189"/>
      <c r="D711" s="185"/>
      <c r="E711" s="229"/>
      <c r="F711" s="230"/>
    </row>
    <row r="712" spans="1:6" x14ac:dyDescent="0.2">
      <c r="A712" s="275"/>
      <c r="B712" s="78"/>
      <c r="C712" s="189"/>
      <c r="D712" s="185"/>
      <c r="E712" s="229"/>
      <c r="F712" s="230"/>
    </row>
    <row r="713" spans="1:6" x14ac:dyDescent="0.2">
      <c r="A713" s="275"/>
      <c r="B713" s="78"/>
      <c r="C713" s="189"/>
      <c r="D713" s="185"/>
      <c r="E713" s="229"/>
      <c r="F713" s="230"/>
    </row>
    <row r="714" spans="1:6" x14ac:dyDescent="0.2">
      <c r="A714" s="275"/>
      <c r="B714" s="78"/>
      <c r="C714" s="189"/>
      <c r="D714" s="185"/>
      <c r="E714" s="229"/>
      <c r="F714" s="230"/>
    </row>
    <row r="715" spans="1:6" x14ac:dyDescent="0.2">
      <c r="A715" s="275"/>
      <c r="B715" s="78"/>
      <c r="C715" s="189"/>
      <c r="D715" s="185"/>
      <c r="E715" s="229"/>
      <c r="F715" s="230"/>
    </row>
    <row r="716" spans="1:6" x14ac:dyDescent="0.2">
      <c r="A716" s="275"/>
      <c r="B716" s="78"/>
      <c r="C716" s="189"/>
      <c r="D716" s="185"/>
      <c r="E716" s="229"/>
      <c r="F716" s="230"/>
    </row>
    <row r="717" spans="1:6" x14ac:dyDescent="0.2">
      <c r="A717" s="275"/>
      <c r="B717" s="78"/>
      <c r="C717" s="189"/>
      <c r="D717" s="185"/>
      <c r="E717" s="229"/>
      <c r="F717" s="230"/>
    </row>
    <row r="718" spans="1:6" x14ac:dyDescent="0.2">
      <c r="A718" s="275"/>
      <c r="B718" s="78"/>
      <c r="C718" s="189"/>
      <c r="D718" s="185"/>
      <c r="E718" s="229"/>
      <c r="F718" s="230"/>
    </row>
    <row r="719" spans="1:6" x14ac:dyDescent="0.2">
      <c r="A719" s="275"/>
      <c r="B719" s="78"/>
      <c r="C719" s="189"/>
      <c r="D719" s="185"/>
      <c r="E719" s="229"/>
      <c r="F719" s="230"/>
    </row>
    <row r="720" spans="1:6" x14ac:dyDescent="0.2">
      <c r="A720" s="275"/>
      <c r="B720" s="78"/>
      <c r="C720" s="189"/>
      <c r="D720" s="185"/>
      <c r="E720" s="229"/>
      <c r="F720" s="230"/>
    </row>
    <row r="721" spans="1:6" x14ac:dyDescent="0.2">
      <c r="A721" s="275"/>
      <c r="B721" s="78"/>
      <c r="C721" s="189"/>
      <c r="D721" s="185"/>
      <c r="E721" s="229"/>
      <c r="F721" s="230"/>
    </row>
    <row r="722" spans="1:6" x14ac:dyDescent="0.2">
      <c r="A722" s="275"/>
      <c r="B722" s="78"/>
      <c r="C722" s="189"/>
      <c r="D722" s="185"/>
      <c r="E722" s="229"/>
      <c r="F722" s="230"/>
    </row>
    <row r="723" spans="1:6" x14ac:dyDescent="0.2">
      <c r="A723" s="275"/>
      <c r="B723" s="78"/>
      <c r="C723" s="189"/>
      <c r="D723" s="185"/>
      <c r="E723" s="229"/>
      <c r="F723" s="230"/>
    </row>
    <row r="724" spans="1:6" x14ac:dyDescent="0.2">
      <c r="A724" s="275"/>
      <c r="B724" s="78"/>
      <c r="C724" s="189"/>
      <c r="D724" s="185"/>
      <c r="E724" s="229"/>
      <c r="F724" s="230"/>
    </row>
    <row r="725" spans="1:6" x14ac:dyDescent="0.2">
      <c r="A725" s="275"/>
      <c r="B725" s="78"/>
      <c r="C725" s="189"/>
      <c r="D725" s="185"/>
      <c r="E725" s="229"/>
      <c r="F725" s="230"/>
    </row>
    <row r="726" spans="1:6" x14ac:dyDescent="0.2">
      <c r="A726" s="275"/>
      <c r="B726" s="78"/>
      <c r="C726" s="189"/>
      <c r="D726" s="185"/>
      <c r="E726" s="229"/>
      <c r="F726" s="230"/>
    </row>
    <row r="727" spans="1:6" x14ac:dyDescent="0.2">
      <c r="A727" s="275"/>
      <c r="B727" s="78"/>
      <c r="C727" s="189"/>
      <c r="D727" s="185"/>
      <c r="E727" s="229"/>
      <c r="F727" s="230"/>
    </row>
    <row r="728" spans="1:6" x14ac:dyDescent="0.2">
      <c r="A728" s="275"/>
      <c r="B728" s="78"/>
      <c r="C728" s="189"/>
      <c r="D728" s="185"/>
      <c r="E728" s="229"/>
      <c r="F728" s="230"/>
    </row>
    <row r="729" spans="1:6" x14ac:dyDescent="0.2">
      <c r="A729" s="275"/>
      <c r="B729" s="78"/>
      <c r="C729" s="189"/>
      <c r="D729" s="185"/>
      <c r="E729" s="229"/>
      <c r="F729" s="230"/>
    </row>
    <row r="730" spans="1:6" x14ac:dyDescent="0.2">
      <c r="A730" s="275"/>
      <c r="B730" s="78"/>
      <c r="C730" s="189"/>
      <c r="D730" s="185"/>
      <c r="E730" s="229"/>
      <c r="F730" s="230"/>
    </row>
    <row r="731" spans="1:6" x14ac:dyDescent="0.2">
      <c r="A731" s="275"/>
      <c r="B731" s="78"/>
      <c r="C731" s="189"/>
      <c r="D731" s="185"/>
      <c r="E731" s="229"/>
      <c r="F731" s="230"/>
    </row>
    <row r="732" spans="1:6" x14ac:dyDescent="0.2">
      <c r="A732" s="275"/>
      <c r="B732" s="78"/>
      <c r="C732" s="189"/>
      <c r="D732" s="185"/>
      <c r="E732" s="229"/>
      <c r="F732" s="230"/>
    </row>
    <row r="733" spans="1:6" x14ac:dyDescent="0.2">
      <c r="A733" s="275"/>
      <c r="B733" s="78"/>
      <c r="C733" s="189"/>
      <c r="D733" s="185"/>
      <c r="E733" s="229"/>
      <c r="F733" s="230"/>
    </row>
    <row r="734" spans="1:6" x14ac:dyDescent="0.2">
      <c r="A734" s="275"/>
      <c r="B734" s="78"/>
      <c r="C734" s="189"/>
      <c r="D734" s="185"/>
      <c r="E734" s="229"/>
      <c r="F734" s="230"/>
    </row>
    <row r="735" spans="1:6" x14ac:dyDescent="0.2">
      <c r="A735" s="275"/>
      <c r="B735" s="78"/>
      <c r="C735" s="189"/>
      <c r="D735" s="185"/>
      <c r="E735" s="229"/>
      <c r="F735" s="230"/>
    </row>
    <row r="736" spans="1:6" x14ac:dyDescent="0.2">
      <c r="A736" s="275"/>
      <c r="B736" s="78"/>
      <c r="C736" s="189"/>
      <c r="D736" s="185"/>
      <c r="E736" s="229"/>
      <c r="F736" s="230"/>
    </row>
    <row r="737" spans="1:6" x14ac:dyDescent="0.2">
      <c r="A737" s="275"/>
      <c r="B737" s="78"/>
      <c r="C737" s="189"/>
      <c r="D737" s="185"/>
      <c r="E737" s="229"/>
      <c r="F737" s="230"/>
    </row>
    <row r="738" spans="1:6" x14ac:dyDescent="0.2">
      <c r="A738" s="275"/>
      <c r="B738" s="78"/>
      <c r="C738" s="189"/>
      <c r="D738" s="185"/>
      <c r="E738" s="229"/>
      <c r="F738" s="230"/>
    </row>
    <row r="739" spans="1:6" x14ac:dyDescent="0.2">
      <c r="A739" s="275"/>
      <c r="B739" s="78"/>
      <c r="C739" s="189"/>
      <c r="D739" s="185"/>
      <c r="E739" s="229"/>
      <c r="F739" s="230"/>
    </row>
    <row r="740" spans="1:6" x14ac:dyDescent="0.2">
      <c r="A740" s="275"/>
      <c r="B740" s="78"/>
      <c r="C740" s="189"/>
      <c r="D740" s="185"/>
      <c r="E740" s="229"/>
      <c r="F740" s="230"/>
    </row>
    <row r="741" spans="1:6" x14ac:dyDescent="0.2">
      <c r="A741" s="275"/>
      <c r="B741" s="78"/>
      <c r="C741" s="189"/>
      <c r="D741" s="185"/>
      <c r="E741" s="229"/>
      <c r="F741" s="230"/>
    </row>
    <row r="742" spans="1:6" x14ac:dyDescent="0.2">
      <c r="A742" s="275"/>
      <c r="B742" s="78"/>
      <c r="C742" s="189"/>
      <c r="D742" s="185"/>
      <c r="E742" s="229"/>
      <c r="F742" s="230"/>
    </row>
    <row r="743" spans="1:6" x14ac:dyDescent="0.2">
      <c r="A743" s="275"/>
      <c r="B743" s="78"/>
      <c r="C743" s="189"/>
      <c r="D743" s="185"/>
      <c r="E743" s="229"/>
      <c r="F743" s="230"/>
    </row>
    <row r="744" spans="1:6" x14ac:dyDescent="0.2">
      <c r="A744" s="275"/>
      <c r="B744" s="78"/>
      <c r="C744" s="189"/>
      <c r="D744" s="185"/>
      <c r="E744" s="229"/>
      <c r="F744" s="230"/>
    </row>
    <row r="745" spans="1:6" x14ac:dyDescent="0.2">
      <c r="A745" s="275"/>
      <c r="B745" s="78"/>
      <c r="C745" s="189"/>
      <c r="D745" s="185"/>
      <c r="E745" s="229"/>
      <c r="F745" s="230"/>
    </row>
    <row r="746" spans="1:6" x14ac:dyDescent="0.2">
      <c r="A746" s="275"/>
      <c r="B746" s="78"/>
      <c r="C746" s="189"/>
      <c r="D746" s="185"/>
      <c r="E746" s="229"/>
      <c r="F746" s="230"/>
    </row>
    <row r="747" spans="1:6" x14ac:dyDescent="0.2">
      <c r="A747" s="275"/>
      <c r="B747" s="78"/>
      <c r="C747" s="189"/>
      <c r="D747" s="185"/>
      <c r="E747" s="229"/>
      <c r="F747" s="230"/>
    </row>
    <row r="748" spans="1:6" x14ac:dyDescent="0.2">
      <c r="A748" s="275"/>
      <c r="B748" s="78"/>
      <c r="C748" s="189"/>
      <c r="D748" s="185"/>
      <c r="E748" s="229"/>
      <c r="F748" s="230"/>
    </row>
    <row r="749" spans="1:6" x14ac:dyDescent="0.2">
      <c r="A749" s="275"/>
      <c r="B749" s="78"/>
      <c r="C749" s="189"/>
      <c r="D749" s="185"/>
      <c r="E749" s="229"/>
      <c r="F749" s="230"/>
    </row>
    <row r="750" spans="1:6" x14ac:dyDescent="0.2">
      <c r="A750" s="275"/>
      <c r="B750" s="78"/>
      <c r="C750" s="189"/>
      <c r="D750" s="185"/>
      <c r="E750" s="229"/>
      <c r="F750" s="230"/>
    </row>
    <row r="751" spans="1:6" x14ac:dyDescent="0.2">
      <c r="A751" s="275"/>
      <c r="B751" s="78"/>
      <c r="C751" s="189"/>
      <c r="D751" s="185"/>
      <c r="E751" s="229"/>
      <c r="F751" s="230"/>
    </row>
    <row r="752" spans="1:6" x14ac:dyDescent="0.2">
      <c r="A752" s="275"/>
      <c r="B752" s="78"/>
      <c r="C752" s="189"/>
      <c r="D752" s="185"/>
      <c r="E752" s="229"/>
      <c r="F752" s="230"/>
    </row>
    <row r="753" spans="1:6" x14ac:dyDescent="0.2">
      <c r="A753" s="275"/>
      <c r="B753" s="78"/>
      <c r="C753" s="189"/>
      <c r="D753" s="185"/>
      <c r="E753" s="229"/>
      <c r="F753" s="230"/>
    </row>
    <row r="754" spans="1:6" x14ac:dyDescent="0.2">
      <c r="A754" s="275"/>
      <c r="B754" s="78"/>
      <c r="C754" s="189"/>
      <c r="D754" s="185"/>
      <c r="E754" s="229"/>
      <c r="F754" s="230"/>
    </row>
    <row r="755" spans="1:6" x14ac:dyDescent="0.2">
      <c r="A755" s="275"/>
      <c r="B755" s="78"/>
      <c r="C755" s="189"/>
      <c r="D755" s="185"/>
      <c r="E755" s="229"/>
      <c r="F755" s="230"/>
    </row>
    <row r="756" spans="1:6" x14ac:dyDescent="0.2">
      <c r="A756" s="275"/>
      <c r="B756" s="78"/>
      <c r="C756" s="189"/>
      <c r="D756" s="185"/>
      <c r="E756" s="229"/>
      <c r="F756" s="230"/>
    </row>
    <row r="757" spans="1:6" x14ac:dyDescent="0.2">
      <c r="A757" s="275"/>
      <c r="B757" s="78"/>
      <c r="C757" s="189"/>
      <c r="D757" s="185"/>
      <c r="E757" s="229"/>
      <c r="F757" s="230"/>
    </row>
    <row r="758" spans="1:6" x14ac:dyDescent="0.2">
      <c r="A758" s="275"/>
      <c r="B758" s="78"/>
      <c r="C758" s="189"/>
      <c r="D758" s="185"/>
      <c r="E758" s="229"/>
      <c r="F758" s="230"/>
    </row>
    <row r="759" spans="1:6" x14ac:dyDescent="0.2">
      <c r="A759" s="275"/>
      <c r="B759" s="78"/>
      <c r="C759" s="189"/>
      <c r="D759" s="185"/>
      <c r="E759" s="229"/>
      <c r="F759" s="230"/>
    </row>
    <row r="760" spans="1:6" x14ac:dyDescent="0.2">
      <c r="A760" s="275"/>
      <c r="B760" s="78"/>
      <c r="C760" s="189"/>
      <c r="D760" s="185"/>
      <c r="E760" s="229"/>
      <c r="F760" s="230"/>
    </row>
    <row r="761" spans="1:6" x14ac:dyDescent="0.2">
      <c r="A761" s="275"/>
      <c r="B761" s="78"/>
      <c r="C761" s="189"/>
      <c r="D761" s="185"/>
      <c r="E761" s="229"/>
      <c r="F761" s="230"/>
    </row>
    <row r="762" spans="1:6" x14ac:dyDescent="0.2">
      <c r="A762" s="275"/>
      <c r="B762" s="78"/>
      <c r="C762" s="189"/>
      <c r="D762" s="185"/>
      <c r="E762" s="229"/>
      <c r="F762" s="230"/>
    </row>
    <row r="763" spans="1:6" x14ac:dyDescent="0.2">
      <c r="A763" s="275"/>
      <c r="B763" s="78"/>
      <c r="C763" s="189"/>
      <c r="D763" s="185"/>
      <c r="E763" s="229"/>
      <c r="F763" s="230"/>
    </row>
    <row r="764" spans="1:6" x14ac:dyDescent="0.2">
      <c r="A764" s="275"/>
      <c r="B764" s="78"/>
      <c r="C764" s="189"/>
      <c r="D764" s="185"/>
      <c r="E764" s="229"/>
      <c r="F764" s="230"/>
    </row>
    <row r="765" spans="1:6" x14ac:dyDescent="0.2">
      <c r="A765" s="275"/>
      <c r="B765" s="78"/>
      <c r="C765" s="189"/>
      <c r="D765" s="185"/>
      <c r="E765" s="229"/>
      <c r="F765" s="230"/>
    </row>
    <row r="766" spans="1:6" x14ac:dyDescent="0.2">
      <c r="A766" s="275"/>
      <c r="B766" s="78"/>
      <c r="C766" s="189"/>
      <c r="D766" s="185"/>
      <c r="E766" s="229"/>
      <c r="F766" s="230"/>
    </row>
    <row r="767" spans="1:6" x14ac:dyDescent="0.2">
      <c r="A767" s="275"/>
      <c r="B767" s="78"/>
      <c r="C767" s="189"/>
      <c r="D767" s="185"/>
      <c r="E767" s="229"/>
      <c r="F767" s="230"/>
    </row>
    <row r="768" spans="1:6" x14ac:dyDescent="0.2">
      <c r="A768" s="275"/>
      <c r="B768" s="78"/>
      <c r="C768" s="189"/>
      <c r="D768" s="185"/>
      <c r="E768" s="229"/>
      <c r="F768" s="230"/>
    </row>
    <row r="769" spans="1:6" x14ac:dyDescent="0.2">
      <c r="A769" s="275"/>
      <c r="B769" s="78"/>
      <c r="C769" s="189"/>
      <c r="D769" s="185"/>
      <c r="E769" s="229"/>
      <c r="F769" s="230"/>
    </row>
    <row r="770" spans="1:6" x14ac:dyDescent="0.2">
      <c r="A770" s="275"/>
      <c r="B770" s="78"/>
      <c r="C770" s="189"/>
      <c r="D770" s="185"/>
      <c r="E770" s="229"/>
      <c r="F770" s="230"/>
    </row>
    <row r="771" spans="1:6" x14ac:dyDescent="0.2">
      <c r="A771" s="275"/>
      <c r="B771" s="78"/>
      <c r="C771" s="189"/>
      <c r="D771" s="185"/>
      <c r="E771" s="229"/>
      <c r="F771" s="230"/>
    </row>
    <row r="772" spans="1:6" x14ac:dyDescent="0.2">
      <c r="A772" s="275"/>
      <c r="B772" s="78"/>
      <c r="C772" s="189"/>
      <c r="D772" s="185"/>
      <c r="E772" s="229"/>
      <c r="F772" s="230"/>
    </row>
    <row r="773" spans="1:6" x14ac:dyDescent="0.2">
      <c r="A773" s="275"/>
      <c r="B773" s="78"/>
      <c r="C773" s="189"/>
      <c r="D773" s="185"/>
      <c r="E773" s="229"/>
      <c r="F773" s="230"/>
    </row>
    <row r="774" spans="1:6" x14ac:dyDescent="0.2">
      <c r="A774" s="275"/>
      <c r="B774" s="78"/>
      <c r="C774" s="189"/>
      <c r="D774" s="185"/>
      <c r="E774" s="229"/>
      <c r="F774" s="230"/>
    </row>
    <row r="775" spans="1:6" x14ac:dyDescent="0.2">
      <c r="A775" s="275"/>
      <c r="B775" s="78"/>
      <c r="C775" s="189"/>
      <c r="D775" s="185"/>
      <c r="E775" s="229"/>
      <c r="F775" s="230"/>
    </row>
    <row r="776" spans="1:6" x14ac:dyDescent="0.2">
      <c r="A776" s="275"/>
      <c r="B776" s="78"/>
      <c r="C776" s="189"/>
      <c r="D776" s="185"/>
      <c r="E776" s="229"/>
      <c r="F776" s="230"/>
    </row>
    <row r="777" spans="1:6" x14ac:dyDescent="0.2">
      <c r="A777" s="275"/>
      <c r="B777" s="78"/>
      <c r="C777" s="189"/>
      <c r="D777" s="185"/>
      <c r="E777" s="229"/>
      <c r="F777" s="230"/>
    </row>
    <row r="778" spans="1:6" x14ac:dyDescent="0.2">
      <c r="A778" s="275"/>
      <c r="B778" s="78"/>
      <c r="C778" s="189"/>
      <c r="D778" s="185"/>
      <c r="E778" s="229"/>
      <c r="F778" s="230"/>
    </row>
    <row r="779" spans="1:6" x14ac:dyDescent="0.2">
      <c r="A779" s="275"/>
      <c r="B779" s="78"/>
      <c r="C779" s="189"/>
      <c r="D779" s="185"/>
      <c r="E779" s="229"/>
      <c r="F779" s="230"/>
    </row>
    <row r="780" spans="1:6" x14ac:dyDescent="0.2">
      <c r="A780" s="275"/>
      <c r="B780" s="78"/>
      <c r="C780" s="189"/>
      <c r="D780" s="185"/>
      <c r="E780" s="229"/>
      <c r="F780" s="230"/>
    </row>
    <row r="781" spans="1:6" x14ac:dyDescent="0.2">
      <c r="A781" s="275"/>
      <c r="B781" s="78"/>
      <c r="C781" s="189"/>
      <c r="D781" s="185"/>
      <c r="E781" s="229"/>
      <c r="F781" s="230"/>
    </row>
    <row r="782" spans="1:6" x14ac:dyDescent="0.2">
      <c r="A782" s="275"/>
      <c r="B782" s="78"/>
      <c r="C782" s="189"/>
      <c r="D782" s="185"/>
      <c r="E782" s="229"/>
      <c r="F782" s="230"/>
    </row>
    <row r="783" spans="1:6" x14ac:dyDescent="0.2">
      <c r="A783" s="275"/>
      <c r="B783" s="78"/>
      <c r="C783" s="189"/>
      <c r="D783" s="185"/>
      <c r="E783" s="229"/>
      <c r="F783" s="230"/>
    </row>
    <row r="784" spans="1:6" x14ac:dyDescent="0.2">
      <c r="A784" s="275"/>
      <c r="B784" s="78"/>
      <c r="C784" s="189"/>
      <c r="D784" s="185"/>
      <c r="E784" s="229"/>
      <c r="F784" s="230"/>
    </row>
    <row r="785" spans="1:6" x14ac:dyDescent="0.2">
      <c r="A785" s="275"/>
      <c r="B785" s="78"/>
      <c r="C785" s="189"/>
      <c r="D785" s="185"/>
      <c r="E785" s="229"/>
      <c r="F785" s="230"/>
    </row>
    <row r="786" spans="1:6" x14ac:dyDescent="0.2">
      <c r="A786" s="275"/>
      <c r="B786" s="78"/>
      <c r="C786" s="189"/>
      <c r="D786" s="185"/>
      <c r="E786" s="229"/>
      <c r="F786" s="230"/>
    </row>
    <row r="787" spans="1:6" x14ac:dyDescent="0.2">
      <c r="A787" s="275"/>
      <c r="B787" s="78"/>
      <c r="C787" s="189"/>
      <c r="D787" s="185"/>
      <c r="E787" s="229"/>
      <c r="F787" s="230"/>
    </row>
    <row r="788" spans="1:6" x14ac:dyDescent="0.2">
      <c r="A788" s="275"/>
      <c r="B788" s="78"/>
      <c r="C788" s="189"/>
      <c r="D788" s="185"/>
      <c r="E788" s="229"/>
      <c r="F788" s="230"/>
    </row>
    <row r="789" spans="1:6" x14ac:dyDescent="0.2">
      <c r="A789" s="275"/>
      <c r="B789" s="78"/>
      <c r="C789" s="189"/>
      <c r="D789" s="185"/>
      <c r="E789" s="229"/>
      <c r="F789" s="230"/>
    </row>
    <row r="790" spans="1:6" x14ac:dyDescent="0.2">
      <c r="A790" s="275"/>
      <c r="B790" s="78"/>
      <c r="C790" s="189"/>
      <c r="D790" s="185"/>
      <c r="E790" s="229"/>
      <c r="F790" s="230"/>
    </row>
    <row r="791" spans="1:6" x14ac:dyDescent="0.2">
      <c r="A791" s="275"/>
      <c r="B791" s="78"/>
      <c r="C791" s="189"/>
      <c r="D791" s="185"/>
      <c r="E791" s="229"/>
      <c r="F791" s="230"/>
    </row>
    <row r="792" spans="1:6" x14ac:dyDescent="0.2">
      <c r="A792" s="275"/>
      <c r="B792" s="78"/>
      <c r="C792" s="189"/>
      <c r="D792" s="185"/>
      <c r="E792" s="229"/>
      <c r="F792" s="230"/>
    </row>
    <row r="793" spans="1:6" x14ac:dyDescent="0.2">
      <c r="A793" s="275"/>
      <c r="B793" s="78"/>
      <c r="C793" s="189"/>
      <c r="D793" s="185"/>
      <c r="E793" s="229"/>
      <c r="F793" s="230"/>
    </row>
    <row r="794" spans="1:6" x14ac:dyDescent="0.2">
      <c r="A794" s="275"/>
      <c r="B794" s="78"/>
      <c r="C794" s="189"/>
      <c r="D794" s="185"/>
      <c r="E794" s="229"/>
      <c r="F794" s="230"/>
    </row>
    <row r="795" spans="1:6" x14ac:dyDescent="0.2">
      <c r="A795" s="275"/>
      <c r="B795" s="78"/>
      <c r="C795" s="189"/>
      <c r="D795" s="185"/>
      <c r="E795" s="229"/>
      <c r="F795" s="230"/>
    </row>
    <row r="796" spans="1:6" x14ac:dyDescent="0.2">
      <c r="A796" s="275"/>
      <c r="B796" s="78"/>
      <c r="C796" s="189"/>
      <c r="D796" s="185"/>
      <c r="E796" s="229"/>
      <c r="F796" s="230"/>
    </row>
    <row r="797" spans="1:6" x14ac:dyDescent="0.2">
      <c r="A797" s="275"/>
      <c r="B797" s="78"/>
      <c r="C797" s="189"/>
      <c r="D797" s="185"/>
      <c r="E797" s="229"/>
      <c r="F797" s="230"/>
    </row>
    <row r="798" spans="1:6" x14ac:dyDescent="0.2">
      <c r="A798" s="275"/>
      <c r="B798" s="78"/>
      <c r="C798" s="189"/>
      <c r="D798" s="185"/>
      <c r="E798" s="229"/>
      <c r="F798" s="230"/>
    </row>
    <row r="799" spans="1:6" x14ac:dyDescent="0.2">
      <c r="A799" s="275"/>
      <c r="B799" s="78"/>
      <c r="C799" s="189"/>
      <c r="D799" s="185"/>
      <c r="E799" s="229"/>
      <c r="F799" s="230"/>
    </row>
    <row r="800" spans="1:6" x14ac:dyDescent="0.2">
      <c r="A800" s="275"/>
      <c r="B800" s="78"/>
      <c r="C800" s="189"/>
      <c r="D800" s="185"/>
      <c r="E800" s="229"/>
      <c r="F800" s="230"/>
    </row>
    <row r="801" spans="1:6" x14ac:dyDescent="0.2">
      <c r="A801" s="275"/>
      <c r="B801" s="78"/>
      <c r="C801" s="189"/>
      <c r="D801" s="185"/>
      <c r="E801" s="229"/>
      <c r="F801" s="230"/>
    </row>
    <row r="802" spans="1:6" x14ac:dyDescent="0.2">
      <c r="A802" s="275"/>
      <c r="B802" s="78"/>
      <c r="C802" s="189"/>
      <c r="D802" s="185"/>
      <c r="E802" s="229"/>
      <c r="F802" s="230"/>
    </row>
    <row r="803" spans="1:6" x14ac:dyDescent="0.2">
      <c r="A803" s="275"/>
      <c r="B803" s="78"/>
      <c r="C803" s="189"/>
      <c r="D803" s="185"/>
      <c r="E803" s="229"/>
      <c r="F803" s="230"/>
    </row>
    <row r="804" spans="1:6" x14ac:dyDescent="0.2">
      <c r="A804" s="275"/>
      <c r="B804" s="78"/>
      <c r="C804" s="189"/>
      <c r="D804" s="185"/>
      <c r="E804" s="229"/>
      <c r="F804" s="230"/>
    </row>
    <row r="805" spans="1:6" x14ac:dyDescent="0.2">
      <c r="A805" s="275"/>
      <c r="B805" s="78"/>
      <c r="C805" s="189"/>
      <c r="D805" s="185"/>
      <c r="E805" s="229"/>
      <c r="F805" s="230"/>
    </row>
    <row r="806" spans="1:6" x14ac:dyDescent="0.2">
      <c r="A806" s="275"/>
      <c r="B806" s="78"/>
      <c r="C806" s="189"/>
      <c r="D806" s="185"/>
      <c r="E806" s="229"/>
      <c r="F806" s="230"/>
    </row>
    <row r="807" spans="1:6" x14ac:dyDescent="0.2">
      <c r="A807" s="275"/>
      <c r="B807" s="78"/>
      <c r="C807" s="189"/>
      <c r="D807" s="185"/>
      <c r="E807" s="229"/>
      <c r="F807" s="230"/>
    </row>
    <row r="808" spans="1:6" x14ac:dyDescent="0.2">
      <c r="A808" s="275"/>
      <c r="B808" s="78"/>
      <c r="C808" s="189"/>
      <c r="D808" s="185"/>
      <c r="E808" s="229"/>
      <c r="F808" s="230"/>
    </row>
    <row r="809" spans="1:6" x14ac:dyDescent="0.2">
      <c r="A809" s="275"/>
      <c r="B809" s="78"/>
      <c r="C809" s="189"/>
      <c r="D809" s="185"/>
      <c r="E809" s="229"/>
      <c r="F809" s="230"/>
    </row>
    <row r="810" spans="1:6" x14ac:dyDescent="0.2">
      <c r="A810" s="275"/>
      <c r="B810" s="78"/>
      <c r="C810" s="189"/>
      <c r="D810" s="185"/>
      <c r="E810" s="229"/>
      <c r="F810" s="230"/>
    </row>
    <row r="811" spans="1:6" x14ac:dyDescent="0.2">
      <c r="A811" s="275"/>
      <c r="B811" s="78"/>
      <c r="C811" s="189"/>
      <c r="D811" s="185"/>
      <c r="E811" s="229"/>
      <c r="F811" s="230"/>
    </row>
    <row r="812" spans="1:6" x14ac:dyDescent="0.2">
      <c r="A812" s="275"/>
      <c r="B812" s="78"/>
      <c r="C812" s="189"/>
      <c r="D812" s="185"/>
      <c r="E812" s="229"/>
      <c r="F812" s="230"/>
    </row>
    <row r="813" spans="1:6" x14ac:dyDescent="0.2">
      <c r="A813" s="275"/>
      <c r="B813" s="78"/>
      <c r="C813" s="189"/>
      <c r="D813" s="185"/>
      <c r="E813" s="229"/>
      <c r="F813" s="230"/>
    </row>
    <row r="814" spans="1:6" x14ac:dyDescent="0.2">
      <c r="A814" s="275"/>
      <c r="B814" s="78"/>
      <c r="C814" s="189"/>
      <c r="D814" s="185"/>
      <c r="E814" s="229"/>
      <c r="F814" s="230"/>
    </row>
    <row r="815" spans="1:6" x14ac:dyDescent="0.2">
      <c r="A815" s="275"/>
      <c r="B815" s="78"/>
      <c r="C815" s="189"/>
      <c r="D815" s="185"/>
      <c r="E815" s="229"/>
      <c r="F815" s="230"/>
    </row>
    <row r="816" spans="1:6" x14ac:dyDescent="0.2">
      <c r="A816" s="275"/>
      <c r="B816" s="78"/>
      <c r="C816" s="189"/>
      <c r="D816" s="185"/>
      <c r="E816" s="229"/>
      <c r="F816" s="230"/>
    </row>
    <row r="817" spans="1:6" x14ac:dyDescent="0.2">
      <c r="A817" s="275"/>
      <c r="B817" s="78"/>
      <c r="C817" s="189"/>
      <c r="D817" s="185"/>
      <c r="E817" s="229"/>
      <c r="F817" s="230"/>
    </row>
    <row r="818" spans="1:6" x14ac:dyDescent="0.2">
      <c r="A818" s="275"/>
      <c r="B818" s="78"/>
      <c r="C818" s="189"/>
      <c r="D818" s="185"/>
      <c r="E818" s="229"/>
      <c r="F818" s="230"/>
    </row>
    <row r="819" spans="1:6" x14ac:dyDescent="0.2">
      <c r="A819" s="275"/>
      <c r="B819" s="78"/>
      <c r="C819" s="189"/>
      <c r="D819" s="185"/>
      <c r="E819" s="229"/>
      <c r="F819" s="230"/>
    </row>
    <row r="820" spans="1:6" x14ac:dyDescent="0.2">
      <c r="A820" s="275"/>
      <c r="B820" s="78"/>
      <c r="C820" s="189"/>
      <c r="D820" s="185"/>
      <c r="E820" s="229"/>
      <c r="F820" s="230"/>
    </row>
    <row r="821" spans="1:6" x14ac:dyDescent="0.2">
      <c r="A821" s="275"/>
      <c r="B821" s="78"/>
      <c r="C821" s="189"/>
      <c r="D821" s="185"/>
      <c r="E821" s="229"/>
      <c r="F821" s="230"/>
    </row>
    <row r="822" spans="1:6" x14ac:dyDescent="0.2">
      <c r="A822" s="275"/>
      <c r="B822" s="78"/>
      <c r="C822" s="189"/>
      <c r="D822" s="185"/>
      <c r="E822" s="229"/>
      <c r="F822" s="230"/>
    </row>
    <row r="823" spans="1:6" x14ac:dyDescent="0.2">
      <c r="A823" s="275"/>
      <c r="B823" s="78"/>
      <c r="C823" s="189"/>
      <c r="D823" s="185"/>
      <c r="E823" s="229"/>
      <c r="F823" s="230"/>
    </row>
    <row r="824" spans="1:6" x14ac:dyDescent="0.2">
      <c r="A824" s="275"/>
      <c r="B824" s="78"/>
      <c r="C824" s="189"/>
      <c r="D824" s="185"/>
      <c r="E824" s="229"/>
      <c r="F824" s="230"/>
    </row>
    <row r="825" spans="1:6" x14ac:dyDescent="0.2">
      <c r="A825" s="275"/>
      <c r="B825" s="78"/>
      <c r="C825" s="189"/>
      <c r="D825" s="185"/>
      <c r="E825" s="229"/>
      <c r="F825" s="230"/>
    </row>
    <row r="826" spans="1:6" x14ac:dyDescent="0.2">
      <c r="A826" s="275"/>
      <c r="B826" s="78"/>
      <c r="C826" s="189"/>
      <c r="D826" s="185"/>
      <c r="E826" s="229"/>
      <c r="F826" s="230"/>
    </row>
    <row r="827" spans="1:6" x14ac:dyDescent="0.2">
      <c r="A827" s="275"/>
      <c r="B827" s="78"/>
      <c r="C827" s="189"/>
      <c r="D827" s="185"/>
      <c r="E827" s="229"/>
      <c r="F827" s="230"/>
    </row>
    <row r="828" spans="1:6" x14ac:dyDescent="0.2">
      <c r="A828" s="275"/>
      <c r="B828" s="78"/>
      <c r="C828" s="189"/>
      <c r="D828" s="185"/>
      <c r="E828" s="229"/>
      <c r="F828" s="230"/>
    </row>
    <row r="829" spans="1:6" x14ac:dyDescent="0.2">
      <c r="A829" s="275"/>
      <c r="B829" s="78"/>
      <c r="C829" s="189"/>
      <c r="D829" s="185"/>
      <c r="E829" s="229"/>
      <c r="F829" s="230"/>
    </row>
    <row r="830" spans="1:6" x14ac:dyDescent="0.2">
      <c r="A830" s="275"/>
      <c r="B830" s="78"/>
      <c r="C830" s="189"/>
      <c r="D830" s="185"/>
      <c r="E830" s="229"/>
      <c r="F830" s="230"/>
    </row>
    <row r="831" spans="1:6" x14ac:dyDescent="0.2">
      <c r="A831" s="275"/>
      <c r="B831" s="78"/>
      <c r="C831" s="189"/>
      <c r="D831" s="185"/>
      <c r="E831" s="229"/>
      <c r="F831" s="230"/>
    </row>
    <row r="832" spans="1:6" x14ac:dyDescent="0.2">
      <c r="A832" s="275"/>
      <c r="B832" s="78"/>
      <c r="C832" s="189"/>
      <c r="D832" s="185"/>
      <c r="E832" s="229"/>
      <c r="F832" s="230"/>
    </row>
    <row r="833" spans="1:6" x14ac:dyDescent="0.2">
      <c r="A833" s="275"/>
      <c r="B833" s="78"/>
      <c r="C833" s="189"/>
      <c r="D833" s="185"/>
      <c r="E833" s="229"/>
      <c r="F833" s="230"/>
    </row>
    <row r="834" spans="1:6" x14ac:dyDescent="0.2">
      <c r="A834" s="275"/>
      <c r="B834" s="78"/>
      <c r="C834" s="189"/>
      <c r="D834" s="185"/>
      <c r="E834" s="229"/>
      <c r="F834" s="230"/>
    </row>
    <row r="835" spans="1:6" x14ac:dyDescent="0.2">
      <c r="A835" s="275"/>
      <c r="B835" s="78"/>
      <c r="C835" s="189"/>
      <c r="D835" s="185"/>
      <c r="E835" s="229"/>
      <c r="F835" s="230"/>
    </row>
    <row r="836" spans="1:6" x14ac:dyDescent="0.2">
      <c r="A836" s="275"/>
      <c r="B836" s="78"/>
      <c r="C836" s="189"/>
      <c r="D836" s="185"/>
      <c r="E836" s="229"/>
      <c r="F836" s="230"/>
    </row>
    <row r="837" spans="1:6" x14ac:dyDescent="0.2">
      <c r="A837" s="275"/>
      <c r="B837" s="78"/>
      <c r="C837" s="189"/>
      <c r="D837" s="185"/>
      <c r="E837" s="229"/>
      <c r="F837" s="230"/>
    </row>
    <row r="838" spans="1:6" x14ac:dyDescent="0.2">
      <c r="A838" s="275"/>
      <c r="B838" s="78"/>
      <c r="C838" s="189"/>
      <c r="D838" s="185"/>
      <c r="E838" s="229"/>
      <c r="F838" s="230"/>
    </row>
    <row r="839" spans="1:6" x14ac:dyDescent="0.2">
      <c r="A839" s="275"/>
      <c r="B839" s="78"/>
      <c r="C839" s="189"/>
      <c r="D839" s="185"/>
      <c r="E839" s="229"/>
      <c r="F839" s="230"/>
    </row>
    <row r="840" spans="1:6" x14ac:dyDescent="0.2">
      <c r="A840" s="275"/>
      <c r="B840" s="78"/>
      <c r="C840" s="189"/>
      <c r="D840" s="185"/>
      <c r="E840" s="229"/>
      <c r="F840" s="230"/>
    </row>
    <row r="841" spans="1:6" x14ac:dyDescent="0.2">
      <c r="A841" s="275"/>
      <c r="B841" s="78"/>
      <c r="C841" s="189"/>
      <c r="D841" s="185"/>
      <c r="E841" s="229"/>
      <c r="F841" s="230"/>
    </row>
    <row r="842" spans="1:6" x14ac:dyDescent="0.2">
      <c r="A842" s="275"/>
      <c r="B842" s="78"/>
      <c r="C842" s="189"/>
      <c r="D842" s="185"/>
      <c r="E842" s="229"/>
      <c r="F842" s="230"/>
    </row>
    <row r="843" spans="1:6" x14ac:dyDescent="0.2">
      <c r="A843" s="275"/>
      <c r="B843" s="78"/>
      <c r="C843" s="189"/>
      <c r="D843" s="185"/>
      <c r="E843" s="229"/>
      <c r="F843" s="230"/>
    </row>
    <row r="844" spans="1:6" x14ac:dyDescent="0.2">
      <c r="A844" s="275"/>
      <c r="B844" s="78"/>
      <c r="C844" s="189"/>
      <c r="D844" s="185"/>
      <c r="E844" s="229"/>
      <c r="F844" s="230"/>
    </row>
    <row r="845" spans="1:6" x14ac:dyDescent="0.2">
      <c r="A845" s="275"/>
      <c r="B845" s="78"/>
      <c r="C845" s="189"/>
      <c r="D845" s="185"/>
      <c r="E845" s="229"/>
      <c r="F845" s="230"/>
    </row>
    <row r="846" spans="1:6" x14ac:dyDescent="0.2">
      <c r="A846" s="275"/>
      <c r="B846" s="78"/>
      <c r="C846" s="189"/>
      <c r="D846" s="185"/>
      <c r="E846" s="229"/>
      <c r="F846" s="230"/>
    </row>
    <row r="847" spans="1:6" x14ac:dyDescent="0.2">
      <c r="A847" s="275"/>
      <c r="B847" s="78"/>
      <c r="C847" s="189"/>
      <c r="D847" s="185"/>
      <c r="E847" s="229"/>
      <c r="F847" s="230"/>
    </row>
    <row r="848" spans="1:6" x14ac:dyDescent="0.2">
      <c r="A848" s="275"/>
      <c r="B848" s="78"/>
      <c r="C848" s="189"/>
      <c r="D848" s="185"/>
      <c r="E848" s="229"/>
      <c r="F848" s="230"/>
    </row>
    <row r="849" spans="1:6" x14ac:dyDescent="0.2">
      <c r="A849" s="275"/>
      <c r="B849" s="78"/>
      <c r="C849" s="189"/>
      <c r="D849" s="185"/>
      <c r="E849" s="229"/>
      <c r="F849" s="230"/>
    </row>
    <row r="850" spans="1:6" x14ac:dyDescent="0.2">
      <c r="A850" s="275"/>
      <c r="B850" s="78"/>
      <c r="C850" s="189"/>
      <c r="D850" s="185"/>
      <c r="E850" s="229"/>
      <c r="F850" s="230"/>
    </row>
    <row r="851" spans="1:6" x14ac:dyDescent="0.2">
      <c r="A851" s="275"/>
      <c r="B851" s="78"/>
      <c r="C851" s="189"/>
      <c r="D851" s="185"/>
      <c r="E851" s="229"/>
      <c r="F851" s="230"/>
    </row>
    <row r="852" spans="1:6" x14ac:dyDescent="0.2">
      <c r="A852" s="275"/>
      <c r="B852" s="78"/>
      <c r="C852" s="189"/>
      <c r="D852" s="185"/>
      <c r="E852" s="229"/>
      <c r="F852" s="230"/>
    </row>
    <row r="853" spans="1:6" x14ac:dyDescent="0.2">
      <c r="A853" s="275"/>
      <c r="B853" s="78"/>
      <c r="C853" s="189"/>
      <c r="D853" s="185"/>
      <c r="E853" s="229"/>
      <c r="F853" s="230"/>
    </row>
    <row r="854" spans="1:6" x14ac:dyDescent="0.2">
      <c r="A854" s="275"/>
      <c r="B854" s="78"/>
      <c r="C854" s="189"/>
      <c r="D854" s="185"/>
      <c r="E854" s="229"/>
      <c r="F854" s="230"/>
    </row>
    <row r="855" spans="1:6" x14ac:dyDescent="0.2">
      <c r="A855" s="275"/>
      <c r="B855" s="78"/>
      <c r="C855" s="189"/>
      <c r="D855" s="185"/>
      <c r="E855" s="229"/>
      <c r="F855" s="230"/>
    </row>
    <row r="856" spans="1:6" x14ac:dyDescent="0.2">
      <c r="A856" s="275"/>
      <c r="B856" s="78"/>
      <c r="C856" s="189"/>
      <c r="D856" s="185"/>
      <c r="E856" s="229"/>
      <c r="F856" s="230"/>
    </row>
    <row r="857" spans="1:6" x14ac:dyDescent="0.2">
      <c r="A857" s="275"/>
      <c r="B857" s="78"/>
      <c r="C857" s="189"/>
      <c r="D857" s="185"/>
      <c r="E857" s="229"/>
      <c r="F857" s="230"/>
    </row>
    <row r="858" spans="1:6" x14ac:dyDescent="0.2">
      <c r="A858" s="275"/>
      <c r="B858" s="78"/>
      <c r="C858" s="189"/>
      <c r="D858" s="185"/>
      <c r="E858" s="229"/>
      <c r="F858" s="230"/>
    </row>
    <row r="859" spans="1:6" x14ac:dyDescent="0.2">
      <c r="A859" s="275"/>
      <c r="B859" s="78"/>
      <c r="C859" s="189"/>
      <c r="D859" s="185"/>
      <c r="E859" s="229"/>
      <c r="F859" s="230"/>
    </row>
    <row r="860" spans="1:6" x14ac:dyDescent="0.2">
      <c r="A860" s="275"/>
      <c r="B860" s="78"/>
      <c r="C860" s="189"/>
      <c r="D860" s="185"/>
      <c r="E860" s="229"/>
      <c r="F860" s="230"/>
    </row>
    <row r="861" spans="1:6" x14ac:dyDescent="0.2">
      <c r="A861" s="275"/>
      <c r="B861" s="78"/>
      <c r="C861" s="189"/>
      <c r="D861" s="185"/>
      <c r="E861" s="229"/>
      <c r="F861" s="230"/>
    </row>
    <row r="862" spans="1:6" x14ac:dyDescent="0.2">
      <c r="A862" s="275"/>
      <c r="B862" s="78"/>
      <c r="C862" s="189"/>
      <c r="D862" s="185"/>
      <c r="E862" s="229"/>
      <c r="F862" s="230"/>
    </row>
    <row r="863" spans="1:6" x14ac:dyDescent="0.2">
      <c r="A863" s="275"/>
      <c r="B863" s="78"/>
      <c r="C863" s="189"/>
      <c r="D863" s="185"/>
      <c r="E863" s="229"/>
      <c r="F863" s="230"/>
    </row>
    <row r="864" spans="1:6" x14ac:dyDescent="0.2">
      <c r="A864" s="275"/>
      <c r="B864" s="78"/>
      <c r="C864" s="189"/>
      <c r="D864" s="185"/>
      <c r="E864" s="229"/>
      <c r="F864" s="230"/>
    </row>
    <row r="865" spans="1:6" x14ac:dyDescent="0.2">
      <c r="A865" s="275"/>
      <c r="B865" s="78"/>
      <c r="C865" s="189"/>
      <c r="D865" s="185"/>
      <c r="E865" s="229"/>
      <c r="F865" s="230"/>
    </row>
    <row r="866" spans="1:6" x14ac:dyDescent="0.2">
      <c r="A866" s="275"/>
      <c r="B866" s="78"/>
      <c r="C866" s="189"/>
      <c r="D866" s="185"/>
      <c r="E866" s="229"/>
      <c r="F866" s="230"/>
    </row>
    <row r="867" spans="1:6" x14ac:dyDescent="0.2">
      <c r="A867" s="275"/>
      <c r="B867" s="78"/>
      <c r="C867" s="189"/>
      <c r="D867" s="185"/>
      <c r="E867" s="229"/>
      <c r="F867" s="230"/>
    </row>
    <row r="868" spans="1:6" x14ac:dyDescent="0.2">
      <c r="A868" s="275"/>
      <c r="B868" s="78"/>
      <c r="C868" s="189"/>
      <c r="D868" s="185"/>
      <c r="E868" s="229"/>
      <c r="F868" s="230"/>
    </row>
    <row r="869" spans="1:6" x14ac:dyDescent="0.2">
      <c r="A869" s="275"/>
      <c r="B869" s="78"/>
      <c r="C869" s="189"/>
      <c r="D869" s="185"/>
      <c r="E869" s="229"/>
      <c r="F869" s="230"/>
    </row>
    <row r="870" spans="1:6" x14ac:dyDescent="0.2">
      <c r="A870" s="275"/>
      <c r="B870" s="78"/>
      <c r="C870" s="189"/>
      <c r="D870" s="185"/>
      <c r="E870" s="229"/>
      <c r="F870" s="230"/>
    </row>
    <row r="871" spans="1:6" x14ac:dyDescent="0.2">
      <c r="A871" s="275"/>
      <c r="B871" s="78"/>
      <c r="C871" s="189"/>
      <c r="D871" s="185"/>
      <c r="E871" s="229"/>
      <c r="F871" s="230"/>
    </row>
    <row r="872" spans="1:6" x14ac:dyDescent="0.2">
      <c r="A872" s="275"/>
      <c r="B872" s="78"/>
      <c r="C872" s="189"/>
      <c r="D872" s="185"/>
      <c r="E872" s="229"/>
      <c r="F872" s="230"/>
    </row>
    <row r="873" spans="1:6" x14ac:dyDescent="0.2">
      <c r="A873" s="275"/>
      <c r="B873" s="78"/>
      <c r="C873" s="189"/>
      <c r="D873" s="185"/>
      <c r="E873" s="229"/>
      <c r="F873" s="230"/>
    </row>
    <row r="874" spans="1:6" x14ac:dyDescent="0.2">
      <c r="A874" s="275"/>
      <c r="B874" s="78"/>
      <c r="C874" s="189"/>
      <c r="D874" s="185"/>
      <c r="E874" s="229"/>
      <c r="F874" s="230"/>
    </row>
    <row r="875" spans="1:6" x14ac:dyDescent="0.2">
      <c r="A875" s="275"/>
      <c r="B875" s="78"/>
      <c r="C875" s="189"/>
      <c r="D875" s="185"/>
      <c r="E875" s="229"/>
      <c r="F875" s="230"/>
    </row>
    <row r="876" spans="1:6" x14ac:dyDescent="0.2">
      <c r="A876" s="275"/>
      <c r="B876" s="78"/>
      <c r="C876" s="189"/>
      <c r="D876" s="185"/>
      <c r="E876" s="229"/>
      <c r="F876" s="230"/>
    </row>
    <row r="877" spans="1:6" x14ac:dyDescent="0.2">
      <c r="A877" s="275"/>
      <c r="B877" s="78"/>
      <c r="C877" s="189"/>
      <c r="D877" s="185"/>
      <c r="E877" s="229"/>
      <c r="F877" s="230"/>
    </row>
    <row r="878" spans="1:6" x14ac:dyDescent="0.2">
      <c r="A878" s="275"/>
      <c r="B878" s="78"/>
      <c r="C878" s="189"/>
      <c r="D878" s="185"/>
      <c r="E878" s="229"/>
      <c r="F878" s="230"/>
    </row>
    <row r="879" spans="1:6" x14ac:dyDescent="0.2">
      <c r="A879" s="275"/>
      <c r="B879" s="78"/>
      <c r="C879" s="189"/>
      <c r="D879" s="185"/>
      <c r="E879" s="229"/>
      <c r="F879" s="230"/>
    </row>
    <row r="880" spans="1:6" x14ac:dyDescent="0.2">
      <c r="A880" s="275"/>
      <c r="B880" s="78"/>
      <c r="C880" s="189"/>
      <c r="D880" s="185"/>
      <c r="E880" s="229"/>
      <c r="F880" s="230"/>
    </row>
    <row r="881" spans="1:6" x14ac:dyDescent="0.2">
      <c r="A881" s="275"/>
      <c r="B881" s="78"/>
      <c r="C881" s="189"/>
      <c r="D881" s="185"/>
      <c r="E881" s="229"/>
      <c r="F881" s="230"/>
    </row>
    <row r="882" spans="1:6" x14ac:dyDescent="0.2">
      <c r="A882" s="275"/>
      <c r="B882" s="78"/>
      <c r="C882" s="189"/>
      <c r="D882" s="185"/>
      <c r="E882" s="229"/>
      <c r="F882" s="230"/>
    </row>
    <row r="883" spans="1:6" x14ac:dyDescent="0.2">
      <c r="A883" s="275"/>
      <c r="B883" s="78"/>
      <c r="C883" s="189"/>
      <c r="D883" s="185"/>
      <c r="E883" s="229"/>
      <c r="F883" s="230"/>
    </row>
    <row r="884" spans="1:6" x14ac:dyDescent="0.2">
      <c r="A884" s="275"/>
      <c r="B884" s="78"/>
      <c r="C884" s="189"/>
      <c r="D884" s="185"/>
      <c r="E884" s="229"/>
      <c r="F884" s="230"/>
    </row>
    <row r="885" spans="1:6" x14ac:dyDescent="0.2">
      <c r="A885" s="275"/>
      <c r="B885" s="78"/>
      <c r="C885" s="189"/>
      <c r="D885" s="185"/>
      <c r="E885" s="229"/>
      <c r="F885" s="230"/>
    </row>
    <row r="886" spans="1:6" x14ac:dyDescent="0.2">
      <c r="A886" s="275"/>
      <c r="B886" s="78"/>
      <c r="C886" s="189"/>
      <c r="D886" s="185"/>
      <c r="E886" s="229"/>
      <c r="F886" s="230"/>
    </row>
    <row r="887" spans="1:6" x14ac:dyDescent="0.2">
      <c r="A887" s="275"/>
      <c r="B887" s="78"/>
      <c r="C887" s="189"/>
      <c r="D887" s="185"/>
      <c r="E887" s="229"/>
      <c r="F887" s="230"/>
    </row>
    <row r="888" spans="1:6" x14ac:dyDescent="0.2">
      <c r="A888" s="275"/>
      <c r="B888" s="78"/>
      <c r="C888" s="189"/>
      <c r="D888" s="185"/>
      <c r="E888" s="229"/>
      <c r="F888" s="230"/>
    </row>
    <row r="889" spans="1:6" x14ac:dyDescent="0.2">
      <c r="A889" s="275"/>
      <c r="B889" s="78"/>
      <c r="C889" s="189"/>
      <c r="D889" s="185"/>
      <c r="E889" s="229"/>
      <c r="F889" s="230"/>
    </row>
    <row r="890" spans="1:6" x14ac:dyDescent="0.2">
      <c r="A890" s="275"/>
      <c r="B890" s="78"/>
      <c r="C890" s="189"/>
      <c r="D890" s="185"/>
      <c r="E890" s="229"/>
      <c r="F890" s="230"/>
    </row>
    <row r="891" spans="1:6" x14ac:dyDescent="0.2">
      <c r="A891" s="275"/>
      <c r="B891" s="78"/>
      <c r="C891" s="189"/>
      <c r="D891" s="185"/>
      <c r="E891" s="229"/>
      <c r="F891" s="230"/>
    </row>
    <row r="892" spans="1:6" x14ac:dyDescent="0.2">
      <c r="A892" s="275"/>
      <c r="B892" s="78"/>
      <c r="C892" s="189"/>
      <c r="D892" s="185"/>
      <c r="E892" s="229"/>
      <c r="F892" s="230"/>
    </row>
    <row r="893" spans="1:6" x14ac:dyDescent="0.2">
      <c r="A893" s="275"/>
      <c r="B893" s="78"/>
      <c r="C893" s="189"/>
      <c r="D893" s="185"/>
      <c r="E893" s="229"/>
      <c r="F893" s="230"/>
    </row>
    <row r="894" spans="1:6" x14ac:dyDescent="0.2">
      <c r="A894" s="275"/>
      <c r="B894" s="78"/>
      <c r="C894" s="189"/>
      <c r="D894" s="185"/>
      <c r="E894" s="229"/>
      <c r="F894" s="230"/>
    </row>
    <row r="895" spans="1:6" x14ac:dyDescent="0.2">
      <c r="A895" s="275"/>
      <c r="B895" s="78"/>
      <c r="C895" s="189"/>
      <c r="D895" s="185"/>
      <c r="E895" s="229"/>
      <c r="F895" s="230"/>
    </row>
    <row r="896" spans="1:6" x14ac:dyDescent="0.2">
      <c r="A896" s="275"/>
      <c r="B896" s="78"/>
      <c r="C896" s="189"/>
      <c r="D896" s="185"/>
      <c r="E896" s="229"/>
      <c r="F896" s="230"/>
    </row>
    <row r="897" spans="1:6" x14ac:dyDescent="0.2">
      <c r="A897" s="275"/>
      <c r="B897" s="78"/>
      <c r="C897" s="189"/>
      <c r="D897" s="185"/>
      <c r="E897" s="229"/>
      <c r="F897" s="230"/>
    </row>
    <row r="898" spans="1:6" x14ac:dyDescent="0.2">
      <c r="A898" s="275"/>
      <c r="B898" s="78"/>
      <c r="C898" s="189"/>
      <c r="D898" s="185"/>
      <c r="E898" s="229"/>
      <c r="F898" s="230"/>
    </row>
    <row r="899" spans="1:6" x14ac:dyDescent="0.2">
      <c r="A899" s="275"/>
      <c r="B899" s="78"/>
      <c r="C899" s="189"/>
      <c r="D899" s="185"/>
      <c r="E899" s="229"/>
      <c r="F899" s="230"/>
    </row>
    <row r="900" spans="1:6" x14ac:dyDescent="0.2">
      <c r="A900" s="275"/>
      <c r="B900" s="78"/>
      <c r="C900" s="189"/>
      <c r="D900" s="185"/>
      <c r="E900" s="229"/>
      <c r="F900" s="230"/>
    </row>
    <row r="901" spans="1:6" x14ac:dyDescent="0.2">
      <c r="A901" s="275"/>
      <c r="B901" s="78"/>
      <c r="C901" s="189"/>
      <c r="D901" s="185"/>
      <c r="E901" s="229"/>
      <c r="F901" s="230"/>
    </row>
    <row r="902" spans="1:6" x14ac:dyDescent="0.2">
      <c r="A902" s="275"/>
      <c r="B902" s="78"/>
      <c r="C902" s="189"/>
      <c r="D902" s="185"/>
      <c r="E902" s="229"/>
      <c r="F902" s="230"/>
    </row>
    <row r="903" spans="1:6" x14ac:dyDescent="0.2">
      <c r="A903" s="275"/>
      <c r="B903" s="78"/>
      <c r="C903" s="189"/>
      <c r="D903" s="185"/>
      <c r="E903" s="229"/>
      <c r="F903" s="230"/>
    </row>
    <row r="904" spans="1:6" x14ac:dyDescent="0.2">
      <c r="A904" s="275"/>
      <c r="B904" s="78"/>
      <c r="C904" s="189"/>
      <c r="D904" s="185"/>
      <c r="E904" s="229"/>
      <c r="F904" s="230"/>
    </row>
    <row r="905" spans="1:6" x14ac:dyDescent="0.2">
      <c r="A905" s="275"/>
      <c r="B905" s="78"/>
      <c r="C905" s="189"/>
      <c r="D905" s="185"/>
      <c r="E905" s="229"/>
      <c r="F905" s="230"/>
    </row>
    <row r="906" spans="1:6" x14ac:dyDescent="0.2">
      <c r="A906" s="275"/>
      <c r="B906" s="78"/>
      <c r="C906" s="189"/>
      <c r="D906" s="185"/>
      <c r="E906" s="229"/>
      <c r="F906" s="230"/>
    </row>
    <row r="907" spans="1:6" x14ac:dyDescent="0.2">
      <c r="A907" s="275"/>
      <c r="B907" s="78"/>
      <c r="C907" s="189"/>
      <c r="D907" s="185"/>
      <c r="E907" s="229"/>
      <c r="F907" s="230"/>
    </row>
    <row r="908" spans="1:6" x14ac:dyDescent="0.2">
      <c r="A908" s="275"/>
      <c r="B908" s="78"/>
      <c r="C908" s="189"/>
      <c r="D908" s="185"/>
      <c r="E908" s="229"/>
      <c r="F908" s="230"/>
    </row>
    <row r="909" spans="1:6" x14ac:dyDescent="0.2">
      <c r="A909" s="275"/>
      <c r="B909" s="78"/>
      <c r="C909" s="189"/>
      <c r="D909" s="185"/>
      <c r="E909" s="229"/>
      <c r="F909" s="230"/>
    </row>
    <row r="910" spans="1:6" x14ac:dyDescent="0.2">
      <c r="A910" s="275"/>
      <c r="B910" s="78"/>
      <c r="C910" s="189"/>
      <c r="D910" s="185"/>
      <c r="E910" s="229"/>
      <c r="F910" s="230"/>
    </row>
    <row r="911" spans="1:6" x14ac:dyDescent="0.2">
      <c r="A911" s="275"/>
      <c r="B911" s="78"/>
      <c r="C911" s="189"/>
      <c r="D911" s="185"/>
      <c r="E911" s="229"/>
      <c r="F911" s="230"/>
    </row>
    <row r="912" spans="1:6" x14ac:dyDescent="0.2">
      <c r="A912" s="275"/>
      <c r="B912" s="78"/>
      <c r="C912" s="189"/>
      <c r="D912" s="185"/>
      <c r="E912" s="229"/>
      <c r="F912" s="230"/>
    </row>
    <row r="913" spans="1:6" x14ac:dyDescent="0.2">
      <c r="A913" s="275"/>
      <c r="B913" s="78"/>
      <c r="C913" s="189"/>
      <c r="D913" s="185"/>
      <c r="E913" s="229"/>
      <c r="F913" s="230"/>
    </row>
    <row r="914" spans="1:6" x14ac:dyDescent="0.2">
      <c r="A914" s="275"/>
      <c r="B914" s="78"/>
      <c r="C914" s="189"/>
      <c r="D914" s="185"/>
      <c r="E914" s="229"/>
      <c r="F914" s="230"/>
    </row>
    <row r="915" spans="1:6" x14ac:dyDescent="0.2">
      <c r="A915" s="275"/>
      <c r="B915" s="78"/>
      <c r="C915" s="189"/>
      <c r="D915" s="185"/>
      <c r="E915" s="229"/>
      <c r="F915" s="230"/>
    </row>
    <row r="916" spans="1:6" x14ac:dyDescent="0.2">
      <c r="A916" s="275"/>
      <c r="B916" s="78"/>
      <c r="C916" s="189"/>
      <c r="D916" s="185"/>
      <c r="E916" s="229"/>
      <c r="F916" s="230"/>
    </row>
    <row r="917" spans="1:6" x14ac:dyDescent="0.2">
      <c r="A917" s="275"/>
      <c r="B917" s="78"/>
      <c r="C917" s="189"/>
      <c r="D917" s="185"/>
      <c r="E917" s="229"/>
      <c r="F917" s="230"/>
    </row>
    <row r="918" spans="1:6" x14ac:dyDescent="0.2">
      <c r="A918" s="275"/>
      <c r="B918" s="78"/>
      <c r="C918" s="189"/>
      <c r="D918" s="185"/>
      <c r="E918" s="229"/>
      <c r="F918" s="230"/>
    </row>
    <row r="919" spans="1:6" x14ac:dyDescent="0.2">
      <c r="A919" s="275"/>
      <c r="B919" s="78"/>
      <c r="C919" s="189"/>
      <c r="D919" s="185"/>
      <c r="E919" s="229"/>
      <c r="F919" s="230"/>
    </row>
    <row r="920" spans="1:6" x14ac:dyDescent="0.2">
      <c r="A920" s="275"/>
      <c r="B920" s="78"/>
      <c r="C920" s="189"/>
      <c r="D920" s="185"/>
      <c r="E920" s="229"/>
      <c r="F920" s="230"/>
    </row>
    <row r="921" spans="1:6" x14ac:dyDescent="0.2">
      <c r="A921" s="275"/>
      <c r="B921" s="78"/>
      <c r="C921" s="189"/>
      <c r="D921" s="185"/>
      <c r="E921" s="229"/>
      <c r="F921" s="230"/>
    </row>
    <row r="922" spans="1:6" x14ac:dyDescent="0.2">
      <c r="A922" s="275"/>
      <c r="B922" s="78"/>
      <c r="C922" s="189"/>
      <c r="D922" s="185"/>
      <c r="E922" s="229"/>
      <c r="F922" s="230"/>
    </row>
    <row r="923" spans="1:6" x14ac:dyDescent="0.2">
      <c r="A923" s="275"/>
      <c r="B923" s="78"/>
      <c r="C923" s="189"/>
      <c r="D923" s="185"/>
      <c r="E923" s="229"/>
      <c r="F923" s="230"/>
    </row>
    <row r="924" spans="1:6" x14ac:dyDescent="0.2">
      <c r="A924" s="275"/>
      <c r="B924" s="78"/>
      <c r="C924" s="189"/>
      <c r="D924" s="185"/>
      <c r="E924" s="229"/>
      <c r="F924" s="230"/>
    </row>
    <row r="925" spans="1:6" x14ac:dyDescent="0.2">
      <c r="A925" s="275"/>
      <c r="B925" s="78"/>
      <c r="C925" s="189"/>
      <c r="D925" s="185"/>
      <c r="E925" s="229"/>
      <c r="F925" s="230"/>
    </row>
    <row r="926" spans="1:6" x14ac:dyDescent="0.2">
      <c r="A926" s="275"/>
      <c r="B926" s="78"/>
      <c r="C926" s="189"/>
      <c r="D926" s="185"/>
      <c r="E926" s="229"/>
      <c r="F926" s="230"/>
    </row>
    <row r="927" spans="1:6" x14ac:dyDescent="0.2">
      <c r="A927" s="275"/>
      <c r="B927" s="78"/>
      <c r="C927" s="189"/>
      <c r="D927" s="185"/>
      <c r="E927" s="229"/>
      <c r="F927" s="230"/>
    </row>
    <row r="928" spans="1:6" x14ac:dyDescent="0.2">
      <c r="A928" s="275"/>
      <c r="B928" s="78"/>
      <c r="C928" s="189"/>
      <c r="D928" s="185"/>
      <c r="E928" s="229"/>
      <c r="F928" s="230"/>
    </row>
    <row r="929" spans="1:6" x14ac:dyDescent="0.2">
      <c r="A929" s="275"/>
      <c r="B929" s="78"/>
      <c r="C929" s="189"/>
      <c r="D929" s="185"/>
      <c r="E929" s="229"/>
      <c r="F929" s="230"/>
    </row>
    <row r="930" spans="1:6" x14ac:dyDescent="0.2">
      <c r="A930" s="275"/>
      <c r="B930" s="78"/>
      <c r="C930" s="189"/>
      <c r="D930" s="185"/>
      <c r="E930" s="229"/>
      <c r="F930" s="230"/>
    </row>
    <row r="931" spans="1:6" x14ac:dyDescent="0.2">
      <c r="A931" s="275"/>
      <c r="B931" s="78"/>
      <c r="C931" s="189"/>
      <c r="D931" s="185"/>
      <c r="E931" s="229"/>
      <c r="F931" s="230"/>
    </row>
    <row r="932" spans="1:6" x14ac:dyDescent="0.2">
      <c r="A932" s="275"/>
      <c r="B932" s="78"/>
      <c r="C932" s="189"/>
      <c r="D932" s="185"/>
      <c r="E932" s="229"/>
      <c r="F932" s="230"/>
    </row>
    <row r="933" spans="1:6" x14ac:dyDescent="0.2">
      <c r="A933" s="275"/>
      <c r="B933" s="78"/>
      <c r="C933" s="189"/>
      <c r="D933" s="185"/>
      <c r="E933" s="229"/>
      <c r="F933" s="230"/>
    </row>
    <row r="934" spans="1:6" x14ac:dyDescent="0.2">
      <c r="A934" s="275"/>
      <c r="B934" s="78"/>
      <c r="C934" s="189"/>
      <c r="D934" s="185"/>
      <c r="E934" s="229"/>
      <c r="F934" s="230"/>
    </row>
    <row r="935" spans="1:6" x14ac:dyDescent="0.2">
      <c r="A935" s="275"/>
      <c r="B935" s="78"/>
      <c r="C935" s="189"/>
      <c r="D935" s="185"/>
      <c r="E935" s="229"/>
      <c r="F935" s="230"/>
    </row>
    <row r="936" spans="1:6" x14ac:dyDescent="0.2">
      <c r="A936" s="275"/>
      <c r="B936" s="78"/>
      <c r="C936" s="189"/>
      <c r="D936" s="185"/>
      <c r="E936" s="229"/>
      <c r="F936" s="230"/>
    </row>
    <row r="937" spans="1:6" x14ac:dyDescent="0.2">
      <c r="A937" s="275"/>
      <c r="B937" s="78"/>
      <c r="C937" s="189"/>
      <c r="D937" s="185"/>
      <c r="E937" s="229"/>
      <c r="F937" s="230"/>
    </row>
    <row r="938" spans="1:6" x14ac:dyDescent="0.2">
      <c r="A938" s="275"/>
      <c r="B938" s="78"/>
      <c r="C938" s="189"/>
      <c r="D938" s="185"/>
      <c r="E938" s="229"/>
      <c r="F938" s="230"/>
    </row>
    <row r="939" spans="1:6" x14ac:dyDescent="0.2">
      <c r="A939" s="275"/>
      <c r="B939" s="78"/>
      <c r="C939" s="189"/>
      <c r="D939" s="185"/>
      <c r="E939" s="229"/>
      <c r="F939" s="230"/>
    </row>
    <row r="940" spans="1:6" x14ac:dyDescent="0.2">
      <c r="A940" s="275"/>
      <c r="B940" s="78"/>
      <c r="C940" s="189"/>
      <c r="D940" s="185"/>
      <c r="E940" s="229"/>
      <c r="F940" s="230"/>
    </row>
    <row r="941" spans="1:6" x14ac:dyDescent="0.2">
      <c r="A941" s="275"/>
      <c r="B941" s="78"/>
      <c r="C941" s="189"/>
      <c r="D941" s="185"/>
      <c r="E941" s="229"/>
      <c r="F941" s="230"/>
    </row>
    <row r="942" spans="1:6" x14ac:dyDescent="0.2">
      <c r="A942" s="275"/>
      <c r="B942" s="78"/>
      <c r="C942" s="189"/>
      <c r="D942" s="185"/>
      <c r="E942" s="229"/>
      <c r="F942" s="230"/>
    </row>
    <row r="943" spans="1:6" x14ac:dyDescent="0.2">
      <c r="A943" s="275"/>
      <c r="B943" s="78"/>
      <c r="C943" s="189"/>
      <c r="D943" s="185"/>
      <c r="E943" s="229"/>
      <c r="F943" s="230"/>
    </row>
    <row r="944" spans="1:6" x14ac:dyDescent="0.2">
      <c r="A944" s="275"/>
      <c r="B944" s="78"/>
      <c r="C944" s="189"/>
      <c r="D944" s="185"/>
      <c r="E944" s="229"/>
      <c r="F944" s="230"/>
    </row>
    <row r="945" spans="1:6" x14ac:dyDescent="0.2">
      <c r="A945" s="275"/>
      <c r="B945" s="78"/>
      <c r="C945" s="189"/>
      <c r="D945" s="185"/>
      <c r="E945" s="229"/>
      <c r="F945" s="230"/>
    </row>
    <row r="946" spans="1:6" x14ac:dyDescent="0.2">
      <c r="A946" s="275"/>
      <c r="B946" s="78"/>
      <c r="C946" s="189"/>
      <c r="D946" s="185"/>
      <c r="E946" s="229"/>
      <c r="F946" s="230"/>
    </row>
    <row r="947" spans="1:6" x14ac:dyDescent="0.2">
      <c r="A947" s="275"/>
      <c r="B947" s="78"/>
      <c r="C947" s="189"/>
      <c r="D947" s="185"/>
      <c r="E947" s="229"/>
      <c r="F947" s="230"/>
    </row>
    <row r="948" spans="1:6" x14ac:dyDescent="0.2">
      <c r="A948" s="275"/>
      <c r="B948" s="78"/>
      <c r="C948" s="189"/>
      <c r="D948" s="185"/>
      <c r="E948" s="229"/>
      <c r="F948" s="230"/>
    </row>
    <row r="949" spans="1:6" x14ac:dyDescent="0.2">
      <c r="A949" s="275"/>
      <c r="B949" s="78"/>
      <c r="C949" s="189"/>
      <c r="D949" s="185"/>
      <c r="E949" s="229"/>
      <c r="F949" s="230"/>
    </row>
    <row r="950" spans="1:6" x14ac:dyDescent="0.2">
      <c r="A950" s="275"/>
      <c r="B950" s="78"/>
      <c r="C950" s="189"/>
      <c r="D950" s="185"/>
      <c r="E950" s="229"/>
      <c r="F950" s="230"/>
    </row>
    <row r="951" spans="1:6" x14ac:dyDescent="0.2">
      <c r="A951" s="275"/>
      <c r="B951" s="78"/>
      <c r="C951" s="189"/>
      <c r="D951" s="185"/>
      <c r="E951" s="229"/>
      <c r="F951" s="230"/>
    </row>
    <row r="952" spans="1:6" x14ac:dyDescent="0.2">
      <c r="A952" s="275"/>
      <c r="B952" s="78"/>
      <c r="C952" s="189"/>
      <c r="D952" s="185"/>
      <c r="E952" s="229"/>
      <c r="F952" s="230"/>
    </row>
    <row r="953" spans="1:6" x14ac:dyDescent="0.2">
      <c r="A953" s="275"/>
      <c r="B953" s="78"/>
      <c r="C953" s="189"/>
      <c r="D953" s="185"/>
      <c r="E953" s="229"/>
      <c r="F953" s="230"/>
    </row>
    <row r="954" spans="1:6" x14ac:dyDescent="0.2">
      <c r="A954" s="275"/>
      <c r="B954" s="78"/>
      <c r="C954" s="189"/>
      <c r="D954" s="185"/>
      <c r="E954" s="229"/>
      <c r="F954" s="230"/>
    </row>
    <row r="955" spans="1:6" x14ac:dyDescent="0.2">
      <c r="A955" s="275"/>
      <c r="B955" s="78"/>
      <c r="C955" s="189"/>
      <c r="D955" s="185"/>
      <c r="E955" s="229"/>
      <c r="F955" s="230"/>
    </row>
    <row r="956" spans="1:6" x14ac:dyDescent="0.2">
      <c r="A956" s="275"/>
      <c r="B956" s="78"/>
      <c r="C956" s="189"/>
      <c r="D956" s="185"/>
      <c r="E956" s="229"/>
      <c r="F956" s="230"/>
    </row>
    <row r="957" spans="1:6" x14ac:dyDescent="0.2">
      <c r="A957" s="275"/>
      <c r="B957" s="78"/>
      <c r="C957" s="189"/>
      <c r="D957" s="185"/>
      <c r="E957" s="229"/>
      <c r="F957" s="230"/>
    </row>
    <row r="958" spans="1:6" x14ac:dyDescent="0.2">
      <c r="A958" s="275"/>
      <c r="B958" s="78"/>
      <c r="C958" s="189"/>
      <c r="D958" s="185"/>
      <c r="E958" s="229"/>
      <c r="F958" s="230"/>
    </row>
    <row r="959" spans="1:6" x14ac:dyDescent="0.2">
      <c r="A959" s="275"/>
      <c r="B959" s="78"/>
      <c r="C959" s="189"/>
      <c r="D959" s="185"/>
      <c r="E959" s="229"/>
      <c r="F959" s="230"/>
    </row>
    <row r="960" spans="1:6" x14ac:dyDescent="0.2">
      <c r="A960" s="275"/>
      <c r="B960" s="78"/>
      <c r="C960" s="189"/>
      <c r="D960" s="185"/>
      <c r="E960" s="229"/>
      <c r="F960" s="230"/>
    </row>
    <row r="961" spans="1:6" x14ac:dyDescent="0.2">
      <c r="A961" s="275"/>
      <c r="B961" s="78"/>
      <c r="C961" s="189"/>
      <c r="D961" s="185"/>
      <c r="E961" s="229"/>
      <c r="F961" s="230"/>
    </row>
    <row r="962" spans="1:6" x14ac:dyDescent="0.2">
      <c r="A962" s="275"/>
      <c r="B962" s="78"/>
      <c r="C962" s="189"/>
      <c r="D962" s="185"/>
      <c r="E962" s="229"/>
      <c r="F962" s="230"/>
    </row>
    <row r="963" spans="1:6" x14ac:dyDescent="0.2">
      <c r="A963" s="275"/>
      <c r="B963" s="78"/>
      <c r="C963" s="189"/>
      <c r="D963" s="185"/>
      <c r="E963" s="229"/>
      <c r="F963" s="230"/>
    </row>
    <row r="964" spans="1:6" x14ac:dyDescent="0.2">
      <c r="A964" s="275"/>
      <c r="B964" s="78"/>
      <c r="C964" s="189"/>
      <c r="D964" s="185"/>
      <c r="E964" s="229"/>
      <c r="F964" s="230"/>
    </row>
    <row r="965" spans="1:6" x14ac:dyDescent="0.2">
      <c r="A965" s="275"/>
      <c r="B965" s="78"/>
      <c r="C965" s="189"/>
      <c r="D965" s="185"/>
      <c r="E965" s="229"/>
      <c r="F965" s="230"/>
    </row>
    <row r="966" spans="1:6" x14ac:dyDescent="0.2">
      <c r="A966" s="275"/>
      <c r="B966" s="78"/>
      <c r="C966" s="189"/>
      <c r="D966" s="185"/>
      <c r="E966" s="229"/>
      <c r="F966" s="230"/>
    </row>
    <row r="967" spans="1:6" x14ac:dyDescent="0.2">
      <c r="A967" s="275"/>
      <c r="B967" s="78"/>
      <c r="C967" s="189"/>
      <c r="D967" s="185"/>
      <c r="E967" s="229"/>
      <c r="F967" s="230"/>
    </row>
    <row r="968" spans="1:6" x14ac:dyDescent="0.2">
      <c r="A968" s="275"/>
      <c r="B968" s="78"/>
      <c r="C968" s="189"/>
      <c r="D968" s="185"/>
      <c r="E968" s="229"/>
      <c r="F968" s="230"/>
    </row>
    <row r="969" spans="1:6" x14ac:dyDescent="0.2">
      <c r="A969" s="275"/>
      <c r="B969" s="78"/>
      <c r="C969" s="189"/>
      <c r="D969" s="185"/>
      <c r="E969" s="229"/>
      <c r="F969" s="230"/>
    </row>
    <row r="970" spans="1:6" x14ac:dyDescent="0.2">
      <c r="A970" s="275"/>
      <c r="B970" s="78"/>
      <c r="C970" s="189"/>
      <c r="D970" s="185"/>
      <c r="E970" s="229"/>
      <c r="F970" s="230"/>
    </row>
    <row r="971" spans="1:6" x14ac:dyDescent="0.2">
      <c r="A971" s="275"/>
      <c r="B971" s="78"/>
      <c r="C971" s="189"/>
      <c r="D971" s="185"/>
      <c r="E971" s="229"/>
      <c r="F971" s="230"/>
    </row>
    <row r="972" spans="1:6" x14ac:dyDescent="0.2">
      <c r="A972" s="275"/>
      <c r="B972" s="78"/>
      <c r="C972" s="189"/>
      <c r="D972" s="185"/>
      <c r="E972" s="229"/>
      <c r="F972" s="230"/>
    </row>
    <row r="973" spans="1:6" x14ac:dyDescent="0.2">
      <c r="A973" s="275"/>
      <c r="B973" s="78"/>
      <c r="C973" s="189"/>
      <c r="D973" s="185"/>
      <c r="E973" s="229"/>
      <c r="F973" s="230"/>
    </row>
    <row r="974" spans="1:6" x14ac:dyDescent="0.2">
      <c r="A974" s="275"/>
      <c r="B974" s="78"/>
      <c r="C974" s="189"/>
      <c r="D974" s="185"/>
      <c r="E974" s="229"/>
      <c r="F974" s="230"/>
    </row>
    <row r="975" spans="1:6" x14ac:dyDescent="0.2">
      <c r="A975" s="275"/>
      <c r="B975" s="78"/>
      <c r="C975" s="189"/>
      <c r="D975" s="185"/>
      <c r="E975" s="229"/>
      <c r="F975" s="230"/>
    </row>
    <row r="976" spans="1:6" x14ac:dyDescent="0.2">
      <c r="A976" s="275"/>
      <c r="B976" s="78"/>
      <c r="C976" s="189"/>
      <c r="D976" s="185"/>
      <c r="E976" s="229"/>
      <c r="F976" s="230"/>
    </row>
    <row r="977" spans="1:6" x14ac:dyDescent="0.2">
      <c r="A977" s="275"/>
      <c r="B977" s="78"/>
      <c r="C977" s="189"/>
      <c r="D977" s="185"/>
      <c r="E977" s="229"/>
      <c r="F977" s="230"/>
    </row>
    <row r="978" spans="1:6" x14ac:dyDescent="0.2">
      <c r="A978" s="275"/>
      <c r="B978" s="78"/>
      <c r="C978" s="189"/>
      <c r="D978" s="185"/>
      <c r="E978" s="229"/>
      <c r="F978" s="230"/>
    </row>
    <row r="979" spans="1:6" x14ac:dyDescent="0.2">
      <c r="A979" s="275"/>
      <c r="B979" s="78"/>
      <c r="C979" s="189"/>
      <c r="D979" s="185"/>
      <c r="E979" s="229"/>
      <c r="F979" s="230"/>
    </row>
    <row r="980" spans="1:6" x14ac:dyDescent="0.2">
      <c r="A980" s="275"/>
      <c r="B980" s="78"/>
      <c r="C980" s="189"/>
      <c r="D980" s="185"/>
      <c r="E980" s="229"/>
      <c r="F980" s="230"/>
    </row>
    <row r="981" spans="1:6" x14ac:dyDescent="0.2">
      <c r="A981" s="275"/>
      <c r="B981" s="78"/>
      <c r="C981" s="189"/>
      <c r="D981" s="185"/>
      <c r="E981" s="229"/>
      <c r="F981" s="230"/>
    </row>
    <row r="982" spans="1:6" x14ac:dyDescent="0.2">
      <c r="A982" s="275"/>
      <c r="B982" s="78"/>
      <c r="C982" s="189"/>
      <c r="D982" s="185"/>
      <c r="E982" s="229"/>
      <c r="F982" s="230"/>
    </row>
    <row r="983" spans="1:6" x14ac:dyDescent="0.2">
      <c r="A983" s="275"/>
      <c r="B983" s="78"/>
      <c r="C983" s="189"/>
      <c r="D983" s="185"/>
      <c r="E983" s="229"/>
      <c r="F983" s="230"/>
    </row>
    <row r="984" spans="1:6" x14ac:dyDescent="0.2">
      <c r="A984" s="275"/>
      <c r="B984" s="78"/>
      <c r="C984" s="189"/>
      <c r="D984" s="185"/>
      <c r="E984" s="229"/>
      <c r="F984" s="230"/>
    </row>
    <row r="985" spans="1:6" x14ac:dyDescent="0.2">
      <c r="A985" s="275"/>
      <c r="B985" s="78"/>
      <c r="C985" s="189"/>
      <c r="D985" s="185"/>
      <c r="E985" s="229"/>
      <c r="F985" s="230"/>
    </row>
    <row r="986" spans="1:6" x14ac:dyDescent="0.2">
      <c r="A986" s="275"/>
      <c r="B986" s="78"/>
      <c r="C986" s="189"/>
      <c r="D986" s="185"/>
      <c r="E986" s="229"/>
      <c r="F986" s="230"/>
    </row>
    <row r="987" spans="1:6" x14ac:dyDescent="0.2">
      <c r="A987" s="275"/>
      <c r="B987" s="78"/>
      <c r="C987" s="189"/>
      <c r="D987" s="185"/>
      <c r="E987" s="229"/>
      <c r="F987" s="230"/>
    </row>
    <row r="988" spans="1:6" x14ac:dyDescent="0.2">
      <c r="A988" s="275"/>
      <c r="B988" s="78"/>
      <c r="C988" s="189"/>
      <c r="D988" s="185"/>
      <c r="E988" s="229"/>
      <c r="F988" s="230"/>
    </row>
    <row r="989" spans="1:6" x14ac:dyDescent="0.2">
      <c r="A989" s="275"/>
      <c r="B989" s="78"/>
      <c r="C989" s="189"/>
      <c r="D989" s="185"/>
      <c r="E989" s="229"/>
      <c r="F989" s="230"/>
    </row>
    <row r="990" spans="1:6" x14ac:dyDescent="0.2">
      <c r="A990" s="275"/>
      <c r="B990" s="78"/>
      <c r="C990" s="189"/>
      <c r="D990" s="185"/>
      <c r="E990" s="229"/>
      <c r="F990" s="230"/>
    </row>
    <row r="991" spans="1:6" x14ac:dyDescent="0.2">
      <c r="A991" s="275"/>
      <c r="B991" s="78"/>
      <c r="C991" s="189"/>
      <c r="D991" s="185"/>
      <c r="E991" s="229"/>
      <c r="F991" s="230"/>
    </row>
    <row r="992" spans="1:6" x14ac:dyDescent="0.2">
      <c r="A992" s="275"/>
      <c r="B992" s="78"/>
      <c r="C992" s="189"/>
      <c r="D992" s="185"/>
      <c r="E992" s="229"/>
      <c r="F992" s="230"/>
    </row>
    <row r="993" spans="1:6" x14ac:dyDescent="0.2">
      <c r="A993" s="275"/>
      <c r="B993" s="78"/>
      <c r="C993" s="189"/>
      <c r="D993" s="185"/>
      <c r="E993" s="229"/>
      <c r="F993" s="230"/>
    </row>
    <row r="994" spans="1:6" x14ac:dyDescent="0.2">
      <c r="A994" s="275"/>
      <c r="B994" s="78"/>
      <c r="C994" s="189"/>
      <c r="D994" s="185"/>
      <c r="E994" s="229"/>
      <c r="F994" s="230"/>
    </row>
    <row r="995" spans="1:6" x14ac:dyDescent="0.2">
      <c r="A995" s="275"/>
      <c r="B995" s="78"/>
      <c r="C995" s="189"/>
      <c r="D995" s="185"/>
      <c r="E995" s="229"/>
      <c r="F995" s="230"/>
    </row>
    <row r="996" spans="1:6" x14ac:dyDescent="0.2">
      <c r="A996" s="275"/>
      <c r="B996" s="78"/>
      <c r="C996" s="189"/>
      <c r="D996" s="185"/>
      <c r="E996" s="229"/>
      <c r="F996" s="230"/>
    </row>
    <row r="997" spans="1:6" x14ac:dyDescent="0.2">
      <c r="A997" s="275"/>
      <c r="B997" s="78"/>
      <c r="C997" s="189"/>
      <c r="D997" s="185"/>
      <c r="E997" s="229"/>
      <c r="F997" s="230"/>
    </row>
    <row r="998" spans="1:6" x14ac:dyDescent="0.2">
      <c r="A998" s="275"/>
      <c r="B998" s="78"/>
      <c r="C998" s="189"/>
      <c r="D998" s="185"/>
      <c r="E998" s="229"/>
      <c r="F998" s="230"/>
    </row>
    <row r="999" spans="1:6" x14ac:dyDescent="0.2">
      <c r="A999" s="275"/>
      <c r="B999" s="78"/>
      <c r="C999" s="189"/>
      <c r="D999" s="185"/>
      <c r="E999" s="229"/>
      <c r="F999" s="230"/>
    </row>
    <row r="1000" spans="1:6" x14ac:dyDescent="0.2">
      <c r="A1000" s="275"/>
      <c r="B1000" s="78"/>
      <c r="C1000" s="189"/>
      <c r="D1000" s="185"/>
      <c r="E1000" s="229"/>
      <c r="F1000" s="230"/>
    </row>
    <row r="1001" spans="1:6" x14ac:dyDescent="0.2">
      <c r="A1001" s="275"/>
      <c r="B1001" s="78"/>
      <c r="C1001" s="189"/>
      <c r="D1001" s="185"/>
      <c r="E1001" s="229"/>
      <c r="F1001" s="230"/>
    </row>
    <row r="1002" spans="1:6" x14ac:dyDescent="0.2">
      <c r="A1002" s="275"/>
      <c r="B1002" s="78"/>
      <c r="C1002" s="189"/>
      <c r="D1002" s="185"/>
      <c r="E1002" s="229"/>
      <c r="F1002" s="230"/>
    </row>
    <row r="1003" spans="1:6" x14ac:dyDescent="0.2">
      <c r="A1003" s="275"/>
      <c r="B1003" s="78"/>
      <c r="C1003" s="189"/>
      <c r="D1003" s="185"/>
      <c r="E1003" s="229"/>
      <c r="F1003" s="230"/>
    </row>
    <row r="1004" spans="1:6" x14ac:dyDescent="0.2">
      <c r="A1004" s="275"/>
      <c r="B1004" s="78"/>
      <c r="C1004" s="189"/>
      <c r="D1004" s="185"/>
      <c r="E1004" s="229"/>
      <c r="F1004" s="230"/>
    </row>
    <row r="1005" spans="1:6" x14ac:dyDescent="0.2">
      <c r="A1005" s="275"/>
      <c r="B1005" s="78"/>
      <c r="C1005" s="189"/>
      <c r="D1005" s="185"/>
      <c r="E1005" s="229"/>
      <c r="F1005" s="230"/>
    </row>
    <row r="1006" spans="1:6" x14ac:dyDescent="0.2">
      <c r="A1006" s="275"/>
      <c r="B1006" s="78"/>
      <c r="C1006" s="189"/>
      <c r="D1006" s="185"/>
      <c r="E1006" s="229"/>
      <c r="F1006" s="230"/>
    </row>
    <row r="1007" spans="1:6" x14ac:dyDescent="0.2">
      <c r="A1007" s="275"/>
      <c r="B1007" s="78"/>
      <c r="C1007" s="189"/>
      <c r="D1007" s="185"/>
      <c r="E1007" s="229"/>
      <c r="F1007" s="230"/>
    </row>
    <row r="1008" spans="1:6" x14ac:dyDescent="0.2">
      <c r="A1008" s="275"/>
      <c r="B1008" s="78"/>
      <c r="C1008" s="189"/>
      <c r="D1008" s="185"/>
      <c r="E1008" s="229"/>
      <c r="F1008" s="230"/>
    </row>
    <row r="1009" spans="1:6" x14ac:dyDescent="0.2">
      <c r="A1009" s="275"/>
      <c r="B1009" s="78"/>
      <c r="C1009" s="189"/>
      <c r="D1009" s="185"/>
      <c r="E1009" s="229"/>
      <c r="F1009" s="230"/>
    </row>
    <row r="1010" spans="1:6" x14ac:dyDescent="0.2">
      <c r="A1010" s="275"/>
      <c r="B1010" s="78"/>
      <c r="C1010" s="189"/>
      <c r="D1010" s="185"/>
      <c r="E1010" s="229"/>
      <c r="F1010" s="230"/>
    </row>
    <row r="1011" spans="1:6" x14ac:dyDescent="0.2">
      <c r="A1011" s="275"/>
      <c r="B1011" s="78"/>
      <c r="C1011" s="189"/>
      <c r="D1011" s="185"/>
      <c r="E1011" s="229"/>
      <c r="F1011" s="230"/>
    </row>
    <row r="1012" spans="1:6" x14ac:dyDescent="0.2">
      <c r="A1012" s="275"/>
      <c r="B1012" s="78"/>
      <c r="C1012" s="189"/>
      <c r="D1012" s="185"/>
      <c r="E1012" s="229"/>
      <c r="F1012" s="230"/>
    </row>
    <row r="1013" spans="1:6" x14ac:dyDescent="0.2">
      <c r="A1013" s="275"/>
      <c r="B1013" s="78"/>
      <c r="C1013" s="189"/>
      <c r="D1013" s="185"/>
      <c r="E1013" s="229"/>
      <c r="F1013" s="230"/>
    </row>
    <row r="1014" spans="1:6" x14ac:dyDescent="0.2">
      <c r="A1014" s="275"/>
      <c r="B1014" s="78"/>
      <c r="C1014" s="189"/>
      <c r="D1014" s="185"/>
      <c r="E1014" s="229"/>
      <c r="F1014" s="230"/>
    </row>
    <row r="1015" spans="1:6" x14ac:dyDescent="0.2">
      <c r="A1015" s="275"/>
      <c r="B1015" s="78"/>
      <c r="C1015" s="189"/>
      <c r="D1015" s="185"/>
      <c r="E1015" s="229"/>
      <c r="F1015" s="230"/>
    </row>
    <row r="1016" spans="1:6" x14ac:dyDescent="0.2">
      <c r="A1016" s="275"/>
      <c r="B1016" s="78"/>
      <c r="C1016" s="189"/>
      <c r="D1016" s="185"/>
      <c r="E1016" s="229"/>
      <c r="F1016" s="230"/>
    </row>
    <row r="1017" spans="1:6" x14ac:dyDescent="0.2">
      <c r="A1017" s="275"/>
      <c r="B1017" s="78"/>
      <c r="C1017" s="189"/>
      <c r="D1017" s="185"/>
      <c r="E1017" s="229"/>
      <c r="F1017" s="230"/>
    </row>
    <row r="1018" spans="1:6" x14ac:dyDescent="0.2">
      <c r="A1018" s="275"/>
      <c r="B1018" s="78"/>
      <c r="C1018" s="189"/>
      <c r="D1018" s="185"/>
      <c r="E1018" s="229"/>
      <c r="F1018" s="230"/>
    </row>
    <row r="1019" spans="1:6" x14ac:dyDescent="0.2">
      <c r="A1019" s="275"/>
      <c r="B1019" s="78"/>
      <c r="C1019" s="189"/>
      <c r="D1019" s="185"/>
      <c r="E1019" s="229"/>
      <c r="F1019" s="230"/>
    </row>
    <row r="1020" spans="1:6" x14ac:dyDescent="0.2">
      <c r="A1020" s="275"/>
      <c r="B1020" s="78"/>
      <c r="C1020" s="189"/>
      <c r="D1020" s="185"/>
      <c r="E1020" s="229"/>
      <c r="F1020" s="230"/>
    </row>
    <row r="1021" spans="1:6" x14ac:dyDescent="0.2">
      <c r="A1021" s="275"/>
      <c r="B1021" s="78"/>
      <c r="C1021" s="189"/>
      <c r="D1021" s="185"/>
      <c r="E1021" s="229"/>
      <c r="F1021" s="230"/>
    </row>
    <row r="1022" spans="1:6" x14ac:dyDescent="0.2">
      <c r="A1022" s="275"/>
      <c r="B1022" s="78"/>
      <c r="C1022" s="189"/>
      <c r="D1022" s="185"/>
      <c r="E1022" s="229"/>
      <c r="F1022" s="230"/>
    </row>
    <row r="1023" spans="1:6" x14ac:dyDescent="0.2">
      <c r="A1023" s="275"/>
      <c r="B1023" s="78"/>
      <c r="C1023" s="189"/>
      <c r="D1023" s="185"/>
      <c r="E1023" s="229"/>
      <c r="F1023" s="230"/>
    </row>
    <row r="1024" spans="1:6" x14ac:dyDescent="0.2">
      <c r="A1024" s="275"/>
      <c r="B1024" s="78"/>
      <c r="C1024" s="189"/>
      <c r="D1024" s="185"/>
      <c r="E1024" s="229"/>
      <c r="F1024" s="230"/>
    </row>
    <row r="1025" spans="1:6" x14ac:dyDescent="0.2">
      <c r="A1025" s="275"/>
      <c r="B1025" s="78"/>
      <c r="C1025" s="189"/>
      <c r="D1025" s="185"/>
      <c r="E1025" s="229"/>
      <c r="F1025" s="230"/>
    </row>
    <row r="1026" spans="1:6" x14ac:dyDescent="0.2">
      <c r="A1026" s="275"/>
      <c r="B1026" s="78"/>
      <c r="C1026" s="189"/>
      <c r="D1026" s="185"/>
      <c r="E1026" s="229"/>
      <c r="F1026" s="230"/>
    </row>
    <row r="1027" spans="1:6" x14ac:dyDescent="0.2">
      <c r="A1027" s="275"/>
      <c r="B1027" s="78"/>
      <c r="C1027" s="189"/>
      <c r="D1027" s="185"/>
      <c r="E1027" s="229"/>
      <c r="F1027" s="230"/>
    </row>
    <row r="1028" spans="1:6" x14ac:dyDescent="0.2">
      <c r="A1028" s="275"/>
      <c r="B1028" s="78"/>
      <c r="C1028" s="189"/>
      <c r="D1028" s="185"/>
      <c r="E1028" s="229"/>
      <c r="F1028" s="230"/>
    </row>
    <row r="1029" spans="1:6" x14ac:dyDescent="0.2">
      <c r="A1029" s="275"/>
      <c r="B1029" s="78"/>
      <c r="C1029" s="189"/>
      <c r="D1029" s="185"/>
      <c r="E1029" s="229"/>
      <c r="F1029" s="230"/>
    </row>
    <row r="1030" spans="1:6" x14ac:dyDescent="0.2">
      <c r="A1030" s="275"/>
      <c r="B1030" s="78"/>
      <c r="C1030" s="189"/>
      <c r="D1030" s="185"/>
      <c r="E1030" s="229"/>
      <c r="F1030" s="230"/>
    </row>
    <row r="1031" spans="1:6" x14ac:dyDescent="0.2">
      <c r="A1031" s="275"/>
      <c r="B1031" s="78"/>
      <c r="C1031" s="189"/>
      <c r="D1031" s="185"/>
      <c r="E1031" s="229"/>
      <c r="F1031" s="230"/>
    </row>
    <row r="1032" spans="1:6" x14ac:dyDescent="0.2">
      <c r="A1032" s="275"/>
      <c r="B1032" s="78"/>
      <c r="C1032" s="189"/>
      <c r="D1032" s="185"/>
      <c r="E1032" s="229"/>
      <c r="F1032" s="230"/>
    </row>
    <row r="1033" spans="1:6" x14ac:dyDescent="0.2">
      <c r="A1033" s="275"/>
      <c r="B1033" s="78"/>
      <c r="C1033" s="189"/>
      <c r="D1033" s="185"/>
      <c r="E1033" s="229"/>
      <c r="F1033" s="230"/>
    </row>
    <row r="1034" spans="1:6" x14ac:dyDescent="0.2">
      <c r="A1034" s="275"/>
      <c r="B1034" s="78"/>
      <c r="C1034" s="189"/>
      <c r="D1034" s="185"/>
      <c r="E1034" s="229"/>
      <c r="F1034" s="230"/>
    </row>
    <row r="1035" spans="1:6" x14ac:dyDescent="0.2">
      <c r="A1035" s="275"/>
      <c r="B1035" s="78"/>
      <c r="C1035" s="189"/>
      <c r="D1035" s="185"/>
      <c r="E1035" s="229"/>
      <c r="F1035" s="230"/>
    </row>
    <row r="1036" spans="1:6" x14ac:dyDescent="0.2">
      <c r="A1036" s="275"/>
      <c r="B1036" s="78"/>
      <c r="C1036" s="189"/>
      <c r="D1036" s="185"/>
      <c r="E1036" s="229"/>
      <c r="F1036" s="230"/>
    </row>
    <row r="1037" spans="1:6" x14ac:dyDescent="0.2">
      <c r="A1037" s="275"/>
      <c r="B1037" s="78"/>
      <c r="C1037" s="189"/>
      <c r="D1037" s="185"/>
      <c r="E1037" s="229"/>
      <c r="F1037" s="230"/>
    </row>
    <row r="1038" spans="1:6" x14ac:dyDescent="0.2">
      <c r="A1038" s="275"/>
      <c r="B1038" s="78"/>
      <c r="C1038" s="189"/>
      <c r="D1038" s="185"/>
      <c r="E1038" s="229"/>
      <c r="F1038" s="230"/>
    </row>
    <row r="1039" spans="1:6" x14ac:dyDescent="0.2">
      <c r="A1039" s="275"/>
      <c r="B1039" s="78"/>
      <c r="C1039" s="189"/>
      <c r="D1039" s="185"/>
      <c r="E1039" s="229"/>
      <c r="F1039" s="230"/>
    </row>
    <row r="1040" spans="1:6" x14ac:dyDescent="0.2">
      <c r="A1040" s="275"/>
      <c r="B1040" s="78"/>
      <c r="C1040" s="189"/>
      <c r="D1040" s="185"/>
      <c r="E1040" s="229"/>
      <c r="F1040" s="230"/>
    </row>
    <row r="1041" spans="1:6" x14ac:dyDescent="0.2">
      <c r="A1041" s="275"/>
      <c r="B1041" s="78"/>
      <c r="C1041" s="189"/>
      <c r="D1041" s="185"/>
      <c r="E1041" s="229"/>
      <c r="F1041" s="230"/>
    </row>
    <row r="1042" spans="1:6" x14ac:dyDescent="0.2">
      <c r="A1042" s="275"/>
      <c r="B1042" s="78"/>
      <c r="C1042" s="189"/>
      <c r="D1042" s="185"/>
      <c r="E1042" s="229"/>
      <c r="F1042" s="230"/>
    </row>
    <row r="1043" spans="1:6" x14ac:dyDescent="0.2">
      <c r="A1043" s="275"/>
      <c r="B1043" s="78"/>
      <c r="C1043" s="189"/>
      <c r="D1043" s="185"/>
      <c r="E1043" s="229"/>
      <c r="F1043" s="230"/>
    </row>
    <row r="1044" spans="1:6" x14ac:dyDescent="0.2">
      <c r="A1044" s="275"/>
      <c r="B1044" s="78"/>
      <c r="C1044" s="189"/>
      <c r="D1044" s="185"/>
      <c r="E1044" s="229"/>
      <c r="F1044" s="230"/>
    </row>
    <row r="1045" spans="1:6" x14ac:dyDescent="0.2">
      <c r="A1045" s="275"/>
      <c r="B1045" s="78"/>
      <c r="C1045" s="189"/>
      <c r="D1045" s="185"/>
      <c r="E1045" s="229"/>
      <c r="F1045" s="230"/>
    </row>
    <row r="1046" spans="1:6" x14ac:dyDescent="0.2">
      <c r="A1046" s="275"/>
      <c r="B1046" s="78"/>
      <c r="C1046" s="189"/>
      <c r="D1046" s="185"/>
      <c r="E1046" s="229"/>
      <c r="F1046" s="230"/>
    </row>
    <row r="1047" spans="1:6" x14ac:dyDescent="0.2">
      <c r="A1047" s="275"/>
      <c r="B1047" s="78"/>
      <c r="C1047" s="189"/>
      <c r="D1047" s="185"/>
      <c r="E1047" s="229"/>
      <c r="F1047" s="230"/>
    </row>
    <row r="1048" spans="1:6" x14ac:dyDescent="0.2">
      <c r="A1048" s="275"/>
      <c r="B1048" s="78"/>
      <c r="C1048" s="189"/>
      <c r="D1048" s="185"/>
      <c r="E1048" s="229"/>
      <c r="F1048" s="230"/>
    </row>
    <row r="1049" spans="1:6" x14ac:dyDescent="0.2">
      <c r="A1049" s="275"/>
      <c r="B1049" s="78"/>
      <c r="C1049" s="189"/>
      <c r="D1049" s="185"/>
      <c r="E1049" s="229"/>
      <c r="F1049" s="230"/>
    </row>
    <row r="1050" spans="1:6" x14ac:dyDescent="0.2">
      <c r="A1050" s="275"/>
      <c r="B1050" s="78"/>
      <c r="C1050" s="189"/>
      <c r="D1050" s="185"/>
      <c r="E1050" s="229"/>
      <c r="F1050" s="230"/>
    </row>
    <row r="1051" spans="1:6" x14ac:dyDescent="0.2">
      <c r="A1051" s="275"/>
      <c r="B1051" s="78"/>
      <c r="C1051" s="189"/>
      <c r="D1051" s="185"/>
      <c r="E1051" s="229"/>
      <c r="F1051" s="230"/>
    </row>
    <row r="1052" spans="1:6" x14ac:dyDescent="0.2">
      <c r="A1052" s="275"/>
      <c r="B1052" s="78"/>
      <c r="C1052" s="189"/>
      <c r="D1052" s="185"/>
      <c r="E1052" s="229"/>
      <c r="F1052" s="230"/>
    </row>
    <row r="1053" spans="1:6" x14ac:dyDescent="0.2">
      <c r="A1053" s="275"/>
      <c r="B1053" s="78"/>
      <c r="C1053" s="189"/>
      <c r="D1053" s="185"/>
      <c r="E1053" s="229"/>
      <c r="F1053" s="230"/>
    </row>
    <row r="1054" spans="1:6" x14ac:dyDescent="0.2">
      <c r="A1054" s="275"/>
      <c r="B1054" s="78"/>
      <c r="C1054" s="189"/>
      <c r="D1054" s="185"/>
      <c r="E1054" s="229"/>
      <c r="F1054" s="230"/>
    </row>
    <row r="1055" spans="1:6" x14ac:dyDescent="0.2">
      <c r="A1055" s="275"/>
      <c r="B1055" s="78"/>
      <c r="C1055" s="189"/>
      <c r="D1055" s="185"/>
      <c r="E1055" s="229"/>
      <c r="F1055" s="230"/>
    </row>
    <row r="1056" spans="1:6" x14ac:dyDescent="0.2">
      <c r="A1056" s="275"/>
      <c r="B1056" s="78"/>
      <c r="C1056" s="189"/>
      <c r="D1056" s="185"/>
      <c r="E1056" s="229"/>
      <c r="F1056" s="230"/>
    </row>
    <row r="1057" spans="1:6" x14ac:dyDescent="0.2">
      <c r="A1057" s="275"/>
      <c r="B1057" s="78"/>
      <c r="C1057" s="189"/>
      <c r="D1057" s="185"/>
      <c r="E1057" s="229"/>
      <c r="F1057" s="230"/>
    </row>
    <row r="1058" spans="1:6" x14ac:dyDescent="0.2">
      <c r="A1058" s="275"/>
      <c r="B1058" s="78"/>
      <c r="C1058" s="189"/>
      <c r="D1058" s="185"/>
      <c r="E1058" s="229"/>
      <c r="F1058" s="230"/>
    </row>
    <row r="1059" spans="1:6" x14ac:dyDescent="0.2">
      <c r="A1059" s="275"/>
      <c r="B1059" s="78"/>
      <c r="C1059" s="189"/>
      <c r="D1059" s="185"/>
      <c r="E1059" s="229"/>
      <c r="F1059" s="230"/>
    </row>
    <row r="1060" spans="1:6" x14ac:dyDescent="0.2">
      <c r="A1060" s="275"/>
      <c r="B1060" s="78"/>
      <c r="C1060" s="189"/>
      <c r="D1060" s="185"/>
      <c r="E1060" s="229"/>
      <c r="F1060" s="230"/>
    </row>
    <row r="1061" spans="1:6" x14ac:dyDescent="0.2">
      <c r="A1061" s="275"/>
      <c r="B1061" s="78"/>
      <c r="C1061" s="189"/>
      <c r="D1061" s="185"/>
      <c r="E1061" s="229"/>
      <c r="F1061" s="230"/>
    </row>
    <row r="1062" spans="1:6" x14ac:dyDescent="0.2">
      <c r="A1062" s="275"/>
      <c r="B1062" s="78"/>
      <c r="C1062" s="189"/>
      <c r="D1062" s="185"/>
      <c r="E1062" s="229"/>
      <c r="F1062" s="230"/>
    </row>
    <row r="1063" spans="1:6" x14ac:dyDescent="0.2">
      <c r="A1063" s="275"/>
      <c r="B1063" s="78"/>
      <c r="C1063" s="189"/>
      <c r="D1063" s="185"/>
      <c r="E1063" s="229"/>
      <c r="F1063" s="230"/>
    </row>
    <row r="1064" spans="1:6" x14ac:dyDescent="0.2">
      <c r="A1064" s="275"/>
      <c r="B1064" s="78"/>
      <c r="C1064" s="189"/>
      <c r="D1064" s="185"/>
      <c r="E1064" s="229"/>
      <c r="F1064" s="230"/>
    </row>
    <row r="1065" spans="1:6" x14ac:dyDescent="0.2">
      <c r="A1065" s="275"/>
      <c r="B1065" s="78"/>
      <c r="C1065" s="189"/>
      <c r="D1065" s="185"/>
      <c r="E1065" s="229"/>
      <c r="F1065" s="230"/>
    </row>
    <row r="1066" spans="1:6" x14ac:dyDescent="0.2">
      <c r="A1066" s="275"/>
      <c r="B1066" s="78"/>
      <c r="C1066" s="189"/>
      <c r="D1066" s="185"/>
      <c r="E1066" s="229"/>
      <c r="F1066" s="230"/>
    </row>
    <row r="1067" spans="1:6" x14ac:dyDescent="0.2">
      <c r="A1067" s="275"/>
      <c r="B1067" s="78"/>
      <c r="C1067" s="189"/>
      <c r="D1067" s="185"/>
      <c r="E1067" s="229"/>
      <c r="F1067" s="230"/>
    </row>
    <row r="1068" spans="1:6" x14ac:dyDescent="0.2">
      <c r="A1068" s="275"/>
      <c r="B1068" s="78"/>
      <c r="C1068" s="189"/>
      <c r="D1068" s="185"/>
      <c r="E1068" s="229"/>
      <c r="F1068" s="230"/>
    </row>
    <row r="1069" spans="1:6" x14ac:dyDescent="0.2">
      <c r="A1069" s="275"/>
      <c r="B1069" s="78"/>
      <c r="C1069" s="189"/>
      <c r="D1069" s="185"/>
      <c r="E1069" s="229"/>
      <c r="F1069" s="230"/>
    </row>
    <row r="1070" spans="1:6" x14ac:dyDescent="0.2">
      <c r="A1070" s="275"/>
      <c r="B1070" s="78"/>
      <c r="C1070" s="189"/>
      <c r="D1070" s="185"/>
      <c r="E1070" s="229"/>
      <c r="F1070" s="230"/>
    </row>
    <row r="1071" spans="1:6" x14ac:dyDescent="0.2">
      <c r="A1071" s="275"/>
      <c r="B1071" s="78"/>
      <c r="C1071" s="189"/>
      <c r="D1071" s="185"/>
      <c r="E1071" s="229"/>
      <c r="F1071" s="230"/>
    </row>
    <row r="1072" spans="1:6" x14ac:dyDescent="0.2">
      <c r="A1072" s="275"/>
      <c r="B1072" s="78"/>
      <c r="C1072" s="189"/>
      <c r="D1072" s="185"/>
      <c r="E1072" s="229"/>
      <c r="F1072" s="230"/>
    </row>
    <row r="1073" spans="1:6" x14ac:dyDescent="0.2">
      <c r="A1073" s="275"/>
      <c r="B1073" s="78"/>
      <c r="C1073" s="189"/>
      <c r="D1073" s="185"/>
      <c r="E1073" s="229"/>
      <c r="F1073" s="230"/>
    </row>
    <row r="1074" spans="1:6" x14ac:dyDescent="0.2">
      <c r="A1074" s="275"/>
      <c r="B1074" s="78"/>
      <c r="C1074" s="189"/>
      <c r="D1074" s="185"/>
      <c r="E1074" s="229"/>
      <c r="F1074" s="230"/>
    </row>
    <row r="1075" spans="1:6" x14ac:dyDescent="0.2">
      <c r="A1075" s="275"/>
      <c r="B1075" s="78"/>
      <c r="C1075" s="189"/>
      <c r="D1075" s="185"/>
      <c r="E1075" s="229"/>
      <c r="F1075" s="230"/>
    </row>
    <row r="1076" spans="1:6" x14ac:dyDescent="0.2">
      <c r="A1076" s="275"/>
      <c r="B1076" s="78"/>
      <c r="C1076" s="189"/>
      <c r="D1076" s="185"/>
      <c r="E1076" s="229"/>
      <c r="F1076" s="230"/>
    </row>
    <row r="1077" spans="1:6" x14ac:dyDescent="0.2">
      <c r="A1077" s="275"/>
      <c r="B1077" s="78"/>
      <c r="C1077" s="189"/>
      <c r="D1077" s="185"/>
      <c r="E1077" s="229"/>
      <c r="F1077" s="230"/>
    </row>
    <row r="1078" spans="1:6" x14ac:dyDescent="0.2">
      <c r="A1078" s="275"/>
      <c r="B1078" s="78"/>
      <c r="C1078" s="189"/>
      <c r="D1078" s="185"/>
      <c r="E1078" s="229"/>
      <c r="F1078" s="230"/>
    </row>
    <row r="1079" spans="1:6" x14ac:dyDescent="0.2">
      <c r="A1079" s="275"/>
      <c r="B1079" s="78"/>
      <c r="C1079" s="189"/>
      <c r="D1079" s="185"/>
      <c r="E1079" s="229"/>
      <c r="F1079" s="230"/>
    </row>
    <row r="1080" spans="1:6" x14ac:dyDescent="0.2">
      <c r="A1080" s="275"/>
      <c r="B1080" s="78"/>
      <c r="C1080" s="189"/>
      <c r="D1080" s="185"/>
      <c r="E1080" s="229"/>
      <c r="F1080" s="230"/>
    </row>
    <row r="1081" spans="1:6" x14ac:dyDescent="0.2">
      <c r="A1081" s="275"/>
      <c r="B1081" s="78"/>
      <c r="C1081" s="189"/>
      <c r="D1081" s="185"/>
      <c r="E1081" s="229"/>
      <c r="F1081" s="230"/>
    </row>
    <row r="1082" spans="1:6" x14ac:dyDescent="0.2">
      <c r="A1082" s="275"/>
      <c r="B1082" s="78"/>
      <c r="C1082" s="189"/>
      <c r="D1082" s="185"/>
      <c r="E1082" s="229"/>
      <c r="F1082" s="230"/>
    </row>
    <row r="1083" spans="1:6" x14ac:dyDescent="0.2">
      <c r="A1083" s="275"/>
      <c r="B1083" s="78"/>
      <c r="C1083" s="189"/>
      <c r="D1083" s="185"/>
      <c r="E1083" s="229"/>
      <c r="F1083" s="230"/>
    </row>
    <row r="1084" spans="1:6" x14ac:dyDescent="0.2">
      <c r="A1084" s="275"/>
      <c r="B1084" s="78"/>
      <c r="C1084" s="189"/>
      <c r="D1084" s="185"/>
      <c r="E1084" s="229"/>
      <c r="F1084" s="230"/>
    </row>
    <row r="1085" spans="1:6" x14ac:dyDescent="0.2">
      <c r="A1085" s="275"/>
      <c r="B1085" s="78"/>
      <c r="C1085" s="189"/>
      <c r="D1085" s="185"/>
      <c r="E1085" s="229"/>
      <c r="F1085" s="230"/>
    </row>
    <row r="1086" spans="1:6" x14ac:dyDescent="0.2">
      <c r="A1086" s="275"/>
      <c r="B1086" s="78"/>
      <c r="C1086" s="189"/>
      <c r="D1086" s="185"/>
      <c r="E1086" s="229"/>
      <c r="F1086" s="230"/>
    </row>
    <row r="1087" spans="1:6" x14ac:dyDescent="0.2">
      <c r="A1087" s="275"/>
      <c r="B1087" s="78"/>
      <c r="C1087" s="189"/>
      <c r="D1087" s="185"/>
      <c r="E1087" s="229"/>
      <c r="F1087" s="230"/>
    </row>
    <row r="1088" spans="1:6" x14ac:dyDescent="0.2">
      <c r="A1088" s="275"/>
      <c r="B1088" s="78"/>
      <c r="C1088" s="189"/>
      <c r="D1088" s="185"/>
      <c r="E1088" s="229"/>
      <c r="F1088" s="230"/>
    </row>
    <row r="1089" spans="1:6" x14ac:dyDescent="0.2">
      <c r="A1089" s="275"/>
      <c r="B1089" s="78"/>
      <c r="C1089" s="189"/>
      <c r="D1089" s="185"/>
      <c r="E1089" s="229"/>
      <c r="F1089" s="230"/>
    </row>
    <row r="1090" spans="1:6" x14ac:dyDescent="0.2">
      <c r="A1090" s="275"/>
      <c r="B1090" s="78"/>
      <c r="C1090" s="189"/>
      <c r="D1090" s="185"/>
      <c r="E1090" s="229"/>
      <c r="F1090" s="230"/>
    </row>
    <row r="1091" spans="1:6" x14ac:dyDescent="0.2">
      <c r="A1091" s="275"/>
      <c r="B1091" s="78"/>
      <c r="C1091" s="189"/>
      <c r="D1091" s="185"/>
      <c r="E1091" s="229"/>
      <c r="F1091" s="230"/>
    </row>
    <row r="1092" spans="1:6" x14ac:dyDescent="0.2">
      <c r="A1092" s="275"/>
      <c r="B1092" s="78"/>
      <c r="C1092" s="189"/>
      <c r="D1092" s="185"/>
      <c r="E1092" s="229"/>
      <c r="F1092" s="230"/>
    </row>
    <row r="1093" spans="1:6" x14ac:dyDescent="0.2">
      <c r="A1093" s="275"/>
      <c r="B1093" s="78"/>
      <c r="C1093" s="189"/>
      <c r="D1093" s="185"/>
      <c r="E1093" s="229"/>
      <c r="F1093" s="230"/>
    </row>
    <row r="1094" spans="1:6" x14ac:dyDescent="0.2">
      <c r="A1094" s="275"/>
      <c r="B1094" s="78"/>
      <c r="C1094" s="189"/>
      <c r="D1094" s="185"/>
      <c r="E1094" s="229"/>
      <c r="F1094" s="230"/>
    </row>
    <row r="1095" spans="1:6" x14ac:dyDescent="0.2">
      <c r="A1095" s="275"/>
      <c r="B1095" s="78"/>
      <c r="C1095" s="189"/>
      <c r="D1095" s="185"/>
      <c r="E1095" s="229"/>
      <c r="F1095" s="230"/>
    </row>
    <row r="1096" spans="1:6" x14ac:dyDescent="0.2">
      <c r="A1096" s="275"/>
      <c r="B1096" s="78"/>
      <c r="C1096" s="189"/>
      <c r="D1096" s="185"/>
      <c r="E1096" s="229"/>
      <c r="F1096" s="230"/>
    </row>
    <row r="1097" spans="1:6" x14ac:dyDescent="0.2">
      <c r="A1097" s="275"/>
      <c r="B1097" s="78"/>
      <c r="C1097" s="189"/>
      <c r="D1097" s="185"/>
      <c r="E1097" s="229"/>
      <c r="F1097" s="230"/>
    </row>
    <row r="1098" spans="1:6" x14ac:dyDescent="0.2">
      <c r="A1098" s="275"/>
      <c r="B1098" s="78"/>
      <c r="C1098" s="189"/>
      <c r="D1098" s="185"/>
      <c r="E1098" s="229"/>
      <c r="F1098" s="230"/>
    </row>
    <row r="1099" spans="1:6" x14ac:dyDescent="0.2">
      <c r="A1099" s="275"/>
      <c r="B1099" s="78"/>
      <c r="C1099" s="189"/>
      <c r="D1099" s="185"/>
      <c r="E1099" s="229"/>
      <c r="F1099" s="230"/>
    </row>
    <row r="1100" spans="1:6" x14ac:dyDescent="0.2">
      <c r="A1100" s="275"/>
      <c r="B1100" s="78"/>
      <c r="C1100" s="189"/>
      <c r="D1100" s="185"/>
      <c r="E1100" s="229"/>
      <c r="F1100" s="230"/>
    </row>
    <row r="1101" spans="1:6" x14ac:dyDescent="0.2">
      <c r="A1101" s="275"/>
      <c r="B1101" s="78"/>
      <c r="C1101" s="189"/>
      <c r="D1101" s="185"/>
      <c r="E1101" s="229"/>
      <c r="F1101" s="230"/>
    </row>
    <row r="1102" spans="1:6" x14ac:dyDescent="0.2">
      <c r="A1102" s="275"/>
      <c r="B1102" s="78"/>
      <c r="C1102" s="189"/>
      <c r="D1102" s="185"/>
      <c r="E1102" s="229"/>
      <c r="F1102" s="230"/>
    </row>
    <row r="1103" spans="1:6" x14ac:dyDescent="0.2">
      <c r="A1103" s="275"/>
      <c r="B1103" s="78"/>
      <c r="C1103" s="189"/>
      <c r="D1103" s="185"/>
      <c r="E1103" s="229"/>
      <c r="F1103" s="230"/>
    </row>
    <row r="1104" spans="1:6" x14ac:dyDescent="0.2">
      <c r="A1104" s="275"/>
      <c r="B1104" s="78"/>
      <c r="C1104" s="189"/>
      <c r="D1104" s="185"/>
      <c r="E1104" s="229"/>
      <c r="F1104" s="230"/>
    </row>
    <row r="1105" spans="1:6" x14ac:dyDescent="0.2">
      <c r="A1105" s="275"/>
      <c r="B1105" s="78"/>
      <c r="C1105" s="189"/>
      <c r="D1105" s="185"/>
      <c r="E1105" s="229"/>
      <c r="F1105" s="230"/>
    </row>
    <row r="1106" spans="1:6" x14ac:dyDescent="0.2">
      <c r="A1106" s="275"/>
      <c r="B1106" s="78"/>
      <c r="C1106" s="189"/>
      <c r="D1106" s="185"/>
      <c r="E1106" s="229"/>
      <c r="F1106" s="230"/>
    </row>
    <row r="1107" spans="1:6" x14ac:dyDescent="0.2">
      <c r="A1107" s="275"/>
      <c r="B1107" s="78"/>
      <c r="C1107" s="189"/>
      <c r="D1107" s="185"/>
      <c r="E1107" s="229"/>
      <c r="F1107" s="230"/>
    </row>
    <row r="1108" spans="1:6" x14ac:dyDescent="0.2">
      <c r="A1108" s="275"/>
      <c r="B1108" s="78"/>
      <c r="C1108" s="189"/>
      <c r="D1108" s="185"/>
      <c r="E1108" s="229"/>
      <c r="F1108" s="230"/>
    </row>
    <row r="1109" spans="1:6" x14ac:dyDescent="0.2">
      <c r="A1109" s="275"/>
      <c r="B1109" s="78"/>
      <c r="C1109" s="189"/>
      <c r="D1109" s="185"/>
      <c r="E1109" s="229"/>
      <c r="F1109" s="230"/>
    </row>
    <row r="1110" spans="1:6" x14ac:dyDescent="0.2">
      <c r="A1110" s="275"/>
      <c r="B1110" s="78"/>
      <c r="C1110" s="189"/>
      <c r="D1110" s="185"/>
      <c r="E1110" s="229"/>
      <c r="F1110" s="230"/>
    </row>
    <row r="1111" spans="1:6" x14ac:dyDescent="0.2">
      <c r="A1111" s="275"/>
      <c r="B1111" s="78"/>
      <c r="C1111" s="189"/>
      <c r="D1111" s="185"/>
      <c r="E1111" s="229"/>
      <c r="F1111" s="230"/>
    </row>
    <row r="1112" spans="1:6" x14ac:dyDescent="0.2">
      <c r="A1112" s="275"/>
      <c r="B1112" s="78"/>
      <c r="C1112" s="189"/>
      <c r="D1112" s="185"/>
      <c r="E1112" s="229"/>
      <c r="F1112" s="230"/>
    </row>
    <row r="1113" spans="1:6" x14ac:dyDescent="0.2">
      <c r="A1113" s="275"/>
      <c r="B1113" s="78"/>
      <c r="C1113" s="189"/>
      <c r="D1113" s="185"/>
      <c r="E1113" s="229"/>
      <c r="F1113" s="230"/>
    </row>
    <row r="1114" spans="1:6" x14ac:dyDescent="0.2">
      <c r="A1114" s="275"/>
      <c r="B1114" s="78"/>
      <c r="C1114" s="189"/>
      <c r="D1114" s="185"/>
      <c r="E1114" s="229"/>
      <c r="F1114" s="230"/>
    </row>
    <row r="1115" spans="1:6" x14ac:dyDescent="0.2">
      <c r="A1115" s="275"/>
      <c r="B1115" s="78"/>
      <c r="C1115" s="189"/>
      <c r="D1115" s="185"/>
      <c r="E1115" s="229"/>
      <c r="F1115" s="230"/>
    </row>
    <row r="1116" spans="1:6" x14ac:dyDescent="0.2">
      <c r="A1116" s="275"/>
      <c r="B1116" s="78"/>
      <c r="C1116" s="189"/>
      <c r="D1116" s="185"/>
      <c r="E1116" s="229"/>
      <c r="F1116" s="230"/>
    </row>
    <row r="1117" spans="1:6" x14ac:dyDescent="0.2">
      <c r="A1117" s="275"/>
      <c r="B1117" s="78"/>
      <c r="C1117" s="189"/>
      <c r="D1117" s="185"/>
      <c r="E1117" s="229"/>
      <c r="F1117" s="230"/>
    </row>
    <row r="1118" spans="1:6" x14ac:dyDescent="0.2">
      <c r="A1118" s="275"/>
      <c r="B1118" s="78"/>
      <c r="C1118" s="189"/>
      <c r="D1118" s="185"/>
      <c r="E1118" s="229"/>
      <c r="F1118" s="230"/>
    </row>
    <row r="1119" spans="1:6" x14ac:dyDescent="0.2">
      <c r="A1119" s="275"/>
      <c r="B1119" s="78"/>
      <c r="C1119" s="189"/>
      <c r="D1119" s="185"/>
      <c r="E1119" s="229"/>
      <c r="F1119" s="230"/>
    </row>
    <row r="1120" spans="1:6" x14ac:dyDescent="0.2">
      <c r="A1120" s="275"/>
      <c r="B1120" s="78"/>
      <c r="C1120" s="189"/>
      <c r="D1120" s="185"/>
      <c r="E1120" s="229"/>
      <c r="F1120" s="230"/>
    </row>
    <row r="1121" spans="1:6" x14ac:dyDescent="0.2">
      <c r="A1121" s="275"/>
      <c r="B1121" s="78"/>
      <c r="C1121" s="189"/>
      <c r="D1121" s="185"/>
      <c r="E1121" s="229"/>
      <c r="F1121" s="230"/>
    </row>
    <row r="1122" spans="1:6" x14ac:dyDescent="0.2">
      <c r="A1122" s="275"/>
      <c r="B1122" s="78"/>
      <c r="C1122" s="189"/>
      <c r="D1122" s="185"/>
      <c r="E1122" s="229"/>
      <c r="F1122" s="230"/>
    </row>
    <row r="1123" spans="1:6" x14ac:dyDescent="0.2">
      <c r="A1123" s="275"/>
      <c r="B1123" s="78"/>
      <c r="C1123" s="189"/>
      <c r="D1123" s="185"/>
      <c r="E1123" s="229"/>
      <c r="F1123" s="230"/>
    </row>
    <row r="1124" spans="1:6" x14ac:dyDescent="0.2">
      <c r="A1124" s="275"/>
      <c r="B1124" s="78"/>
      <c r="C1124" s="189"/>
      <c r="D1124" s="185"/>
      <c r="E1124" s="229"/>
      <c r="F1124" s="230"/>
    </row>
    <row r="1125" spans="1:6" x14ac:dyDescent="0.2">
      <c r="A1125" s="275"/>
      <c r="B1125" s="78"/>
      <c r="C1125" s="189"/>
      <c r="D1125" s="185"/>
      <c r="E1125" s="229"/>
      <c r="F1125" s="230"/>
    </row>
    <row r="1126" spans="1:6" x14ac:dyDescent="0.2">
      <c r="A1126" s="275"/>
      <c r="B1126" s="78"/>
      <c r="C1126" s="189"/>
      <c r="D1126" s="185"/>
      <c r="E1126" s="229"/>
      <c r="F1126" s="230"/>
    </row>
    <row r="1127" spans="1:6" x14ac:dyDescent="0.2">
      <c r="A1127" s="275"/>
      <c r="B1127" s="78"/>
      <c r="C1127" s="189"/>
      <c r="D1127" s="185"/>
      <c r="E1127" s="229"/>
      <c r="F1127" s="230"/>
    </row>
    <row r="1128" spans="1:6" x14ac:dyDescent="0.2">
      <c r="A1128" s="275"/>
      <c r="B1128" s="78"/>
      <c r="C1128" s="189"/>
      <c r="D1128" s="185"/>
      <c r="E1128" s="229"/>
      <c r="F1128" s="230"/>
    </row>
    <row r="1129" spans="1:6" x14ac:dyDescent="0.2">
      <c r="A1129" s="275"/>
      <c r="B1129" s="78"/>
      <c r="C1129" s="189"/>
      <c r="D1129" s="185"/>
      <c r="E1129" s="229"/>
      <c r="F1129" s="230"/>
    </row>
    <row r="1130" spans="1:6" x14ac:dyDescent="0.2">
      <c r="A1130" s="275"/>
      <c r="B1130" s="78"/>
      <c r="C1130" s="189"/>
      <c r="D1130" s="185"/>
      <c r="E1130" s="229"/>
      <c r="F1130" s="230"/>
    </row>
    <row r="1131" spans="1:6" x14ac:dyDescent="0.2">
      <c r="A1131" s="275"/>
      <c r="B1131" s="78"/>
      <c r="C1131" s="189"/>
      <c r="D1131" s="185"/>
      <c r="E1131" s="229"/>
      <c r="F1131" s="230"/>
    </row>
    <row r="1132" spans="1:6" x14ac:dyDescent="0.2">
      <c r="A1132" s="275"/>
      <c r="B1132" s="78"/>
      <c r="C1132" s="189"/>
      <c r="D1132" s="185"/>
      <c r="E1132" s="229"/>
      <c r="F1132" s="230"/>
    </row>
    <row r="1133" spans="1:6" x14ac:dyDescent="0.2">
      <c r="A1133" s="275"/>
      <c r="B1133" s="78"/>
      <c r="C1133" s="189"/>
      <c r="D1133" s="185"/>
      <c r="E1133" s="229"/>
      <c r="F1133" s="230"/>
    </row>
    <row r="1134" spans="1:6" x14ac:dyDescent="0.2">
      <c r="A1134" s="275"/>
      <c r="B1134" s="78"/>
      <c r="C1134" s="189"/>
      <c r="D1134" s="185"/>
      <c r="E1134" s="229"/>
      <c r="F1134" s="230"/>
    </row>
    <row r="1135" spans="1:6" x14ac:dyDescent="0.2">
      <c r="A1135" s="275"/>
      <c r="B1135" s="78"/>
      <c r="C1135" s="189"/>
      <c r="D1135" s="185"/>
      <c r="E1135" s="229"/>
      <c r="F1135" s="230"/>
    </row>
    <row r="1136" spans="1:6" x14ac:dyDescent="0.2">
      <c r="A1136" s="275"/>
      <c r="B1136" s="78"/>
      <c r="C1136" s="189"/>
      <c r="D1136" s="185"/>
      <c r="E1136" s="229"/>
      <c r="F1136" s="230"/>
    </row>
    <row r="1137" spans="1:6" x14ac:dyDescent="0.2">
      <c r="A1137" s="275"/>
      <c r="B1137" s="78"/>
      <c r="C1137" s="189"/>
      <c r="D1137" s="185"/>
      <c r="E1137" s="229"/>
      <c r="F1137" s="230"/>
    </row>
    <row r="1138" spans="1:6" x14ac:dyDescent="0.2">
      <c r="A1138" s="275"/>
      <c r="B1138" s="78"/>
      <c r="C1138" s="189"/>
      <c r="D1138" s="185"/>
      <c r="E1138" s="229"/>
      <c r="F1138" s="230"/>
    </row>
    <row r="1139" spans="1:6" x14ac:dyDescent="0.2">
      <c r="A1139" s="275"/>
      <c r="B1139" s="78"/>
      <c r="C1139" s="189"/>
      <c r="D1139" s="185"/>
      <c r="E1139" s="229"/>
      <c r="F1139" s="230"/>
    </row>
    <row r="1140" spans="1:6" x14ac:dyDescent="0.2">
      <c r="A1140" s="275"/>
      <c r="B1140" s="78"/>
      <c r="C1140" s="189"/>
      <c r="D1140" s="185"/>
      <c r="E1140" s="229"/>
      <c r="F1140" s="230"/>
    </row>
    <row r="1141" spans="1:6" x14ac:dyDescent="0.2">
      <c r="A1141" s="275"/>
      <c r="B1141" s="78"/>
      <c r="C1141" s="189"/>
      <c r="D1141" s="185"/>
      <c r="E1141" s="229"/>
      <c r="F1141" s="230"/>
    </row>
    <row r="1142" spans="1:6" x14ac:dyDescent="0.2">
      <c r="A1142" s="275"/>
      <c r="B1142" s="78"/>
      <c r="C1142" s="189"/>
      <c r="D1142" s="185"/>
      <c r="E1142" s="229"/>
      <c r="F1142" s="230"/>
    </row>
    <row r="1143" spans="1:6" x14ac:dyDescent="0.2">
      <c r="A1143" s="275"/>
      <c r="B1143" s="78"/>
      <c r="C1143" s="189"/>
      <c r="D1143" s="185"/>
      <c r="E1143" s="229"/>
      <c r="F1143" s="230"/>
    </row>
    <row r="1144" spans="1:6" x14ac:dyDescent="0.2">
      <c r="A1144" s="275"/>
      <c r="B1144" s="78"/>
      <c r="C1144" s="189"/>
      <c r="D1144" s="185"/>
      <c r="E1144" s="229"/>
      <c r="F1144" s="230"/>
    </row>
    <row r="1145" spans="1:6" x14ac:dyDescent="0.2">
      <c r="A1145" s="275"/>
      <c r="B1145" s="78"/>
      <c r="C1145" s="189"/>
      <c r="D1145" s="185"/>
      <c r="E1145" s="229"/>
      <c r="F1145" s="230"/>
    </row>
    <row r="1146" spans="1:6" x14ac:dyDescent="0.2">
      <c r="A1146" s="275"/>
      <c r="B1146" s="78"/>
      <c r="C1146" s="189"/>
      <c r="D1146" s="185"/>
      <c r="E1146" s="229"/>
      <c r="F1146" s="230"/>
    </row>
    <row r="1147" spans="1:6" x14ac:dyDescent="0.2">
      <c r="A1147" s="275"/>
      <c r="B1147" s="78"/>
      <c r="C1147" s="189"/>
      <c r="D1147" s="185"/>
      <c r="E1147" s="229"/>
      <c r="F1147" s="230"/>
    </row>
    <row r="1148" spans="1:6" x14ac:dyDescent="0.2">
      <c r="A1148" s="275"/>
      <c r="B1148" s="78"/>
      <c r="C1148" s="189"/>
      <c r="D1148" s="185"/>
      <c r="E1148" s="229"/>
      <c r="F1148" s="230"/>
    </row>
    <row r="1149" spans="1:6" x14ac:dyDescent="0.2">
      <c r="A1149" s="275"/>
      <c r="B1149" s="78"/>
      <c r="C1149" s="189"/>
      <c r="D1149" s="185"/>
      <c r="E1149" s="229"/>
      <c r="F1149" s="230"/>
    </row>
    <row r="1150" spans="1:6" x14ac:dyDescent="0.2">
      <c r="A1150" s="275"/>
      <c r="B1150" s="78"/>
      <c r="C1150" s="189"/>
      <c r="D1150" s="185"/>
      <c r="E1150" s="229"/>
      <c r="F1150" s="230"/>
    </row>
    <row r="1151" spans="1:6" x14ac:dyDescent="0.2">
      <c r="A1151" s="275"/>
      <c r="B1151" s="78"/>
      <c r="C1151" s="189"/>
      <c r="D1151" s="185"/>
      <c r="E1151" s="229"/>
      <c r="F1151" s="230"/>
    </row>
    <row r="1152" spans="1:6" x14ac:dyDescent="0.2">
      <c r="A1152" s="275"/>
      <c r="B1152" s="78"/>
      <c r="C1152" s="189"/>
      <c r="D1152" s="185"/>
      <c r="E1152" s="229"/>
      <c r="F1152" s="230"/>
    </row>
    <row r="1153" spans="1:6" x14ac:dyDescent="0.2">
      <c r="A1153" s="275"/>
      <c r="B1153" s="78"/>
      <c r="C1153" s="189"/>
      <c r="D1153" s="185"/>
      <c r="E1153" s="229"/>
      <c r="F1153" s="230"/>
    </row>
    <row r="1154" spans="1:6" x14ac:dyDescent="0.2">
      <c r="A1154" s="275"/>
      <c r="B1154" s="78"/>
      <c r="C1154" s="189"/>
      <c r="D1154" s="185"/>
      <c r="E1154" s="229"/>
      <c r="F1154" s="230"/>
    </row>
    <row r="1155" spans="1:6" x14ac:dyDescent="0.2">
      <c r="A1155" s="275"/>
      <c r="B1155" s="78"/>
      <c r="C1155" s="189"/>
      <c r="D1155" s="185"/>
      <c r="E1155" s="229"/>
      <c r="F1155" s="230"/>
    </row>
    <row r="1156" spans="1:6" x14ac:dyDescent="0.2">
      <c r="A1156" s="275"/>
      <c r="B1156" s="78"/>
      <c r="C1156" s="189"/>
      <c r="D1156" s="185"/>
      <c r="E1156" s="229"/>
      <c r="F1156" s="230"/>
    </row>
    <row r="1157" spans="1:6" x14ac:dyDescent="0.2">
      <c r="A1157" s="275"/>
      <c r="B1157" s="78"/>
      <c r="C1157" s="189"/>
      <c r="D1157" s="185"/>
      <c r="E1157" s="229"/>
      <c r="F1157" s="230"/>
    </row>
    <row r="1158" spans="1:6" x14ac:dyDescent="0.2">
      <c r="A1158" s="275"/>
      <c r="B1158" s="78"/>
      <c r="C1158" s="189"/>
      <c r="D1158" s="185"/>
      <c r="E1158" s="229"/>
      <c r="F1158" s="230"/>
    </row>
    <row r="1159" spans="1:6" x14ac:dyDescent="0.2">
      <c r="A1159" s="275"/>
      <c r="B1159" s="78"/>
      <c r="C1159" s="189"/>
      <c r="D1159" s="185"/>
      <c r="E1159" s="229"/>
      <c r="F1159" s="230"/>
    </row>
    <row r="1160" spans="1:6" x14ac:dyDescent="0.2">
      <c r="A1160" s="275"/>
      <c r="B1160" s="78"/>
      <c r="C1160" s="189"/>
      <c r="D1160" s="185"/>
      <c r="E1160" s="229"/>
      <c r="F1160" s="230"/>
    </row>
    <row r="1161" spans="1:6" x14ac:dyDescent="0.2">
      <c r="A1161" s="275"/>
      <c r="B1161" s="78"/>
      <c r="C1161" s="189"/>
      <c r="D1161" s="185"/>
      <c r="E1161" s="229"/>
      <c r="F1161" s="230"/>
    </row>
    <row r="1162" spans="1:6" x14ac:dyDescent="0.2">
      <c r="A1162" s="275"/>
      <c r="B1162" s="78"/>
      <c r="C1162" s="189"/>
      <c r="D1162" s="185"/>
      <c r="E1162" s="229"/>
      <c r="F1162" s="230"/>
    </row>
    <row r="1163" spans="1:6" x14ac:dyDescent="0.2">
      <c r="A1163" s="275"/>
      <c r="B1163" s="78"/>
      <c r="C1163" s="189"/>
      <c r="D1163" s="185"/>
      <c r="E1163" s="229"/>
      <c r="F1163" s="230"/>
    </row>
    <row r="1164" spans="1:6" x14ac:dyDescent="0.2">
      <c r="A1164" s="275"/>
      <c r="B1164" s="78"/>
      <c r="C1164" s="189"/>
      <c r="D1164" s="185"/>
      <c r="E1164" s="229"/>
      <c r="F1164" s="230"/>
    </row>
    <row r="1165" spans="1:6" x14ac:dyDescent="0.2">
      <c r="A1165" s="275"/>
      <c r="B1165" s="78"/>
      <c r="C1165" s="189"/>
      <c r="D1165" s="185"/>
      <c r="E1165" s="229"/>
      <c r="F1165" s="230"/>
    </row>
    <row r="1166" spans="1:6" x14ac:dyDescent="0.2">
      <c r="A1166" s="275"/>
      <c r="B1166" s="78"/>
      <c r="C1166" s="189"/>
      <c r="D1166" s="185"/>
      <c r="E1166" s="229"/>
      <c r="F1166" s="230"/>
    </row>
    <row r="1167" spans="1:6" x14ac:dyDescent="0.2">
      <c r="A1167" s="275"/>
      <c r="B1167" s="78"/>
      <c r="C1167" s="189"/>
      <c r="D1167" s="185"/>
      <c r="E1167" s="229"/>
      <c r="F1167" s="230"/>
    </row>
    <row r="1168" spans="1:6" x14ac:dyDescent="0.2">
      <c r="A1168" s="275"/>
      <c r="B1168" s="78"/>
      <c r="C1168" s="189"/>
      <c r="D1168" s="185"/>
      <c r="E1168" s="229"/>
      <c r="F1168" s="230"/>
    </row>
    <row r="1169" spans="1:6" x14ac:dyDescent="0.2">
      <c r="A1169" s="275"/>
      <c r="B1169" s="78"/>
      <c r="C1169" s="189"/>
      <c r="D1169" s="185"/>
      <c r="E1169" s="229"/>
      <c r="F1169" s="230"/>
    </row>
    <row r="1170" spans="1:6" x14ac:dyDescent="0.2">
      <c r="A1170" s="275"/>
      <c r="B1170" s="78"/>
      <c r="C1170" s="189"/>
      <c r="D1170" s="185"/>
      <c r="E1170" s="229"/>
      <c r="F1170" s="230"/>
    </row>
    <row r="1171" spans="1:6" x14ac:dyDescent="0.2">
      <c r="A1171" s="275"/>
      <c r="B1171" s="78"/>
      <c r="C1171" s="189"/>
      <c r="D1171" s="185"/>
      <c r="E1171" s="229"/>
      <c r="F1171" s="230"/>
    </row>
    <row r="1172" spans="1:6" x14ac:dyDescent="0.2">
      <c r="A1172" s="275"/>
      <c r="B1172" s="78"/>
      <c r="C1172" s="189"/>
      <c r="D1172" s="185"/>
      <c r="E1172" s="229"/>
      <c r="F1172" s="230"/>
    </row>
    <row r="1173" spans="1:6" x14ac:dyDescent="0.2">
      <c r="A1173" s="275"/>
      <c r="B1173" s="78"/>
      <c r="C1173" s="189"/>
      <c r="D1173" s="185"/>
      <c r="E1173" s="229"/>
      <c r="F1173" s="230"/>
    </row>
    <row r="1174" spans="1:6" x14ac:dyDescent="0.2">
      <c r="A1174" s="275"/>
      <c r="B1174" s="78"/>
      <c r="C1174" s="189"/>
      <c r="D1174" s="185"/>
      <c r="E1174" s="229"/>
      <c r="F1174" s="230"/>
    </row>
    <row r="1175" spans="1:6" x14ac:dyDescent="0.2">
      <c r="A1175" s="275"/>
      <c r="B1175" s="78"/>
      <c r="C1175" s="189"/>
      <c r="D1175" s="185"/>
      <c r="E1175" s="229"/>
      <c r="F1175" s="230"/>
    </row>
    <row r="1176" spans="1:6" x14ac:dyDescent="0.2">
      <c r="A1176" s="275"/>
      <c r="B1176" s="78"/>
      <c r="C1176" s="189"/>
      <c r="D1176" s="185"/>
      <c r="E1176" s="229"/>
      <c r="F1176" s="230"/>
    </row>
    <row r="1177" spans="1:6" x14ac:dyDescent="0.2">
      <c r="A1177" s="275"/>
      <c r="B1177" s="78"/>
      <c r="C1177" s="189"/>
      <c r="D1177" s="185"/>
      <c r="E1177" s="229"/>
      <c r="F1177" s="230"/>
    </row>
    <row r="1178" spans="1:6" x14ac:dyDescent="0.2">
      <c r="A1178" s="275"/>
      <c r="B1178" s="78"/>
      <c r="C1178" s="189"/>
      <c r="D1178" s="185"/>
      <c r="E1178" s="229"/>
      <c r="F1178" s="230"/>
    </row>
    <row r="1179" spans="1:6" x14ac:dyDescent="0.2">
      <c r="A1179" s="275"/>
      <c r="B1179" s="78"/>
      <c r="C1179" s="189"/>
      <c r="D1179" s="185"/>
      <c r="E1179" s="229"/>
      <c r="F1179" s="230"/>
    </row>
    <row r="1180" spans="1:6" x14ac:dyDescent="0.2">
      <c r="A1180" s="275"/>
      <c r="B1180" s="78"/>
      <c r="C1180" s="189"/>
      <c r="D1180" s="185"/>
      <c r="E1180" s="229"/>
      <c r="F1180" s="230"/>
    </row>
    <row r="1181" spans="1:6" x14ac:dyDescent="0.2">
      <c r="A1181" s="275"/>
      <c r="B1181" s="78"/>
      <c r="C1181" s="189"/>
      <c r="D1181" s="185"/>
      <c r="E1181" s="229"/>
      <c r="F1181" s="230"/>
    </row>
    <row r="1182" spans="1:6" x14ac:dyDescent="0.2">
      <c r="A1182" s="275"/>
      <c r="B1182" s="78"/>
      <c r="C1182" s="189"/>
      <c r="D1182" s="185"/>
      <c r="E1182" s="229"/>
      <c r="F1182" s="230"/>
    </row>
    <row r="1183" spans="1:6" x14ac:dyDescent="0.2">
      <c r="A1183" s="275"/>
      <c r="B1183" s="78"/>
      <c r="C1183" s="189"/>
      <c r="D1183" s="185"/>
      <c r="E1183" s="229"/>
      <c r="F1183" s="230"/>
    </row>
    <row r="1184" spans="1:6" x14ac:dyDescent="0.2">
      <c r="A1184" s="275"/>
      <c r="B1184" s="78"/>
      <c r="C1184" s="189"/>
      <c r="D1184" s="185"/>
      <c r="E1184" s="229"/>
      <c r="F1184" s="230"/>
    </row>
    <row r="1185" spans="1:6" x14ac:dyDescent="0.2">
      <c r="A1185" s="275"/>
      <c r="B1185" s="78"/>
      <c r="C1185" s="189"/>
      <c r="D1185" s="185"/>
      <c r="E1185" s="229"/>
      <c r="F1185" s="230"/>
    </row>
    <row r="1186" spans="1:6" x14ac:dyDescent="0.2">
      <c r="A1186" s="275"/>
      <c r="B1186" s="78"/>
      <c r="C1186" s="189"/>
      <c r="D1186" s="185"/>
      <c r="E1186" s="229"/>
      <c r="F1186" s="230"/>
    </row>
    <row r="1187" spans="1:6" x14ac:dyDescent="0.2">
      <c r="A1187" s="275"/>
      <c r="B1187" s="78"/>
      <c r="C1187" s="189"/>
      <c r="D1187" s="185"/>
      <c r="E1187" s="229"/>
      <c r="F1187" s="230"/>
    </row>
    <row r="1188" spans="1:6" x14ac:dyDescent="0.2">
      <c r="A1188" s="275"/>
      <c r="B1188" s="78"/>
      <c r="C1188" s="189"/>
      <c r="D1188" s="185"/>
      <c r="E1188" s="229"/>
      <c r="F1188" s="230"/>
    </row>
    <row r="1189" spans="1:6" x14ac:dyDescent="0.2">
      <c r="A1189" s="275"/>
      <c r="B1189" s="78"/>
      <c r="C1189" s="189"/>
      <c r="D1189" s="185"/>
      <c r="E1189" s="229"/>
      <c r="F1189" s="230"/>
    </row>
    <row r="1190" spans="1:6" x14ac:dyDescent="0.2">
      <c r="A1190" s="275"/>
      <c r="B1190" s="78"/>
      <c r="C1190" s="189"/>
      <c r="D1190" s="185"/>
      <c r="E1190" s="229"/>
      <c r="F1190" s="230"/>
    </row>
    <row r="1191" spans="1:6" x14ac:dyDescent="0.2">
      <c r="A1191" s="275"/>
      <c r="B1191" s="78"/>
      <c r="C1191" s="189"/>
      <c r="D1191" s="185"/>
      <c r="E1191" s="229"/>
      <c r="F1191" s="230"/>
    </row>
    <row r="1192" spans="1:6" x14ac:dyDescent="0.2">
      <c r="A1192" s="275"/>
      <c r="B1192" s="78"/>
      <c r="C1192" s="189"/>
      <c r="D1192" s="185"/>
      <c r="E1192" s="229"/>
      <c r="F1192" s="230"/>
    </row>
    <row r="1193" spans="1:6" x14ac:dyDescent="0.2">
      <c r="A1193" s="275"/>
      <c r="B1193" s="78"/>
      <c r="C1193" s="189"/>
      <c r="D1193" s="185"/>
      <c r="E1193" s="229"/>
      <c r="F1193" s="230"/>
    </row>
    <row r="1194" spans="1:6" x14ac:dyDescent="0.2">
      <c r="A1194" s="275"/>
      <c r="B1194" s="78"/>
      <c r="C1194" s="189"/>
      <c r="D1194" s="185"/>
      <c r="E1194" s="229"/>
      <c r="F1194" s="230"/>
    </row>
    <row r="1195" spans="1:6" x14ac:dyDescent="0.2">
      <c r="A1195" s="275"/>
      <c r="B1195" s="78"/>
      <c r="C1195" s="189"/>
      <c r="D1195" s="185"/>
      <c r="E1195" s="229"/>
      <c r="F1195" s="230"/>
    </row>
    <row r="1196" spans="1:6" x14ac:dyDescent="0.2">
      <c r="A1196" s="275"/>
      <c r="B1196" s="78"/>
      <c r="C1196" s="189"/>
      <c r="D1196" s="185"/>
      <c r="E1196" s="229"/>
      <c r="F1196" s="230"/>
    </row>
    <row r="1197" spans="1:6" x14ac:dyDescent="0.2">
      <c r="A1197" s="275"/>
      <c r="B1197" s="78"/>
      <c r="C1197" s="189"/>
      <c r="D1197" s="185"/>
      <c r="E1197" s="229"/>
      <c r="F1197" s="230"/>
    </row>
    <row r="1198" spans="1:6" x14ac:dyDescent="0.2">
      <c r="A1198" s="275"/>
      <c r="B1198" s="78"/>
      <c r="C1198" s="189"/>
      <c r="D1198" s="185"/>
      <c r="E1198" s="229"/>
      <c r="F1198" s="230"/>
    </row>
    <row r="1199" spans="1:6" x14ac:dyDescent="0.2">
      <c r="A1199" s="275"/>
      <c r="B1199" s="78"/>
      <c r="C1199" s="189"/>
      <c r="D1199" s="185"/>
      <c r="E1199" s="229"/>
      <c r="F1199" s="230"/>
    </row>
    <row r="1200" spans="1:6" x14ac:dyDescent="0.2">
      <c r="A1200" s="275"/>
      <c r="B1200" s="78"/>
      <c r="C1200" s="189"/>
      <c r="D1200" s="185"/>
      <c r="E1200" s="229"/>
      <c r="F1200" s="230"/>
    </row>
    <row r="1201" spans="1:6" x14ac:dyDescent="0.2">
      <c r="A1201" s="275"/>
      <c r="B1201" s="78"/>
      <c r="C1201" s="189"/>
      <c r="D1201" s="185"/>
      <c r="E1201" s="229"/>
      <c r="F1201" s="230"/>
    </row>
    <row r="1202" spans="1:6" x14ac:dyDescent="0.2">
      <c r="A1202" s="275"/>
      <c r="B1202" s="78"/>
      <c r="C1202" s="189"/>
      <c r="D1202" s="185"/>
      <c r="E1202" s="229"/>
      <c r="F1202" s="230"/>
    </row>
    <row r="1203" spans="1:6" x14ac:dyDescent="0.2">
      <c r="A1203" s="275"/>
      <c r="B1203" s="78"/>
      <c r="C1203" s="189"/>
      <c r="D1203" s="185"/>
      <c r="E1203" s="229"/>
      <c r="F1203" s="230"/>
    </row>
    <row r="1204" spans="1:6" x14ac:dyDescent="0.2">
      <c r="A1204" s="275"/>
      <c r="B1204" s="78"/>
      <c r="C1204" s="189"/>
      <c r="D1204" s="185"/>
      <c r="E1204" s="229"/>
      <c r="F1204" s="230"/>
    </row>
    <row r="1205" spans="1:6" x14ac:dyDescent="0.2">
      <c r="A1205" s="275"/>
      <c r="B1205" s="78"/>
      <c r="C1205" s="189"/>
      <c r="D1205" s="185"/>
      <c r="E1205" s="229"/>
      <c r="F1205" s="230"/>
    </row>
    <row r="1206" spans="1:6" x14ac:dyDescent="0.2">
      <c r="A1206" s="275"/>
      <c r="B1206" s="78"/>
      <c r="C1206" s="189"/>
      <c r="D1206" s="185"/>
      <c r="E1206" s="229"/>
      <c r="F1206" s="230"/>
    </row>
    <row r="1207" spans="1:6" x14ac:dyDescent="0.2">
      <c r="A1207" s="275"/>
      <c r="B1207" s="78"/>
      <c r="C1207" s="189"/>
      <c r="D1207" s="185"/>
      <c r="E1207" s="229"/>
      <c r="F1207" s="230"/>
    </row>
    <row r="1208" spans="1:6" x14ac:dyDescent="0.2">
      <c r="A1208" s="275"/>
      <c r="B1208" s="78"/>
      <c r="C1208" s="189"/>
      <c r="D1208" s="185"/>
      <c r="E1208" s="229"/>
      <c r="F1208" s="230"/>
    </row>
    <row r="1209" spans="1:6" x14ac:dyDescent="0.2">
      <c r="A1209" s="275"/>
      <c r="B1209" s="78"/>
      <c r="C1209" s="189"/>
      <c r="D1209" s="185"/>
      <c r="E1209" s="229"/>
      <c r="F1209" s="230"/>
    </row>
    <row r="1210" spans="1:6" x14ac:dyDescent="0.2">
      <c r="A1210" s="275"/>
      <c r="B1210" s="78"/>
      <c r="C1210" s="189"/>
      <c r="D1210" s="185"/>
      <c r="E1210" s="229"/>
      <c r="F1210" s="230"/>
    </row>
    <row r="1211" spans="1:6" x14ac:dyDescent="0.2">
      <c r="A1211" s="275"/>
      <c r="B1211" s="78"/>
      <c r="C1211" s="189"/>
      <c r="D1211" s="185"/>
      <c r="E1211" s="229"/>
      <c r="F1211" s="230"/>
    </row>
    <row r="1212" spans="1:6" x14ac:dyDescent="0.2">
      <c r="A1212" s="275"/>
      <c r="B1212" s="78"/>
      <c r="C1212" s="189"/>
      <c r="D1212" s="185"/>
      <c r="E1212" s="229"/>
      <c r="F1212" s="230"/>
    </row>
    <row r="1213" spans="1:6" x14ac:dyDescent="0.2">
      <c r="A1213" s="275"/>
      <c r="B1213" s="78"/>
      <c r="C1213" s="189"/>
      <c r="D1213" s="185"/>
      <c r="E1213" s="229"/>
      <c r="F1213" s="230"/>
    </row>
    <row r="1214" spans="1:6" x14ac:dyDescent="0.2">
      <c r="A1214" s="275"/>
      <c r="B1214" s="78"/>
      <c r="C1214" s="189"/>
      <c r="D1214" s="185"/>
      <c r="E1214" s="229"/>
      <c r="F1214" s="230"/>
    </row>
    <row r="1215" spans="1:6" x14ac:dyDescent="0.2">
      <c r="A1215" s="275"/>
      <c r="B1215" s="78"/>
      <c r="C1215" s="189"/>
      <c r="D1215" s="185"/>
      <c r="E1215" s="229"/>
      <c r="F1215" s="230"/>
    </row>
    <row r="1216" spans="1:6" x14ac:dyDescent="0.2">
      <c r="A1216" s="275"/>
      <c r="B1216" s="78"/>
      <c r="C1216" s="189"/>
      <c r="D1216" s="185"/>
      <c r="E1216" s="229"/>
      <c r="F1216" s="230"/>
    </row>
    <row r="1217" spans="1:6" x14ac:dyDescent="0.2">
      <c r="A1217" s="275"/>
      <c r="B1217" s="78"/>
      <c r="C1217" s="189"/>
      <c r="D1217" s="185"/>
      <c r="E1217" s="229"/>
      <c r="F1217" s="230"/>
    </row>
    <row r="1218" spans="1:6" x14ac:dyDescent="0.2">
      <c r="A1218" s="275"/>
      <c r="B1218" s="78"/>
      <c r="C1218" s="189"/>
      <c r="D1218" s="185"/>
      <c r="E1218" s="229"/>
      <c r="F1218" s="230"/>
    </row>
    <row r="1219" spans="1:6" x14ac:dyDescent="0.2">
      <c r="A1219" s="275"/>
      <c r="B1219" s="78"/>
      <c r="C1219" s="189"/>
      <c r="D1219" s="185"/>
      <c r="E1219" s="229"/>
      <c r="F1219" s="230"/>
    </row>
    <row r="1220" spans="1:6" x14ac:dyDescent="0.2">
      <c r="A1220" s="275"/>
      <c r="B1220" s="78"/>
      <c r="C1220" s="189"/>
      <c r="D1220" s="185"/>
      <c r="E1220" s="229"/>
      <c r="F1220" s="230"/>
    </row>
    <row r="1221" spans="1:6" x14ac:dyDescent="0.2">
      <c r="A1221" s="275"/>
      <c r="B1221" s="78"/>
      <c r="C1221" s="189"/>
      <c r="D1221" s="185"/>
      <c r="E1221" s="229"/>
      <c r="F1221" s="230"/>
    </row>
    <row r="1222" spans="1:6" x14ac:dyDescent="0.2">
      <c r="A1222" s="275"/>
      <c r="B1222" s="78"/>
      <c r="C1222" s="189"/>
      <c r="D1222" s="185"/>
      <c r="E1222" s="229"/>
      <c r="F1222" s="230"/>
    </row>
    <row r="1223" spans="1:6" x14ac:dyDescent="0.2">
      <c r="A1223" s="275"/>
      <c r="B1223" s="78"/>
      <c r="C1223" s="189"/>
      <c r="D1223" s="185"/>
      <c r="E1223" s="229"/>
      <c r="F1223" s="230"/>
    </row>
    <row r="1224" spans="1:6" x14ac:dyDescent="0.2">
      <c r="A1224" s="275"/>
      <c r="B1224" s="78"/>
      <c r="C1224" s="189"/>
      <c r="D1224" s="185"/>
      <c r="E1224" s="229"/>
      <c r="F1224" s="230"/>
    </row>
    <row r="1225" spans="1:6" x14ac:dyDescent="0.2">
      <c r="A1225" s="275"/>
      <c r="B1225" s="78"/>
      <c r="C1225" s="189"/>
      <c r="D1225" s="185"/>
      <c r="E1225" s="229"/>
      <c r="F1225" s="230"/>
    </row>
    <row r="1226" spans="1:6" x14ac:dyDescent="0.2">
      <c r="A1226" s="275"/>
      <c r="B1226" s="78"/>
      <c r="C1226" s="189"/>
      <c r="D1226" s="185"/>
      <c r="E1226" s="229"/>
      <c r="F1226" s="230"/>
    </row>
    <row r="1227" spans="1:6" x14ac:dyDescent="0.2">
      <c r="A1227" s="275"/>
      <c r="B1227" s="78"/>
      <c r="C1227" s="189"/>
      <c r="D1227" s="185"/>
      <c r="E1227" s="229"/>
      <c r="F1227" s="230"/>
    </row>
    <row r="1228" spans="1:6" x14ac:dyDescent="0.2">
      <c r="A1228" s="275"/>
      <c r="B1228" s="78"/>
      <c r="C1228" s="189"/>
      <c r="D1228" s="185"/>
      <c r="E1228" s="229"/>
      <c r="F1228" s="230"/>
    </row>
    <row r="1229" spans="1:6" x14ac:dyDescent="0.2">
      <c r="A1229" s="275"/>
      <c r="B1229" s="78"/>
      <c r="C1229" s="189"/>
      <c r="D1229" s="185"/>
      <c r="E1229" s="229"/>
      <c r="F1229" s="230"/>
    </row>
    <row r="1230" spans="1:6" x14ac:dyDescent="0.2">
      <c r="A1230" s="275"/>
      <c r="B1230" s="78"/>
      <c r="C1230" s="189"/>
      <c r="D1230" s="185"/>
      <c r="E1230" s="229"/>
      <c r="F1230" s="230"/>
    </row>
    <row r="1231" spans="1:6" x14ac:dyDescent="0.2">
      <c r="A1231" s="275"/>
      <c r="B1231" s="78"/>
      <c r="C1231" s="189"/>
      <c r="D1231" s="185"/>
      <c r="E1231" s="229"/>
      <c r="F1231" s="230"/>
    </row>
    <row r="1232" spans="1:6" x14ac:dyDescent="0.2">
      <c r="A1232" s="275"/>
      <c r="B1232" s="78"/>
      <c r="C1232" s="189"/>
      <c r="D1232" s="185"/>
      <c r="E1232" s="229"/>
      <c r="F1232" s="230"/>
    </row>
    <row r="1233" spans="1:6" x14ac:dyDescent="0.2">
      <c r="A1233" s="275"/>
      <c r="B1233" s="78"/>
      <c r="C1233" s="189"/>
      <c r="D1233" s="185"/>
      <c r="E1233" s="229"/>
      <c r="F1233" s="230"/>
    </row>
    <row r="1234" spans="1:6" x14ac:dyDescent="0.2">
      <c r="A1234" s="275"/>
      <c r="B1234" s="78"/>
      <c r="C1234" s="189"/>
      <c r="D1234" s="185"/>
      <c r="E1234" s="229"/>
      <c r="F1234" s="230"/>
    </row>
    <row r="1235" spans="1:6" x14ac:dyDescent="0.2">
      <c r="A1235" s="275"/>
      <c r="B1235" s="78"/>
      <c r="C1235" s="189"/>
      <c r="D1235" s="185"/>
      <c r="E1235" s="229"/>
      <c r="F1235" s="230"/>
    </row>
    <row r="1236" spans="1:6" x14ac:dyDescent="0.2">
      <c r="A1236" s="275"/>
      <c r="B1236" s="78"/>
      <c r="C1236" s="189"/>
      <c r="D1236" s="185"/>
      <c r="E1236" s="229"/>
      <c r="F1236" s="230"/>
    </row>
    <row r="1237" spans="1:6" x14ac:dyDescent="0.2">
      <c r="A1237" s="275"/>
      <c r="B1237" s="78"/>
      <c r="C1237" s="189"/>
      <c r="D1237" s="185"/>
      <c r="E1237" s="229"/>
      <c r="F1237" s="230"/>
    </row>
    <row r="1238" spans="1:6" x14ac:dyDescent="0.2">
      <c r="A1238" s="275"/>
      <c r="B1238" s="78"/>
      <c r="C1238" s="189"/>
      <c r="D1238" s="185"/>
      <c r="E1238" s="229"/>
      <c r="F1238" s="230"/>
    </row>
    <row r="1239" spans="1:6" x14ac:dyDescent="0.2">
      <c r="A1239" s="275"/>
      <c r="B1239" s="78"/>
      <c r="C1239" s="189"/>
      <c r="D1239" s="185"/>
      <c r="E1239" s="229"/>
      <c r="F1239" s="230"/>
    </row>
    <row r="1240" spans="1:6" x14ac:dyDescent="0.2">
      <c r="A1240" s="275"/>
      <c r="B1240" s="78"/>
      <c r="C1240" s="189"/>
      <c r="D1240" s="185"/>
      <c r="E1240" s="229"/>
      <c r="F1240" s="230"/>
    </row>
    <row r="1241" spans="1:6" x14ac:dyDescent="0.2">
      <c r="A1241" s="275"/>
      <c r="B1241" s="78"/>
      <c r="C1241" s="189"/>
      <c r="D1241" s="185"/>
      <c r="E1241" s="229"/>
      <c r="F1241" s="230"/>
    </row>
    <row r="1242" spans="1:6" x14ac:dyDescent="0.2">
      <c r="A1242" s="275"/>
      <c r="B1242" s="78"/>
      <c r="C1242" s="189"/>
      <c r="D1242" s="185"/>
      <c r="E1242" s="229"/>
      <c r="F1242" s="230"/>
    </row>
    <row r="1243" spans="1:6" x14ac:dyDescent="0.2">
      <c r="A1243" s="275"/>
      <c r="B1243" s="78"/>
      <c r="C1243" s="189"/>
      <c r="D1243" s="185"/>
      <c r="E1243" s="229"/>
      <c r="F1243" s="230"/>
    </row>
    <row r="1244" spans="1:6" x14ac:dyDescent="0.2">
      <c r="A1244" s="275"/>
      <c r="B1244" s="78"/>
      <c r="C1244" s="189"/>
      <c r="D1244" s="185"/>
      <c r="E1244" s="229"/>
      <c r="F1244" s="230"/>
    </row>
    <row r="1245" spans="1:6" x14ac:dyDescent="0.2">
      <c r="A1245" s="275"/>
      <c r="B1245" s="78"/>
      <c r="C1245" s="189"/>
      <c r="D1245" s="185"/>
      <c r="E1245" s="229"/>
      <c r="F1245" s="230"/>
    </row>
    <row r="1246" spans="1:6" x14ac:dyDescent="0.2">
      <c r="A1246" s="275"/>
      <c r="B1246" s="78"/>
      <c r="C1246" s="189"/>
      <c r="D1246" s="185"/>
      <c r="E1246" s="229"/>
      <c r="F1246" s="230"/>
    </row>
    <row r="1247" spans="1:6" x14ac:dyDescent="0.2">
      <c r="A1247" s="275"/>
      <c r="B1247" s="78"/>
      <c r="C1247" s="189"/>
      <c r="D1247" s="185"/>
      <c r="E1247" s="229"/>
      <c r="F1247" s="230"/>
    </row>
    <row r="1248" spans="1:6" x14ac:dyDescent="0.2">
      <c r="A1248" s="275"/>
      <c r="B1248" s="78"/>
      <c r="C1248" s="189"/>
      <c r="D1248" s="185"/>
      <c r="E1248" s="229"/>
      <c r="F1248" s="230"/>
    </row>
    <row r="1249" spans="1:6" x14ac:dyDescent="0.2">
      <c r="A1249" s="275"/>
      <c r="B1249" s="78"/>
      <c r="C1249" s="189"/>
      <c r="D1249" s="185"/>
      <c r="E1249" s="229"/>
      <c r="F1249" s="230"/>
    </row>
    <row r="1250" spans="1:6" x14ac:dyDescent="0.2">
      <c r="A1250" s="275"/>
      <c r="B1250" s="78"/>
      <c r="C1250" s="189"/>
      <c r="D1250" s="185"/>
      <c r="E1250" s="229"/>
      <c r="F1250" s="230"/>
    </row>
    <row r="1251" spans="1:6" x14ac:dyDescent="0.2">
      <c r="A1251" s="275"/>
      <c r="B1251" s="78"/>
      <c r="C1251" s="189"/>
      <c r="D1251" s="185"/>
      <c r="E1251" s="229"/>
      <c r="F1251" s="230"/>
    </row>
    <row r="1252" spans="1:6" x14ac:dyDescent="0.2">
      <c r="A1252" s="275"/>
      <c r="B1252" s="78"/>
      <c r="C1252" s="189"/>
      <c r="D1252" s="185"/>
      <c r="E1252" s="229"/>
      <c r="F1252" s="230"/>
    </row>
    <row r="1253" spans="1:6" x14ac:dyDescent="0.2">
      <c r="A1253" s="275"/>
      <c r="B1253" s="78"/>
      <c r="C1253" s="189"/>
      <c r="D1253" s="185"/>
      <c r="E1253" s="229"/>
      <c r="F1253" s="230"/>
    </row>
    <row r="1254" spans="1:6" x14ac:dyDescent="0.2">
      <c r="A1254" s="275"/>
      <c r="B1254" s="78"/>
      <c r="C1254" s="189"/>
      <c r="D1254" s="185"/>
      <c r="E1254" s="229"/>
      <c r="F1254" s="230"/>
    </row>
    <row r="1255" spans="1:6" x14ac:dyDescent="0.2">
      <c r="A1255" s="275"/>
      <c r="B1255" s="78"/>
      <c r="C1255" s="189"/>
      <c r="D1255" s="185"/>
      <c r="E1255" s="229"/>
      <c r="F1255" s="230"/>
    </row>
    <row r="1256" spans="1:6" x14ac:dyDescent="0.2">
      <c r="A1256" s="275"/>
      <c r="B1256" s="78"/>
      <c r="C1256" s="189"/>
      <c r="D1256" s="185"/>
      <c r="E1256" s="229"/>
      <c r="F1256" s="230"/>
    </row>
    <row r="1257" spans="1:6" x14ac:dyDescent="0.2">
      <c r="A1257" s="275"/>
      <c r="B1257" s="78"/>
      <c r="C1257" s="189"/>
      <c r="D1257" s="185"/>
      <c r="E1257" s="229"/>
      <c r="F1257" s="230"/>
    </row>
    <row r="1258" spans="1:6" x14ac:dyDescent="0.2">
      <c r="A1258" s="275"/>
      <c r="B1258" s="78"/>
      <c r="C1258" s="189"/>
      <c r="D1258" s="185"/>
      <c r="E1258" s="229"/>
      <c r="F1258" s="230"/>
    </row>
    <row r="1259" spans="1:6" x14ac:dyDescent="0.2">
      <c r="A1259" s="275"/>
      <c r="B1259" s="78"/>
      <c r="C1259" s="189"/>
      <c r="D1259" s="185"/>
      <c r="E1259" s="229"/>
      <c r="F1259" s="230"/>
    </row>
    <row r="1260" spans="1:6" x14ac:dyDescent="0.2">
      <c r="A1260" s="275"/>
      <c r="B1260" s="78"/>
      <c r="C1260" s="189"/>
      <c r="D1260" s="185"/>
      <c r="E1260" s="229"/>
      <c r="F1260" s="230"/>
    </row>
    <row r="1261" spans="1:6" x14ac:dyDescent="0.2">
      <c r="A1261" s="275"/>
      <c r="B1261" s="78"/>
      <c r="C1261" s="189"/>
      <c r="D1261" s="185"/>
      <c r="E1261" s="229"/>
      <c r="F1261" s="230"/>
    </row>
    <row r="1262" spans="1:6" x14ac:dyDescent="0.2">
      <c r="A1262" s="275"/>
      <c r="B1262" s="78"/>
      <c r="C1262" s="189"/>
      <c r="D1262" s="185"/>
      <c r="E1262" s="229"/>
      <c r="F1262" s="230"/>
    </row>
    <row r="1263" spans="1:6" x14ac:dyDescent="0.2">
      <c r="A1263" s="275"/>
      <c r="B1263" s="78"/>
      <c r="C1263" s="189"/>
      <c r="D1263" s="185"/>
      <c r="E1263" s="229"/>
      <c r="F1263" s="230"/>
    </row>
    <row r="1264" spans="1:6" x14ac:dyDescent="0.2">
      <c r="A1264" s="275"/>
      <c r="B1264" s="78"/>
      <c r="C1264" s="189"/>
      <c r="D1264" s="185"/>
      <c r="E1264" s="229"/>
      <c r="F1264" s="230"/>
    </row>
    <row r="1265" spans="1:6" x14ac:dyDescent="0.2">
      <c r="A1265" s="275"/>
      <c r="B1265" s="78"/>
      <c r="C1265" s="189"/>
      <c r="D1265" s="185"/>
      <c r="E1265" s="229"/>
      <c r="F1265" s="230"/>
    </row>
    <row r="1266" spans="1:6" x14ac:dyDescent="0.2">
      <c r="A1266" s="275"/>
      <c r="B1266" s="78"/>
      <c r="C1266" s="189"/>
      <c r="D1266" s="185"/>
      <c r="E1266" s="229"/>
      <c r="F1266" s="230"/>
    </row>
    <row r="1267" spans="1:6" x14ac:dyDescent="0.2">
      <c r="A1267" s="275"/>
      <c r="B1267" s="78"/>
      <c r="C1267" s="189"/>
      <c r="D1267" s="185"/>
      <c r="E1267" s="229"/>
      <c r="F1267" s="230"/>
    </row>
    <row r="1268" spans="1:6" x14ac:dyDescent="0.2">
      <c r="A1268" s="275"/>
      <c r="B1268" s="78"/>
      <c r="C1268" s="189"/>
      <c r="D1268" s="185"/>
      <c r="E1268" s="229"/>
      <c r="F1268" s="230"/>
    </row>
    <row r="1269" spans="1:6" x14ac:dyDescent="0.2">
      <c r="A1269" s="275"/>
      <c r="B1269" s="78"/>
      <c r="C1269" s="189"/>
      <c r="D1269" s="185"/>
      <c r="E1269" s="229"/>
      <c r="F1269" s="230"/>
    </row>
    <row r="1270" spans="1:6" x14ac:dyDescent="0.2">
      <c r="A1270" s="275"/>
      <c r="B1270" s="78"/>
      <c r="C1270" s="189"/>
      <c r="D1270" s="185"/>
      <c r="E1270" s="229"/>
      <c r="F1270" s="230"/>
    </row>
    <row r="1271" spans="1:6" x14ac:dyDescent="0.2">
      <c r="A1271" s="275"/>
      <c r="B1271" s="78"/>
      <c r="C1271" s="189"/>
      <c r="D1271" s="185"/>
      <c r="E1271" s="229"/>
      <c r="F1271" s="230"/>
    </row>
    <row r="1272" spans="1:6" x14ac:dyDescent="0.2">
      <c r="A1272" s="275"/>
      <c r="B1272" s="78"/>
      <c r="C1272" s="189"/>
      <c r="D1272" s="185"/>
      <c r="E1272" s="229"/>
      <c r="F1272" s="230"/>
    </row>
    <row r="1273" spans="1:6" x14ac:dyDescent="0.2">
      <c r="A1273" s="275"/>
      <c r="B1273" s="78"/>
      <c r="C1273" s="189"/>
      <c r="D1273" s="185"/>
      <c r="E1273" s="229"/>
      <c r="F1273" s="230"/>
    </row>
    <row r="1274" spans="1:6" x14ac:dyDescent="0.2">
      <c r="A1274" s="275"/>
      <c r="B1274" s="78"/>
      <c r="C1274" s="189"/>
      <c r="D1274" s="185"/>
      <c r="E1274" s="229"/>
      <c r="F1274" s="230"/>
    </row>
    <row r="1275" spans="1:6" x14ac:dyDescent="0.2">
      <c r="A1275" s="275"/>
      <c r="B1275" s="78"/>
      <c r="C1275" s="189"/>
      <c r="D1275" s="185"/>
      <c r="E1275" s="229"/>
      <c r="F1275" s="230"/>
    </row>
    <row r="1276" spans="1:6" x14ac:dyDescent="0.2">
      <c r="A1276" s="275"/>
      <c r="B1276" s="78"/>
      <c r="C1276" s="189"/>
      <c r="D1276" s="185"/>
      <c r="E1276" s="229"/>
      <c r="F1276" s="230"/>
    </row>
    <row r="1277" spans="1:6" x14ac:dyDescent="0.2">
      <c r="A1277" s="275"/>
      <c r="B1277" s="78"/>
      <c r="C1277" s="189"/>
      <c r="D1277" s="185"/>
      <c r="E1277" s="229"/>
      <c r="F1277" s="230"/>
    </row>
    <row r="1278" spans="1:6" x14ac:dyDescent="0.2">
      <c r="A1278" s="275"/>
      <c r="B1278" s="78"/>
      <c r="C1278" s="189"/>
      <c r="D1278" s="185"/>
      <c r="E1278" s="229"/>
      <c r="F1278" s="230"/>
    </row>
    <row r="1279" spans="1:6" x14ac:dyDescent="0.2">
      <c r="A1279" s="275"/>
      <c r="B1279" s="78"/>
      <c r="C1279" s="189"/>
      <c r="D1279" s="185"/>
      <c r="E1279" s="229"/>
      <c r="F1279" s="230"/>
    </row>
    <row r="1280" spans="1:6" x14ac:dyDescent="0.2">
      <c r="A1280" s="275"/>
      <c r="B1280" s="78"/>
      <c r="C1280" s="189"/>
      <c r="D1280" s="185"/>
      <c r="E1280" s="229"/>
      <c r="F1280" s="230"/>
    </row>
    <row r="1281" spans="1:6" x14ac:dyDescent="0.2">
      <c r="A1281" s="275"/>
      <c r="B1281" s="78"/>
      <c r="C1281" s="189"/>
      <c r="D1281" s="185"/>
      <c r="E1281" s="229"/>
      <c r="F1281" s="230"/>
    </row>
    <row r="1282" spans="1:6" x14ac:dyDescent="0.2">
      <c r="A1282" s="275"/>
      <c r="B1282" s="78"/>
      <c r="C1282" s="189"/>
      <c r="D1282" s="185"/>
      <c r="E1282" s="229"/>
      <c r="F1282" s="230"/>
    </row>
    <row r="1283" spans="1:6" x14ac:dyDescent="0.2">
      <c r="A1283" s="275"/>
      <c r="B1283" s="78"/>
      <c r="C1283" s="189"/>
      <c r="D1283" s="185"/>
      <c r="E1283" s="229"/>
      <c r="F1283" s="230"/>
    </row>
    <row r="1284" spans="1:6" x14ac:dyDescent="0.2">
      <c r="A1284" s="275"/>
      <c r="B1284" s="78"/>
      <c r="C1284" s="189"/>
      <c r="D1284" s="185"/>
      <c r="E1284" s="229"/>
      <c r="F1284" s="230"/>
    </row>
    <row r="1285" spans="1:6" x14ac:dyDescent="0.2">
      <c r="A1285" s="275"/>
      <c r="B1285" s="78"/>
      <c r="C1285" s="189"/>
      <c r="D1285" s="185"/>
      <c r="E1285" s="229"/>
      <c r="F1285" s="230"/>
    </row>
    <row r="1286" spans="1:6" x14ac:dyDescent="0.2">
      <c r="A1286" s="275"/>
      <c r="B1286" s="78"/>
      <c r="C1286" s="189"/>
      <c r="D1286" s="185"/>
      <c r="E1286" s="229"/>
      <c r="F1286" s="230"/>
    </row>
    <row r="1287" spans="1:6" x14ac:dyDescent="0.2">
      <c r="A1287" s="275"/>
      <c r="B1287" s="78"/>
      <c r="C1287" s="189"/>
      <c r="D1287" s="185"/>
      <c r="E1287" s="229"/>
      <c r="F1287" s="230"/>
    </row>
    <row r="1288" spans="1:6" x14ac:dyDescent="0.2">
      <c r="A1288" s="275"/>
      <c r="B1288" s="78"/>
      <c r="C1288" s="189"/>
      <c r="D1288" s="185"/>
      <c r="E1288" s="229"/>
      <c r="F1288" s="230"/>
    </row>
    <row r="1289" spans="1:6" x14ac:dyDescent="0.2">
      <c r="A1289" s="275"/>
      <c r="B1289" s="78"/>
      <c r="C1289" s="189"/>
      <c r="D1289" s="185"/>
      <c r="E1289" s="229"/>
      <c r="F1289" s="230"/>
    </row>
    <row r="1290" spans="1:6" x14ac:dyDescent="0.2">
      <c r="A1290" s="275"/>
      <c r="B1290" s="78"/>
      <c r="C1290" s="189"/>
      <c r="D1290" s="185"/>
      <c r="E1290" s="229"/>
      <c r="F1290" s="230"/>
    </row>
    <row r="1291" spans="1:6" x14ac:dyDescent="0.2">
      <c r="A1291" s="275"/>
      <c r="B1291" s="78"/>
      <c r="C1291" s="189"/>
      <c r="D1291" s="185"/>
      <c r="E1291" s="229"/>
      <c r="F1291" s="230"/>
    </row>
    <row r="1292" spans="1:6" x14ac:dyDescent="0.2">
      <c r="A1292" s="275"/>
      <c r="B1292" s="78"/>
      <c r="C1292" s="189"/>
      <c r="D1292" s="185"/>
      <c r="E1292" s="229"/>
      <c r="F1292" s="230"/>
    </row>
    <row r="1293" spans="1:6" x14ac:dyDescent="0.2">
      <c r="A1293" s="275"/>
      <c r="B1293" s="78"/>
      <c r="C1293" s="189"/>
      <c r="D1293" s="185"/>
      <c r="E1293" s="229"/>
      <c r="F1293" s="230"/>
    </row>
    <row r="1294" spans="1:6" x14ac:dyDescent="0.2">
      <c r="A1294" s="275"/>
      <c r="B1294" s="78"/>
      <c r="C1294" s="189"/>
      <c r="D1294" s="185"/>
      <c r="E1294" s="229"/>
      <c r="F1294" s="230"/>
    </row>
    <row r="1295" spans="1:6" x14ac:dyDescent="0.2">
      <c r="A1295" s="275"/>
      <c r="B1295" s="78"/>
      <c r="C1295" s="189"/>
      <c r="D1295" s="185"/>
      <c r="E1295" s="229"/>
      <c r="F1295" s="230"/>
    </row>
    <row r="1296" spans="1:6" x14ac:dyDescent="0.2">
      <c r="A1296" s="275"/>
      <c r="B1296" s="78"/>
      <c r="C1296" s="189"/>
      <c r="D1296" s="185"/>
      <c r="E1296" s="229"/>
      <c r="F1296" s="230"/>
    </row>
    <row r="1297" spans="1:6" x14ac:dyDescent="0.2">
      <c r="A1297" s="275"/>
      <c r="B1297" s="78"/>
      <c r="C1297" s="189"/>
      <c r="D1297" s="185"/>
      <c r="E1297" s="229"/>
      <c r="F1297" s="230"/>
    </row>
    <row r="1298" spans="1:6" x14ac:dyDescent="0.2">
      <c r="A1298" s="275"/>
      <c r="B1298" s="78"/>
      <c r="C1298" s="189"/>
      <c r="D1298" s="185"/>
      <c r="E1298" s="229"/>
      <c r="F1298" s="230"/>
    </row>
    <row r="1299" spans="1:6" x14ac:dyDescent="0.2">
      <c r="A1299" s="275"/>
      <c r="B1299" s="78"/>
      <c r="C1299" s="189"/>
      <c r="D1299" s="185"/>
      <c r="E1299" s="229"/>
      <c r="F1299" s="230"/>
    </row>
    <row r="1300" spans="1:6" x14ac:dyDescent="0.2">
      <c r="A1300" s="275"/>
      <c r="B1300" s="78"/>
      <c r="C1300" s="189"/>
      <c r="D1300" s="185"/>
      <c r="E1300" s="229"/>
      <c r="F1300" s="230"/>
    </row>
    <row r="1301" spans="1:6" x14ac:dyDescent="0.2">
      <c r="A1301" s="275"/>
      <c r="B1301" s="78"/>
      <c r="C1301" s="189"/>
      <c r="D1301" s="185"/>
      <c r="E1301" s="229"/>
      <c r="F1301" s="230"/>
    </row>
    <row r="1302" spans="1:6" x14ac:dyDescent="0.2">
      <c r="A1302" s="275"/>
      <c r="B1302" s="78"/>
      <c r="C1302" s="189"/>
      <c r="D1302" s="185"/>
      <c r="E1302" s="229"/>
      <c r="F1302" s="230"/>
    </row>
    <row r="1303" spans="1:6" x14ac:dyDescent="0.2">
      <c r="A1303" s="275"/>
      <c r="B1303" s="78"/>
      <c r="C1303" s="189"/>
      <c r="D1303" s="185"/>
      <c r="E1303" s="229"/>
      <c r="F1303" s="230"/>
    </row>
    <row r="1304" spans="1:6" x14ac:dyDescent="0.2">
      <c r="A1304" s="275"/>
      <c r="B1304" s="78"/>
      <c r="C1304" s="189"/>
      <c r="D1304" s="185"/>
      <c r="E1304" s="229"/>
      <c r="F1304" s="230"/>
    </row>
    <row r="1305" spans="1:6" x14ac:dyDescent="0.2">
      <c r="A1305" s="275"/>
      <c r="B1305" s="78"/>
      <c r="C1305" s="189"/>
      <c r="D1305" s="185"/>
      <c r="E1305" s="229"/>
      <c r="F1305" s="230"/>
    </row>
    <row r="1306" spans="1:6" x14ac:dyDescent="0.2">
      <c r="A1306" s="275"/>
      <c r="B1306" s="78"/>
      <c r="C1306" s="189"/>
      <c r="D1306" s="185"/>
      <c r="E1306" s="229"/>
      <c r="F1306" s="230"/>
    </row>
    <row r="1307" spans="1:6" x14ac:dyDescent="0.2">
      <c r="A1307" s="275"/>
      <c r="B1307" s="78"/>
      <c r="C1307" s="189"/>
      <c r="D1307" s="185"/>
      <c r="E1307" s="229"/>
      <c r="F1307" s="230"/>
    </row>
    <row r="1308" spans="1:6" x14ac:dyDescent="0.2">
      <c r="A1308" s="275"/>
      <c r="B1308" s="78"/>
      <c r="C1308" s="189"/>
      <c r="D1308" s="185"/>
      <c r="E1308" s="229"/>
      <c r="F1308" s="230"/>
    </row>
    <row r="1309" spans="1:6" x14ac:dyDescent="0.2">
      <c r="A1309" s="275"/>
      <c r="B1309" s="78"/>
      <c r="C1309" s="189"/>
      <c r="D1309" s="185"/>
      <c r="E1309" s="229"/>
      <c r="F1309" s="230"/>
    </row>
    <row r="1310" spans="1:6" x14ac:dyDescent="0.2">
      <c r="A1310" s="275"/>
      <c r="B1310" s="78"/>
      <c r="C1310" s="189"/>
      <c r="D1310" s="185"/>
      <c r="E1310" s="229"/>
      <c r="F1310" s="230"/>
    </row>
    <row r="1311" spans="1:6" x14ac:dyDescent="0.2">
      <c r="A1311" s="275"/>
      <c r="B1311" s="78"/>
      <c r="C1311" s="189"/>
      <c r="D1311" s="185"/>
      <c r="E1311" s="229"/>
      <c r="F1311" s="230"/>
    </row>
    <row r="1312" spans="1:6" x14ac:dyDescent="0.2">
      <c r="A1312" s="275"/>
      <c r="B1312" s="78"/>
      <c r="C1312" s="189"/>
      <c r="D1312" s="185"/>
      <c r="E1312" s="229"/>
      <c r="F1312" s="230"/>
    </row>
    <row r="1313" spans="1:6" x14ac:dyDescent="0.2">
      <c r="A1313" s="275"/>
      <c r="B1313" s="78"/>
      <c r="C1313" s="189"/>
      <c r="D1313" s="185"/>
      <c r="E1313" s="229"/>
      <c r="F1313" s="230"/>
    </row>
    <row r="1314" spans="1:6" x14ac:dyDescent="0.2">
      <c r="A1314" s="275"/>
      <c r="B1314" s="78"/>
      <c r="C1314" s="189"/>
      <c r="D1314" s="185"/>
      <c r="E1314" s="229"/>
      <c r="F1314" s="230"/>
    </row>
    <row r="1315" spans="1:6" x14ac:dyDescent="0.2">
      <c r="A1315" s="275"/>
      <c r="B1315" s="78"/>
      <c r="C1315" s="189"/>
      <c r="D1315" s="185"/>
      <c r="E1315" s="229"/>
      <c r="F1315" s="230"/>
    </row>
    <row r="1316" spans="1:6" x14ac:dyDescent="0.2">
      <c r="A1316" s="275"/>
      <c r="B1316" s="78"/>
      <c r="C1316" s="189"/>
      <c r="D1316" s="185"/>
      <c r="E1316" s="229"/>
      <c r="F1316" s="230"/>
    </row>
    <row r="1317" spans="1:6" x14ac:dyDescent="0.2">
      <c r="A1317" s="275"/>
      <c r="B1317" s="78"/>
      <c r="C1317" s="189"/>
      <c r="D1317" s="185"/>
      <c r="E1317" s="229"/>
      <c r="F1317" s="230"/>
    </row>
    <row r="1318" spans="1:6" x14ac:dyDescent="0.2">
      <c r="A1318" s="275"/>
      <c r="B1318" s="78"/>
      <c r="C1318" s="189"/>
      <c r="D1318" s="185"/>
      <c r="E1318" s="229"/>
      <c r="F1318" s="230"/>
    </row>
    <row r="1319" spans="1:6" x14ac:dyDescent="0.2">
      <c r="A1319" s="275"/>
      <c r="B1319" s="78"/>
      <c r="C1319" s="189"/>
      <c r="D1319" s="185"/>
      <c r="E1319" s="229"/>
      <c r="F1319" s="230"/>
    </row>
    <row r="1320" spans="1:6" x14ac:dyDescent="0.2">
      <c r="A1320" s="275"/>
      <c r="B1320" s="78"/>
      <c r="C1320" s="189"/>
      <c r="D1320" s="185"/>
      <c r="E1320" s="229"/>
      <c r="F1320" s="230"/>
    </row>
    <row r="1321" spans="1:6" x14ac:dyDescent="0.2">
      <c r="A1321" s="275"/>
      <c r="B1321" s="78"/>
      <c r="C1321" s="189"/>
      <c r="D1321" s="185"/>
      <c r="E1321" s="229"/>
      <c r="F1321" s="230"/>
    </row>
    <row r="1322" spans="1:6" x14ac:dyDescent="0.2">
      <c r="A1322" s="275"/>
      <c r="B1322" s="78"/>
      <c r="C1322" s="189"/>
      <c r="D1322" s="185"/>
      <c r="E1322" s="229"/>
      <c r="F1322" s="230"/>
    </row>
    <row r="1323" spans="1:6" x14ac:dyDescent="0.2">
      <c r="A1323" s="275"/>
      <c r="B1323" s="78"/>
      <c r="C1323" s="189"/>
      <c r="D1323" s="185"/>
      <c r="E1323" s="229"/>
      <c r="F1323" s="230"/>
    </row>
    <row r="1324" spans="1:6" x14ac:dyDescent="0.2">
      <c r="A1324" s="275"/>
      <c r="B1324" s="78"/>
      <c r="C1324" s="189"/>
      <c r="D1324" s="185"/>
      <c r="E1324" s="229"/>
      <c r="F1324" s="230"/>
    </row>
    <row r="1325" spans="1:6" x14ac:dyDescent="0.2">
      <c r="A1325" s="275"/>
      <c r="B1325" s="78"/>
      <c r="C1325" s="189"/>
      <c r="D1325" s="185"/>
      <c r="E1325" s="229"/>
      <c r="F1325" s="230"/>
    </row>
    <row r="1326" spans="1:6" x14ac:dyDescent="0.2">
      <c r="A1326" s="275"/>
      <c r="B1326" s="78"/>
      <c r="C1326" s="189"/>
      <c r="D1326" s="185"/>
      <c r="E1326" s="229"/>
      <c r="F1326" s="230"/>
    </row>
    <row r="1327" spans="1:6" x14ac:dyDescent="0.2">
      <c r="A1327" s="275"/>
      <c r="B1327" s="78"/>
      <c r="C1327" s="189"/>
      <c r="D1327" s="185"/>
      <c r="E1327" s="229"/>
      <c r="F1327" s="230"/>
    </row>
    <row r="1328" spans="1:6" x14ac:dyDescent="0.2">
      <c r="A1328" s="275"/>
      <c r="B1328" s="78"/>
      <c r="C1328" s="189"/>
      <c r="D1328" s="185"/>
      <c r="E1328" s="229"/>
      <c r="F1328" s="230"/>
    </row>
    <row r="1329" spans="1:6" x14ac:dyDescent="0.2">
      <c r="A1329" s="275"/>
      <c r="B1329" s="78"/>
      <c r="C1329" s="189"/>
      <c r="D1329" s="185"/>
      <c r="E1329" s="229"/>
      <c r="F1329" s="230"/>
    </row>
    <row r="1330" spans="1:6" x14ac:dyDescent="0.2">
      <c r="A1330" s="275"/>
      <c r="B1330" s="78"/>
      <c r="C1330" s="189"/>
      <c r="D1330" s="185"/>
      <c r="E1330" s="229"/>
      <c r="F1330" s="230"/>
    </row>
    <row r="1331" spans="1:6" x14ac:dyDescent="0.2">
      <c r="A1331" s="275"/>
      <c r="B1331" s="78"/>
      <c r="C1331" s="189"/>
      <c r="D1331" s="185"/>
      <c r="E1331" s="229"/>
      <c r="F1331" s="230"/>
    </row>
    <row r="1332" spans="1:6" x14ac:dyDescent="0.2">
      <c r="A1332" s="275"/>
      <c r="B1332" s="78"/>
      <c r="C1332" s="189"/>
      <c r="D1332" s="185"/>
      <c r="E1332" s="229"/>
      <c r="F1332" s="230"/>
    </row>
    <row r="1333" spans="1:6" x14ac:dyDescent="0.2">
      <c r="A1333" s="275"/>
      <c r="B1333" s="78"/>
      <c r="C1333" s="189"/>
      <c r="D1333" s="185"/>
      <c r="E1333" s="229"/>
      <c r="F1333" s="230"/>
    </row>
    <row r="1334" spans="1:6" x14ac:dyDescent="0.2">
      <c r="A1334" s="275"/>
      <c r="B1334" s="78"/>
      <c r="C1334" s="189"/>
      <c r="D1334" s="185"/>
      <c r="E1334" s="229"/>
      <c r="F1334" s="230"/>
    </row>
    <row r="1335" spans="1:6" x14ac:dyDescent="0.2">
      <c r="A1335" s="275"/>
      <c r="B1335" s="78"/>
      <c r="C1335" s="189"/>
      <c r="D1335" s="185"/>
      <c r="E1335" s="229"/>
      <c r="F1335" s="230"/>
    </row>
    <row r="1336" spans="1:6" x14ac:dyDescent="0.2">
      <c r="A1336" s="275"/>
      <c r="B1336" s="78"/>
      <c r="C1336" s="189"/>
      <c r="D1336" s="185"/>
      <c r="E1336" s="229"/>
      <c r="F1336" s="230"/>
    </row>
    <row r="1337" spans="1:6" x14ac:dyDescent="0.2">
      <c r="A1337" s="275"/>
      <c r="B1337" s="78"/>
      <c r="C1337" s="189"/>
      <c r="D1337" s="185"/>
      <c r="E1337" s="229"/>
      <c r="F1337" s="230"/>
    </row>
    <row r="1338" spans="1:6" x14ac:dyDescent="0.2">
      <c r="A1338" s="275"/>
      <c r="B1338" s="78"/>
      <c r="C1338" s="189"/>
      <c r="D1338" s="185"/>
      <c r="E1338" s="229"/>
      <c r="F1338" s="230"/>
    </row>
    <row r="1339" spans="1:6" x14ac:dyDescent="0.2">
      <c r="A1339" s="275"/>
      <c r="B1339" s="78"/>
      <c r="C1339" s="189"/>
      <c r="D1339" s="185"/>
      <c r="E1339" s="229"/>
      <c r="F1339" s="230"/>
    </row>
    <row r="1340" spans="1:6" x14ac:dyDescent="0.2">
      <c r="A1340" s="275"/>
      <c r="B1340" s="78"/>
      <c r="C1340" s="189"/>
      <c r="D1340" s="185"/>
      <c r="E1340" s="229"/>
      <c r="F1340" s="230"/>
    </row>
    <row r="1341" spans="1:6" x14ac:dyDescent="0.2">
      <c r="A1341" s="275"/>
      <c r="B1341" s="78"/>
      <c r="C1341" s="189"/>
      <c r="D1341" s="185"/>
      <c r="E1341" s="229"/>
      <c r="F1341" s="230"/>
    </row>
    <row r="1342" spans="1:6" x14ac:dyDescent="0.2">
      <c r="A1342" s="275"/>
      <c r="B1342" s="78"/>
      <c r="C1342" s="189"/>
      <c r="D1342" s="185"/>
      <c r="E1342" s="229"/>
      <c r="F1342" s="230"/>
    </row>
    <row r="1343" spans="1:6" x14ac:dyDescent="0.2">
      <c r="A1343" s="275"/>
      <c r="B1343" s="78"/>
      <c r="C1343" s="189"/>
      <c r="D1343" s="185"/>
      <c r="E1343" s="229"/>
      <c r="F1343" s="230"/>
    </row>
    <row r="1344" spans="1:6" x14ac:dyDescent="0.2">
      <c r="A1344" s="275"/>
      <c r="B1344" s="78"/>
      <c r="C1344" s="189"/>
      <c r="D1344" s="185"/>
      <c r="E1344" s="229"/>
      <c r="F1344" s="230"/>
    </row>
    <row r="1345" spans="1:6" x14ac:dyDescent="0.2">
      <c r="A1345" s="275"/>
      <c r="B1345" s="78"/>
      <c r="C1345" s="189"/>
      <c r="D1345" s="185"/>
      <c r="E1345" s="229"/>
      <c r="F1345" s="230"/>
    </row>
    <row r="1346" spans="1:6" x14ac:dyDescent="0.2">
      <c r="A1346" s="275"/>
      <c r="B1346" s="78"/>
      <c r="C1346" s="189"/>
      <c r="D1346" s="185"/>
      <c r="E1346" s="229"/>
      <c r="F1346" s="230"/>
    </row>
    <row r="1347" spans="1:6" x14ac:dyDescent="0.2">
      <c r="A1347" s="275"/>
      <c r="B1347" s="78"/>
      <c r="C1347" s="189"/>
      <c r="D1347" s="185"/>
      <c r="E1347" s="229"/>
      <c r="F1347" s="230"/>
    </row>
    <row r="1348" spans="1:6" x14ac:dyDescent="0.2">
      <c r="A1348" s="275"/>
      <c r="B1348" s="78"/>
      <c r="C1348" s="189"/>
      <c r="D1348" s="185"/>
      <c r="E1348" s="229"/>
      <c r="F1348" s="230"/>
    </row>
    <row r="1349" spans="1:6" x14ac:dyDescent="0.2">
      <c r="A1349" s="275"/>
      <c r="B1349" s="78"/>
      <c r="C1349" s="189"/>
      <c r="D1349" s="185"/>
      <c r="E1349" s="229"/>
      <c r="F1349" s="230"/>
    </row>
    <row r="1350" spans="1:6" x14ac:dyDescent="0.2">
      <c r="A1350" s="275"/>
      <c r="B1350" s="78"/>
      <c r="C1350" s="189"/>
      <c r="D1350" s="185"/>
      <c r="E1350" s="229"/>
      <c r="F1350" s="230"/>
    </row>
    <row r="1351" spans="1:6" x14ac:dyDescent="0.2">
      <c r="A1351" s="275"/>
      <c r="B1351" s="78"/>
      <c r="C1351" s="189"/>
      <c r="D1351" s="185"/>
      <c r="E1351" s="229"/>
      <c r="F1351" s="230"/>
    </row>
    <row r="1352" spans="1:6" x14ac:dyDescent="0.2">
      <c r="A1352" s="275"/>
      <c r="B1352" s="78"/>
      <c r="C1352" s="189"/>
      <c r="D1352" s="185"/>
      <c r="E1352" s="229"/>
      <c r="F1352" s="230"/>
    </row>
    <row r="1353" spans="1:6" x14ac:dyDescent="0.2">
      <c r="A1353" s="275"/>
      <c r="B1353" s="78"/>
      <c r="C1353" s="189"/>
      <c r="D1353" s="185"/>
      <c r="E1353" s="229"/>
      <c r="F1353" s="230"/>
    </row>
    <row r="1354" spans="1:6" x14ac:dyDescent="0.2">
      <c r="A1354" s="275"/>
      <c r="B1354" s="78"/>
      <c r="C1354" s="189"/>
      <c r="D1354" s="185"/>
      <c r="E1354" s="229"/>
      <c r="F1354" s="230"/>
    </row>
    <row r="1355" spans="1:6" x14ac:dyDescent="0.2">
      <c r="A1355" s="275"/>
      <c r="B1355" s="78"/>
      <c r="C1355" s="189"/>
      <c r="D1355" s="185"/>
      <c r="E1355" s="229"/>
      <c r="F1355" s="230"/>
    </row>
    <row r="1356" spans="1:6" x14ac:dyDescent="0.2">
      <c r="A1356" s="275"/>
      <c r="B1356" s="78"/>
      <c r="C1356" s="189"/>
      <c r="D1356" s="185"/>
      <c r="E1356" s="229"/>
      <c r="F1356" s="230"/>
    </row>
    <row r="1357" spans="1:6" x14ac:dyDescent="0.2">
      <c r="A1357" s="275"/>
      <c r="B1357" s="78"/>
      <c r="C1357" s="189"/>
      <c r="D1357" s="185"/>
      <c r="E1357" s="229"/>
      <c r="F1357" s="230"/>
    </row>
    <row r="1358" spans="1:6" x14ac:dyDescent="0.2">
      <c r="A1358" s="275"/>
      <c r="B1358" s="78"/>
      <c r="C1358" s="189"/>
      <c r="D1358" s="185"/>
      <c r="E1358" s="229"/>
      <c r="F1358" s="230"/>
    </row>
    <row r="1359" spans="1:6" x14ac:dyDescent="0.2">
      <c r="A1359" s="275"/>
      <c r="B1359" s="78"/>
      <c r="C1359" s="189"/>
      <c r="D1359" s="185"/>
      <c r="E1359" s="229"/>
      <c r="F1359" s="230"/>
    </row>
    <row r="1360" spans="1:6" x14ac:dyDescent="0.2">
      <c r="A1360" s="275"/>
      <c r="B1360" s="78"/>
      <c r="C1360" s="189"/>
      <c r="D1360" s="185"/>
      <c r="E1360" s="229"/>
      <c r="F1360" s="230"/>
    </row>
    <row r="1361" spans="1:6" x14ac:dyDescent="0.2">
      <c r="A1361" s="275"/>
      <c r="B1361" s="78"/>
      <c r="C1361" s="189"/>
      <c r="D1361" s="185"/>
      <c r="E1361" s="229"/>
      <c r="F1361" s="230"/>
    </row>
    <row r="1362" spans="1:6" x14ac:dyDescent="0.2">
      <c r="A1362" s="275"/>
      <c r="B1362" s="78"/>
      <c r="C1362" s="189"/>
      <c r="D1362" s="185"/>
      <c r="E1362" s="229"/>
      <c r="F1362" s="230"/>
    </row>
    <row r="1363" spans="1:6" x14ac:dyDescent="0.2">
      <c r="A1363" s="275"/>
      <c r="B1363" s="78"/>
      <c r="C1363" s="189"/>
      <c r="D1363" s="185"/>
      <c r="E1363" s="229"/>
      <c r="F1363" s="230"/>
    </row>
    <row r="1364" spans="1:6" x14ac:dyDescent="0.2">
      <c r="A1364" s="275"/>
      <c r="B1364" s="78"/>
      <c r="C1364" s="189"/>
      <c r="D1364" s="185"/>
      <c r="E1364" s="229"/>
      <c r="F1364" s="230"/>
    </row>
    <row r="1365" spans="1:6" x14ac:dyDescent="0.2">
      <c r="A1365" s="275"/>
      <c r="B1365" s="78"/>
      <c r="C1365" s="189"/>
      <c r="D1365" s="185"/>
      <c r="E1365" s="229"/>
      <c r="F1365" s="230"/>
    </row>
    <row r="1366" spans="1:6" x14ac:dyDescent="0.2">
      <c r="A1366" s="275"/>
      <c r="B1366" s="78"/>
      <c r="C1366" s="189"/>
      <c r="D1366" s="185"/>
      <c r="E1366" s="229"/>
      <c r="F1366" s="230"/>
    </row>
    <row r="1367" spans="1:6" x14ac:dyDescent="0.2">
      <c r="A1367" s="275"/>
      <c r="B1367" s="78"/>
      <c r="C1367" s="189"/>
      <c r="D1367" s="185"/>
      <c r="E1367" s="229"/>
      <c r="F1367" s="230"/>
    </row>
    <row r="1368" spans="1:6" x14ac:dyDescent="0.2">
      <c r="A1368" s="275"/>
      <c r="B1368" s="78"/>
      <c r="C1368" s="189"/>
      <c r="D1368" s="185"/>
      <c r="E1368" s="229"/>
      <c r="F1368" s="230"/>
    </row>
    <row r="1369" spans="1:6" x14ac:dyDescent="0.2">
      <c r="A1369" s="275"/>
      <c r="B1369" s="78"/>
      <c r="C1369" s="189"/>
      <c r="D1369" s="185"/>
      <c r="E1369" s="229"/>
      <c r="F1369" s="230"/>
    </row>
    <row r="1370" spans="1:6" x14ac:dyDescent="0.2">
      <c r="A1370" s="275"/>
      <c r="B1370" s="78"/>
      <c r="C1370" s="189"/>
      <c r="D1370" s="185"/>
      <c r="E1370" s="229"/>
      <c r="F1370" s="230"/>
    </row>
    <row r="1371" spans="1:6" x14ac:dyDescent="0.2">
      <c r="A1371" s="275"/>
      <c r="B1371" s="78"/>
      <c r="C1371" s="189"/>
      <c r="D1371" s="185"/>
      <c r="E1371" s="229"/>
      <c r="F1371" s="230"/>
    </row>
    <row r="1372" spans="1:6" x14ac:dyDescent="0.2">
      <c r="A1372" s="275"/>
      <c r="B1372" s="78"/>
      <c r="C1372" s="189"/>
      <c r="D1372" s="185"/>
      <c r="E1372" s="229"/>
      <c r="F1372" s="230"/>
    </row>
    <row r="1373" spans="1:6" x14ac:dyDescent="0.2">
      <c r="A1373" s="275"/>
      <c r="B1373" s="78"/>
      <c r="C1373" s="189"/>
      <c r="D1373" s="185"/>
      <c r="E1373" s="229"/>
      <c r="F1373" s="230"/>
    </row>
    <row r="1374" spans="1:6" x14ac:dyDescent="0.2">
      <c r="A1374" s="275"/>
      <c r="B1374" s="78"/>
      <c r="C1374" s="189"/>
      <c r="D1374" s="185"/>
      <c r="E1374" s="229"/>
      <c r="F1374" s="230"/>
    </row>
    <row r="1375" spans="1:6" x14ac:dyDescent="0.2">
      <c r="A1375" s="275"/>
      <c r="B1375" s="78"/>
      <c r="C1375" s="189"/>
      <c r="D1375" s="185"/>
      <c r="E1375" s="229"/>
      <c r="F1375" s="230"/>
    </row>
    <row r="1376" spans="1:6" x14ac:dyDescent="0.2">
      <c r="A1376" s="275"/>
      <c r="B1376" s="78"/>
      <c r="C1376" s="189"/>
      <c r="D1376" s="185"/>
      <c r="E1376" s="229"/>
      <c r="F1376" s="230"/>
    </row>
    <row r="1377" spans="1:6" x14ac:dyDescent="0.2">
      <c r="A1377" s="275"/>
      <c r="B1377" s="78"/>
      <c r="C1377" s="189"/>
      <c r="D1377" s="185"/>
      <c r="E1377" s="229"/>
      <c r="F1377" s="230"/>
    </row>
    <row r="1378" spans="1:6" x14ac:dyDescent="0.2">
      <c r="A1378" s="275"/>
      <c r="B1378" s="78"/>
      <c r="C1378" s="189"/>
      <c r="D1378" s="185"/>
      <c r="E1378" s="229"/>
      <c r="F1378" s="230"/>
    </row>
    <row r="1379" spans="1:6" x14ac:dyDescent="0.2">
      <c r="A1379" s="275"/>
      <c r="B1379" s="78"/>
      <c r="C1379" s="189"/>
      <c r="D1379" s="185"/>
      <c r="E1379" s="229"/>
      <c r="F1379" s="230"/>
    </row>
    <row r="1380" spans="1:6" x14ac:dyDescent="0.2">
      <c r="A1380" s="275"/>
      <c r="B1380" s="78"/>
      <c r="C1380" s="189"/>
      <c r="D1380" s="185"/>
      <c r="E1380" s="229"/>
      <c r="F1380" s="230"/>
    </row>
    <row r="1381" spans="1:6" x14ac:dyDescent="0.2">
      <c r="A1381" s="275"/>
      <c r="B1381" s="78"/>
      <c r="C1381" s="189"/>
      <c r="D1381" s="185"/>
      <c r="E1381" s="229"/>
      <c r="F1381" s="230"/>
    </row>
    <row r="1382" spans="1:6" x14ac:dyDescent="0.2">
      <c r="A1382" s="275"/>
      <c r="B1382" s="78"/>
      <c r="C1382" s="189"/>
      <c r="D1382" s="185"/>
      <c r="E1382" s="229"/>
      <c r="F1382" s="230"/>
    </row>
    <row r="1383" spans="1:6" x14ac:dyDescent="0.2">
      <c r="A1383" s="275"/>
      <c r="B1383" s="78"/>
      <c r="C1383" s="189"/>
      <c r="D1383" s="185"/>
      <c r="E1383" s="229"/>
      <c r="F1383" s="230"/>
    </row>
    <row r="1384" spans="1:6" x14ac:dyDescent="0.2">
      <c r="A1384" s="275"/>
      <c r="B1384" s="78"/>
      <c r="C1384" s="189"/>
      <c r="D1384" s="185"/>
      <c r="E1384" s="229"/>
      <c r="F1384" s="230"/>
    </row>
    <row r="1385" spans="1:6" x14ac:dyDescent="0.2">
      <c r="A1385" s="275"/>
      <c r="B1385" s="78"/>
      <c r="C1385" s="189"/>
      <c r="D1385" s="185"/>
      <c r="E1385" s="229"/>
      <c r="F1385" s="230"/>
    </row>
    <row r="1386" spans="1:6" x14ac:dyDescent="0.2">
      <c r="A1386" s="275"/>
      <c r="B1386" s="78"/>
      <c r="C1386" s="189"/>
      <c r="D1386" s="185"/>
      <c r="E1386" s="229"/>
      <c r="F1386" s="230"/>
    </row>
    <row r="1387" spans="1:6" x14ac:dyDescent="0.2">
      <c r="A1387" s="275"/>
      <c r="B1387" s="78"/>
      <c r="C1387" s="189"/>
      <c r="D1387" s="185"/>
      <c r="E1387" s="229"/>
      <c r="F1387" s="230"/>
    </row>
    <row r="1388" spans="1:6" x14ac:dyDescent="0.2">
      <c r="A1388" s="275"/>
      <c r="B1388" s="78"/>
      <c r="C1388" s="189"/>
      <c r="D1388" s="185"/>
      <c r="E1388" s="229"/>
      <c r="F1388" s="230"/>
    </row>
    <row r="1389" spans="1:6" x14ac:dyDescent="0.2">
      <c r="A1389" s="275"/>
      <c r="B1389" s="78"/>
      <c r="C1389" s="189"/>
      <c r="D1389" s="185"/>
      <c r="E1389" s="229"/>
      <c r="F1389" s="230"/>
    </row>
    <row r="1390" spans="1:6" x14ac:dyDescent="0.2">
      <c r="A1390" s="275"/>
      <c r="B1390" s="78"/>
      <c r="C1390" s="189"/>
      <c r="D1390" s="185"/>
      <c r="E1390" s="229"/>
      <c r="F1390" s="230"/>
    </row>
    <row r="1391" spans="1:6" x14ac:dyDescent="0.2">
      <c r="A1391" s="275"/>
      <c r="B1391" s="78"/>
      <c r="C1391" s="189"/>
      <c r="D1391" s="185"/>
      <c r="E1391" s="229"/>
      <c r="F1391" s="230"/>
    </row>
    <row r="1392" spans="1:6" x14ac:dyDescent="0.2">
      <c r="A1392" s="275"/>
      <c r="B1392" s="78"/>
      <c r="C1392" s="189"/>
      <c r="D1392" s="185"/>
      <c r="E1392" s="229"/>
      <c r="F1392" s="230"/>
    </row>
    <row r="1393" spans="1:6" x14ac:dyDescent="0.2">
      <c r="A1393" s="275"/>
      <c r="B1393" s="78"/>
      <c r="C1393" s="189"/>
      <c r="D1393" s="185"/>
      <c r="E1393" s="229"/>
      <c r="F1393" s="230"/>
    </row>
    <row r="1394" spans="1:6" x14ac:dyDescent="0.2">
      <c r="A1394" s="275"/>
      <c r="B1394" s="78"/>
      <c r="C1394" s="189"/>
      <c r="D1394" s="185"/>
      <c r="E1394" s="229"/>
      <c r="F1394" s="230"/>
    </row>
    <row r="1395" spans="1:6" x14ac:dyDescent="0.2">
      <c r="A1395" s="275"/>
      <c r="B1395" s="78"/>
      <c r="C1395" s="189"/>
      <c r="D1395" s="185"/>
      <c r="E1395" s="229"/>
      <c r="F1395" s="230"/>
    </row>
    <row r="1396" spans="1:6" x14ac:dyDescent="0.2">
      <c r="A1396" s="275"/>
      <c r="B1396" s="78"/>
      <c r="C1396" s="189"/>
      <c r="D1396" s="185"/>
      <c r="E1396" s="229"/>
      <c r="F1396" s="230"/>
    </row>
    <row r="1397" spans="1:6" x14ac:dyDescent="0.2">
      <c r="A1397" s="275"/>
      <c r="B1397" s="78"/>
      <c r="C1397" s="189"/>
      <c r="D1397" s="185"/>
      <c r="E1397" s="229"/>
      <c r="F1397" s="230"/>
    </row>
    <row r="1398" spans="1:6" x14ac:dyDescent="0.2">
      <c r="A1398" s="275"/>
      <c r="B1398" s="78"/>
      <c r="C1398" s="189"/>
      <c r="D1398" s="185"/>
      <c r="E1398" s="229"/>
      <c r="F1398" s="230"/>
    </row>
    <row r="1399" spans="1:6" x14ac:dyDescent="0.2">
      <c r="A1399" s="275"/>
      <c r="B1399" s="78"/>
      <c r="C1399" s="189"/>
      <c r="D1399" s="185"/>
      <c r="E1399" s="229"/>
      <c r="F1399" s="230"/>
    </row>
    <row r="1400" spans="1:6" x14ac:dyDescent="0.2">
      <c r="A1400" s="275"/>
      <c r="B1400" s="78"/>
      <c r="C1400" s="189"/>
      <c r="D1400" s="185"/>
      <c r="E1400" s="229"/>
      <c r="F1400" s="230"/>
    </row>
    <row r="1401" spans="1:6" x14ac:dyDescent="0.2">
      <c r="A1401" s="275"/>
      <c r="B1401" s="78"/>
      <c r="C1401" s="189"/>
      <c r="D1401" s="185"/>
      <c r="E1401" s="229"/>
      <c r="F1401" s="230"/>
    </row>
    <row r="1402" spans="1:6" x14ac:dyDescent="0.2">
      <c r="A1402" s="275"/>
      <c r="B1402" s="78"/>
      <c r="C1402" s="189"/>
      <c r="D1402" s="185"/>
      <c r="E1402" s="229"/>
      <c r="F1402" s="230"/>
    </row>
    <row r="1403" spans="1:6" x14ac:dyDescent="0.2">
      <c r="A1403" s="275"/>
      <c r="B1403" s="78"/>
      <c r="C1403" s="189"/>
      <c r="D1403" s="185"/>
      <c r="E1403" s="229"/>
      <c r="F1403" s="230"/>
    </row>
    <row r="1404" spans="1:6" x14ac:dyDescent="0.2">
      <c r="A1404" s="275"/>
      <c r="B1404" s="78"/>
      <c r="C1404" s="189"/>
      <c r="D1404" s="185"/>
      <c r="E1404" s="229"/>
      <c r="F1404" s="230"/>
    </row>
    <row r="1405" spans="1:6" x14ac:dyDescent="0.2">
      <c r="A1405" s="275"/>
      <c r="B1405" s="78"/>
      <c r="C1405" s="189"/>
      <c r="D1405" s="185"/>
      <c r="E1405" s="229"/>
      <c r="F1405" s="230"/>
    </row>
    <row r="1406" spans="1:6" x14ac:dyDescent="0.2">
      <c r="A1406" s="275"/>
      <c r="B1406" s="78"/>
      <c r="C1406" s="189"/>
      <c r="D1406" s="185"/>
      <c r="E1406" s="229"/>
      <c r="F1406" s="230"/>
    </row>
    <row r="1407" spans="1:6" x14ac:dyDescent="0.2">
      <c r="A1407" s="275"/>
      <c r="B1407" s="78"/>
      <c r="C1407" s="189"/>
      <c r="D1407" s="185"/>
      <c r="E1407" s="229"/>
      <c r="F1407" s="230"/>
    </row>
    <row r="1408" spans="1:6" x14ac:dyDescent="0.2">
      <c r="A1408" s="275"/>
      <c r="B1408" s="78"/>
      <c r="C1408" s="189"/>
      <c r="D1408" s="185"/>
      <c r="E1408" s="229"/>
      <c r="F1408" s="230"/>
    </row>
    <row r="1409" spans="1:6" x14ac:dyDescent="0.2">
      <c r="A1409" s="275"/>
      <c r="B1409" s="78"/>
      <c r="C1409" s="189"/>
      <c r="D1409" s="185"/>
      <c r="E1409" s="229"/>
      <c r="F1409" s="230"/>
    </row>
    <row r="1410" spans="1:6" x14ac:dyDescent="0.2">
      <c r="A1410" s="275"/>
      <c r="B1410" s="78"/>
      <c r="C1410" s="189"/>
      <c r="D1410" s="185"/>
      <c r="E1410" s="229"/>
      <c r="F1410" s="230"/>
    </row>
    <row r="1411" spans="1:6" x14ac:dyDescent="0.2">
      <c r="A1411" s="275"/>
      <c r="B1411" s="78"/>
      <c r="C1411" s="189"/>
      <c r="D1411" s="185"/>
      <c r="E1411" s="229"/>
      <c r="F1411" s="230"/>
    </row>
    <row r="1412" spans="1:6" x14ac:dyDescent="0.2">
      <c r="A1412" s="275"/>
      <c r="B1412" s="78"/>
      <c r="C1412" s="189"/>
      <c r="D1412" s="185"/>
      <c r="E1412" s="229"/>
      <c r="F1412" s="230"/>
    </row>
    <row r="1413" spans="1:6" x14ac:dyDescent="0.2">
      <c r="A1413" s="275"/>
      <c r="B1413" s="78"/>
      <c r="C1413" s="189"/>
      <c r="D1413" s="185"/>
      <c r="E1413" s="229"/>
      <c r="F1413" s="230"/>
    </row>
    <row r="1414" spans="1:6" x14ac:dyDescent="0.2">
      <c r="A1414" s="275"/>
      <c r="B1414" s="78"/>
      <c r="C1414" s="189"/>
      <c r="D1414" s="185"/>
      <c r="E1414" s="229"/>
      <c r="F1414" s="230"/>
    </row>
    <row r="1415" spans="1:6" x14ac:dyDescent="0.2">
      <c r="A1415" s="275"/>
      <c r="B1415" s="78"/>
      <c r="C1415" s="189"/>
      <c r="D1415" s="185"/>
      <c r="E1415" s="229"/>
      <c r="F1415" s="230"/>
    </row>
    <row r="1416" spans="1:6" x14ac:dyDescent="0.2">
      <c r="A1416" s="275"/>
      <c r="B1416" s="78"/>
      <c r="C1416" s="189"/>
      <c r="D1416" s="185"/>
      <c r="E1416" s="229"/>
      <c r="F1416" s="230"/>
    </row>
    <row r="1417" spans="1:6" x14ac:dyDescent="0.2">
      <c r="A1417" s="275"/>
      <c r="B1417" s="78"/>
      <c r="C1417" s="189"/>
      <c r="D1417" s="185"/>
      <c r="E1417" s="229"/>
      <c r="F1417" s="230"/>
    </row>
    <row r="1418" spans="1:6" x14ac:dyDescent="0.2">
      <c r="A1418" s="275"/>
      <c r="B1418" s="78"/>
      <c r="C1418" s="189"/>
      <c r="D1418" s="185"/>
      <c r="E1418" s="229"/>
      <c r="F1418" s="230"/>
    </row>
    <row r="1419" spans="1:6" x14ac:dyDescent="0.2">
      <c r="A1419" s="275"/>
      <c r="B1419" s="78"/>
      <c r="C1419" s="189"/>
      <c r="D1419" s="185"/>
      <c r="E1419" s="229"/>
      <c r="F1419" s="230"/>
    </row>
    <row r="1420" spans="1:6" x14ac:dyDescent="0.2">
      <c r="A1420" s="275"/>
      <c r="B1420" s="78"/>
      <c r="C1420" s="189"/>
      <c r="D1420" s="185"/>
      <c r="E1420" s="229"/>
      <c r="F1420" s="230"/>
    </row>
    <row r="1421" spans="1:6" x14ac:dyDescent="0.2">
      <c r="A1421" s="275"/>
      <c r="B1421" s="78"/>
      <c r="C1421" s="189"/>
      <c r="D1421" s="185"/>
      <c r="E1421" s="229"/>
      <c r="F1421" s="230"/>
    </row>
    <row r="1422" spans="1:6" x14ac:dyDescent="0.2">
      <c r="A1422" s="275"/>
      <c r="B1422" s="78"/>
      <c r="C1422" s="189"/>
      <c r="D1422" s="185"/>
      <c r="E1422" s="229"/>
      <c r="F1422" s="230"/>
    </row>
    <row r="1423" spans="1:6" x14ac:dyDescent="0.2">
      <c r="A1423" s="275"/>
      <c r="B1423" s="78"/>
      <c r="C1423" s="189"/>
      <c r="D1423" s="185"/>
      <c r="E1423" s="229"/>
      <c r="F1423" s="230"/>
    </row>
    <row r="1424" spans="1:6" x14ac:dyDescent="0.2">
      <c r="A1424" s="275"/>
      <c r="B1424" s="78"/>
      <c r="C1424" s="189"/>
      <c r="D1424" s="185"/>
      <c r="E1424" s="229"/>
      <c r="F1424" s="230"/>
    </row>
    <row r="1425" spans="1:6" x14ac:dyDescent="0.2">
      <c r="A1425" s="275"/>
      <c r="B1425" s="78"/>
      <c r="C1425" s="189"/>
      <c r="D1425" s="185"/>
      <c r="E1425" s="229"/>
      <c r="F1425" s="230"/>
    </row>
    <row r="1426" spans="1:6" x14ac:dyDescent="0.2">
      <c r="A1426" s="275"/>
      <c r="B1426" s="78"/>
      <c r="C1426" s="189"/>
      <c r="D1426" s="185"/>
      <c r="E1426" s="229"/>
      <c r="F1426" s="230"/>
    </row>
    <row r="1427" spans="1:6" x14ac:dyDescent="0.2">
      <c r="A1427" s="275"/>
      <c r="B1427" s="78"/>
      <c r="C1427" s="189"/>
      <c r="D1427" s="185"/>
      <c r="E1427" s="229"/>
      <c r="F1427" s="230"/>
    </row>
    <row r="1428" spans="1:6" x14ac:dyDescent="0.2">
      <c r="A1428" s="275"/>
      <c r="B1428" s="78"/>
      <c r="C1428" s="189"/>
      <c r="D1428" s="185"/>
      <c r="E1428" s="229"/>
      <c r="F1428" s="230"/>
    </row>
    <row r="1429" spans="1:6" x14ac:dyDescent="0.2">
      <c r="A1429" s="275"/>
      <c r="B1429" s="78"/>
      <c r="C1429" s="189"/>
      <c r="D1429" s="185"/>
      <c r="E1429" s="229"/>
      <c r="F1429" s="230"/>
    </row>
    <row r="1430" spans="1:6" x14ac:dyDescent="0.2">
      <c r="A1430" s="275"/>
      <c r="B1430" s="78"/>
      <c r="C1430" s="189"/>
      <c r="D1430" s="185"/>
      <c r="E1430" s="229"/>
      <c r="F1430" s="230"/>
    </row>
    <row r="1431" spans="1:6" x14ac:dyDescent="0.2">
      <c r="A1431" s="275"/>
      <c r="B1431" s="78"/>
      <c r="C1431" s="189"/>
      <c r="D1431" s="185"/>
      <c r="E1431" s="229"/>
      <c r="F1431" s="230"/>
    </row>
    <row r="1432" spans="1:6" x14ac:dyDescent="0.2">
      <c r="A1432" s="275"/>
      <c r="B1432" s="78"/>
      <c r="C1432" s="189"/>
      <c r="D1432" s="185"/>
      <c r="E1432" s="229"/>
      <c r="F1432" s="230"/>
    </row>
    <row r="1433" spans="1:6" x14ac:dyDescent="0.2">
      <c r="A1433" s="275"/>
      <c r="B1433" s="78"/>
      <c r="C1433" s="189"/>
      <c r="D1433" s="185"/>
      <c r="E1433" s="229"/>
      <c r="F1433" s="230"/>
    </row>
    <row r="1434" spans="1:6" x14ac:dyDescent="0.2">
      <c r="A1434" s="275"/>
      <c r="B1434" s="78"/>
      <c r="C1434" s="189"/>
      <c r="D1434" s="185"/>
      <c r="E1434" s="229"/>
      <c r="F1434" s="230"/>
    </row>
    <row r="1435" spans="1:6" x14ac:dyDescent="0.2">
      <c r="A1435" s="275"/>
      <c r="B1435" s="78"/>
      <c r="C1435" s="189"/>
      <c r="D1435" s="185"/>
      <c r="E1435" s="229"/>
      <c r="F1435" s="230"/>
    </row>
    <row r="1436" spans="1:6" x14ac:dyDescent="0.2">
      <c r="A1436" s="275"/>
      <c r="B1436" s="78"/>
      <c r="C1436" s="189"/>
      <c r="D1436" s="185"/>
      <c r="E1436" s="229"/>
      <c r="F1436" s="230"/>
    </row>
    <row r="1437" spans="1:6" x14ac:dyDescent="0.2">
      <c r="A1437" s="275"/>
      <c r="B1437" s="78"/>
      <c r="C1437" s="189"/>
      <c r="D1437" s="185"/>
      <c r="E1437" s="229"/>
      <c r="F1437" s="230"/>
    </row>
    <row r="1438" spans="1:6" x14ac:dyDescent="0.2">
      <c r="A1438" s="275"/>
      <c r="B1438" s="78"/>
      <c r="C1438" s="189"/>
      <c r="D1438" s="185"/>
      <c r="E1438" s="229"/>
      <c r="F1438" s="230"/>
    </row>
    <row r="1439" spans="1:6" x14ac:dyDescent="0.2">
      <c r="A1439" s="275"/>
      <c r="B1439" s="78"/>
      <c r="C1439" s="189"/>
      <c r="D1439" s="185"/>
      <c r="E1439" s="229"/>
      <c r="F1439" s="230"/>
    </row>
    <row r="1440" spans="1:6" x14ac:dyDescent="0.2">
      <c r="A1440" s="275"/>
      <c r="B1440" s="78"/>
      <c r="C1440" s="189"/>
      <c r="D1440" s="185"/>
      <c r="E1440" s="229"/>
      <c r="F1440" s="230"/>
    </row>
    <row r="1441" spans="1:6" x14ac:dyDescent="0.2">
      <c r="A1441" s="275"/>
      <c r="B1441" s="78"/>
      <c r="C1441" s="189"/>
      <c r="D1441" s="185"/>
      <c r="E1441" s="229"/>
      <c r="F1441" s="230"/>
    </row>
    <row r="1442" spans="1:6" x14ac:dyDescent="0.2">
      <c r="A1442" s="275"/>
      <c r="B1442" s="78"/>
      <c r="C1442" s="189"/>
      <c r="D1442" s="185"/>
      <c r="E1442" s="229"/>
      <c r="F1442" s="230"/>
    </row>
    <row r="1443" spans="1:6" x14ac:dyDescent="0.2">
      <c r="A1443" s="275"/>
      <c r="B1443" s="78"/>
      <c r="C1443" s="189"/>
      <c r="D1443" s="185"/>
      <c r="E1443" s="229"/>
      <c r="F1443" s="230"/>
    </row>
    <row r="1444" spans="1:6" x14ac:dyDescent="0.2">
      <c r="A1444" s="275"/>
      <c r="B1444" s="78"/>
      <c r="C1444" s="189"/>
      <c r="D1444" s="185"/>
      <c r="E1444" s="229"/>
      <c r="F1444" s="230"/>
    </row>
    <row r="1445" spans="1:6" x14ac:dyDescent="0.2">
      <c r="A1445" s="275"/>
      <c r="B1445" s="78"/>
      <c r="C1445" s="189"/>
      <c r="D1445" s="185"/>
      <c r="E1445" s="229"/>
      <c r="F1445" s="230"/>
    </row>
    <row r="1446" spans="1:6" x14ac:dyDescent="0.2">
      <c r="A1446" s="275"/>
      <c r="B1446" s="78"/>
      <c r="C1446" s="189"/>
      <c r="D1446" s="185"/>
      <c r="E1446" s="229"/>
      <c r="F1446" s="230"/>
    </row>
    <row r="1447" spans="1:6" x14ac:dyDescent="0.2">
      <c r="A1447" s="275"/>
      <c r="B1447" s="78"/>
      <c r="C1447" s="189"/>
      <c r="D1447" s="185"/>
      <c r="E1447" s="229"/>
      <c r="F1447" s="230"/>
    </row>
    <row r="1448" spans="1:6" x14ac:dyDescent="0.2">
      <c r="A1448" s="275"/>
      <c r="B1448" s="78"/>
      <c r="C1448" s="189"/>
      <c r="D1448" s="185"/>
      <c r="E1448" s="229"/>
      <c r="F1448" s="230"/>
    </row>
    <row r="1449" spans="1:6" x14ac:dyDescent="0.2">
      <c r="A1449" s="275"/>
      <c r="B1449" s="78"/>
      <c r="C1449" s="189"/>
      <c r="D1449" s="185"/>
      <c r="E1449" s="229"/>
      <c r="F1449" s="230"/>
    </row>
    <row r="1450" spans="1:6" x14ac:dyDescent="0.2">
      <c r="A1450" s="275"/>
      <c r="B1450" s="78"/>
      <c r="C1450" s="189"/>
      <c r="D1450" s="185"/>
      <c r="E1450" s="229"/>
      <c r="F1450" s="230"/>
    </row>
    <row r="1451" spans="1:6" x14ac:dyDescent="0.2">
      <c r="A1451" s="275"/>
      <c r="B1451" s="78"/>
      <c r="C1451" s="189"/>
      <c r="D1451" s="185"/>
      <c r="E1451" s="229"/>
      <c r="F1451" s="230"/>
    </row>
    <row r="1452" spans="1:6" x14ac:dyDescent="0.2">
      <c r="A1452" s="275"/>
      <c r="B1452" s="78"/>
      <c r="C1452" s="189"/>
      <c r="D1452" s="185"/>
      <c r="E1452" s="229"/>
      <c r="F1452" s="230"/>
    </row>
    <row r="1453" spans="1:6" x14ac:dyDescent="0.2">
      <c r="A1453" s="275"/>
      <c r="B1453" s="78"/>
      <c r="C1453" s="189"/>
      <c r="D1453" s="185"/>
      <c r="E1453" s="229"/>
      <c r="F1453" s="230"/>
    </row>
    <row r="1454" spans="1:6" x14ac:dyDescent="0.2">
      <c r="A1454" s="275"/>
      <c r="B1454" s="78"/>
      <c r="C1454" s="189"/>
      <c r="D1454" s="185"/>
      <c r="E1454" s="229"/>
      <c r="F1454" s="230"/>
    </row>
    <row r="1455" spans="1:6" x14ac:dyDescent="0.2">
      <c r="A1455" s="275"/>
      <c r="B1455" s="78"/>
      <c r="C1455" s="189"/>
      <c r="D1455" s="185"/>
      <c r="E1455" s="229"/>
      <c r="F1455" s="230"/>
    </row>
    <row r="1456" spans="1:6" x14ac:dyDescent="0.2">
      <c r="A1456" s="275"/>
      <c r="B1456" s="78"/>
      <c r="C1456" s="189"/>
      <c r="D1456" s="185"/>
      <c r="E1456" s="229"/>
      <c r="F1456" s="230"/>
    </row>
    <row r="1457" spans="1:6" x14ac:dyDescent="0.2">
      <c r="A1457" s="275"/>
      <c r="B1457" s="78"/>
      <c r="C1457" s="189"/>
      <c r="D1457" s="185"/>
      <c r="E1457" s="229"/>
      <c r="F1457" s="230"/>
    </row>
    <row r="1458" spans="1:6" x14ac:dyDescent="0.2">
      <c r="A1458" s="275"/>
      <c r="B1458" s="78"/>
      <c r="C1458" s="189"/>
      <c r="D1458" s="185"/>
      <c r="E1458" s="229"/>
      <c r="F1458" s="230"/>
    </row>
    <row r="1459" spans="1:6" x14ac:dyDescent="0.2">
      <c r="A1459" s="275"/>
      <c r="B1459" s="78"/>
      <c r="C1459" s="189"/>
      <c r="D1459" s="185"/>
      <c r="E1459" s="229"/>
      <c r="F1459" s="230"/>
    </row>
    <row r="1460" spans="1:6" x14ac:dyDescent="0.2">
      <c r="A1460" s="275"/>
      <c r="B1460" s="78"/>
      <c r="C1460" s="189"/>
      <c r="D1460" s="185"/>
      <c r="E1460" s="229"/>
      <c r="F1460" s="230"/>
    </row>
    <row r="1461" spans="1:6" x14ac:dyDescent="0.2">
      <c r="A1461" s="275"/>
      <c r="B1461" s="78"/>
      <c r="C1461" s="189"/>
      <c r="D1461" s="185"/>
      <c r="E1461" s="229"/>
      <c r="F1461" s="230"/>
    </row>
    <row r="1462" spans="1:6" x14ac:dyDescent="0.2">
      <c r="A1462" s="275"/>
      <c r="B1462" s="78"/>
      <c r="C1462" s="189"/>
      <c r="D1462" s="185"/>
      <c r="E1462" s="229"/>
      <c r="F1462" s="230"/>
    </row>
    <row r="1463" spans="1:6" x14ac:dyDescent="0.2">
      <c r="A1463" s="275"/>
      <c r="B1463" s="78"/>
      <c r="C1463" s="189"/>
      <c r="D1463" s="185"/>
      <c r="E1463" s="229"/>
      <c r="F1463" s="230"/>
    </row>
    <row r="1464" spans="1:6" x14ac:dyDescent="0.2">
      <c r="A1464" s="275"/>
      <c r="B1464" s="78"/>
      <c r="C1464" s="189"/>
      <c r="D1464" s="185"/>
      <c r="E1464" s="229"/>
      <c r="F1464" s="230"/>
    </row>
    <row r="1465" spans="1:6" x14ac:dyDescent="0.2">
      <c r="A1465" s="275"/>
      <c r="B1465" s="78"/>
      <c r="C1465" s="189"/>
      <c r="D1465" s="185"/>
      <c r="E1465" s="229"/>
      <c r="F1465" s="230"/>
    </row>
    <row r="1466" spans="1:6" x14ac:dyDescent="0.2">
      <c r="A1466" s="275"/>
      <c r="B1466" s="78"/>
      <c r="C1466" s="189"/>
      <c r="D1466" s="185"/>
      <c r="E1466" s="229"/>
      <c r="F1466" s="230"/>
    </row>
    <row r="1467" spans="1:6" x14ac:dyDescent="0.2">
      <c r="A1467" s="275"/>
      <c r="B1467" s="78"/>
      <c r="C1467" s="189"/>
      <c r="D1467" s="185"/>
      <c r="E1467" s="229"/>
      <c r="F1467" s="230"/>
    </row>
    <row r="1468" spans="1:6" x14ac:dyDescent="0.2">
      <c r="A1468" s="275"/>
      <c r="B1468" s="78"/>
      <c r="C1468" s="189"/>
      <c r="D1468" s="185"/>
      <c r="E1468" s="229"/>
      <c r="F1468" s="230"/>
    </row>
    <row r="1469" spans="1:6" x14ac:dyDescent="0.2">
      <c r="A1469" s="275"/>
      <c r="B1469" s="78"/>
      <c r="C1469" s="189"/>
      <c r="D1469" s="185"/>
      <c r="E1469" s="229"/>
      <c r="F1469" s="230"/>
    </row>
    <row r="1470" spans="1:6" x14ac:dyDescent="0.2">
      <c r="A1470" s="275"/>
      <c r="B1470" s="78"/>
      <c r="C1470" s="189"/>
      <c r="D1470" s="185"/>
      <c r="E1470" s="229"/>
      <c r="F1470" s="230"/>
    </row>
    <row r="1471" spans="1:6" x14ac:dyDescent="0.2">
      <c r="A1471" s="275"/>
      <c r="B1471" s="78"/>
      <c r="C1471" s="189"/>
      <c r="D1471" s="185"/>
      <c r="E1471" s="229"/>
      <c r="F1471" s="230"/>
    </row>
    <row r="1472" spans="1:6" x14ac:dyDescent="0.2">
      <c r="A1472" s="275"/>
      <c r="B1472" s="78"/>
      <c r="C1472" s="189"/>
      <c r="D1472" s="185"/>
      <c r="E1472" s="229"/>
      <c r="F1472" s="230"/>
    </row>
    <row r="1473" spans="1:6" x14ac:dyDescent="0.2">
      <c r="A1473" s="275"/>
      <c r="B1473" s="78"/>
      <c r="C1473" s="189"/>
      <c r="D1473" s="185"/>
      <c r="E1473" s="229"/>
      <c r="F1473" s="230"/>
    </row>
    <row r="1474" spans="1:6" x14ac:dyDescent="0.2">
      <c r="A1474" s="275"/>
      <c r="B1474" s="78"/>
      <c r="C1474" s="189"/>
      <c r="D1474" s="185"/>
      <c r="E1474" s="229"/>
      <c r="F1474" s="230"/>
    </row>
    <row r="1475" spans="1:6" x14ac:dyDescent="0.2">
      <c r="A1475" s="275"/>
      <c r="B1475" s="78"/>
      <c r="C1475" s="189"/>
      <c r="D1475" s="185"/>
      <c r="E1475" s="229"/>
      <c r="F1475" s="230"/>
    </row>
    <row r="1476" spans="1:6" x14ac:dyDescent="0.2">
      <c r="A1476" s="275"/>
      <c r="B1476" s="78"/>
      <c r="C1476" s="189"/>
      <c r="D1476" s="185"/>
      <c r="E1476" s="229"/>
      <c r="F1476" s="230"/>
    </row>
    <row r="1477" spans="1:6" x14ac:dyDescent="0.2">
      <c r="A1477" s="275"/>
      <c r="B1477" s="78"/>
      <c r="C1477" s="189"/>
      <c r="D1477" s="185"/>
      <c r="E1477" s="229"/>
      <c r="F1477" s="230"/>
    </row>
    <row r="1478" spans="1:6" x14ac:dyDescent="0.2">
      <c r="A1478" s="275"/>
      <c r="B1478" s="78"/>
      <c r="C1478" s="189"/>
      <c r="D1478" s="185"/>
      <c r="E1478" s="229"/>
      <c r="F1478" s="230"/>
    </row>
    <row r="1479" spans="1:6" x14ac:dyDescent="0.2">
      <c r="A1479" s="275"/>
      <c r="B1479" s="78"/>
      <c r="C1479" s="189"/>
      <c r="D1479" s="185"/>
      <c r="E1479" s="229"/>
      <c r="F1479" s="230"/>
    </row>
    <row r="1480" spans="1:6" x14ac:dyDescent="0.2">
      <c r="A1480" s="275"/>
      <c r="B1480" s="78"/>
      <c r="C1480" s="189"/>
      <c r="D1480" s="185"/>
      <c r="E1480" s="229"/>
      <c r="F1480" s="230"/>
    </row>
    <row r="1481" spans="1:6" x14ac:dyDescent="0.2">
      <c r="A1481" s="275"/>
      <c r="B1481" s="78"/>
      <c r="C1481" s="189"/>
      <c r="D1481" s="185"/>
      <c r="E1481" s="229"/>
      <c r="F1481" s="230"/>
    </row>
    <row r="1482" spans="1:6" x14ac:dyDescent="0.2">
      <c r="A1482" s="275"/>
      <c r="B1482" s="78"/>
      <c r="C1482" s="189"/>
      <c r="D1482" s="185"/>
      <c r="E1482" s="229"/>
      <c r="F1482" s="230"/>
    </row>
    <row r="1483" spans="1:6" x14ac:dyDescent="0.2">
      <c r="A1483" s="275"/>
      <c r="B1483" s="78"/>
      <c r="C1483" s="189"/>
      <c r="D1483" s="185"/>
      <c r="E1483" s="229"/>
      <c r="F1483" s="230"/>
    </row>
    <row r="1484" spans="1:6" x14ac:dyDescent="0.2">
      <c r="A1484" s="275"/>
      <c r="B1484" s="78"/>
      <c r="C1484" s="189"/>
      <c r="D1484" s="185"/>
      <c r="E1484" s="229"/>
      <c r="F1484" s="230"/>
    </row>
    <row r="1485" spans="1:6" x14ac:dyDescent="0.2">
      <c r="A1485" s="275"/>
      <c r="B1485" s="78"/>
      <c r="C1485" s="189"/>
      <c r="D1485" s="185"/>
      <c r="E1485" s="229"/>
      <c r="F1485" s="230"/>
    </row>
    <row r="1486" spans="1:6" x14ac:dyDescent="0.2">
      <c r="A1486" s="275"/>
      <c r="B1486" s="78"/>
      <c r="C1486" s="189"/>
      <c r="D1486" s="185"/>
      <c r="E1486" s="229"/>
      <c r="F1486" s="230"/>
    </row>
    <row r="1487" spans="1:6" x14ac:dyDescent="0.2">
      <c r="A1487" s="275"/>
      <c r="B1487" s="78"/>
      <c r="C1487" s="189"/>
      <c r="D1487" s="185"/>
      <c r="E1487" s="229"/>
      <c r="F1487" s="230"/>
    </row>
    <row r="1488" spans="1:6" x14ac:dyDescent="0.2">
      <c r="A1488" s="275"/>
      <c r="B1488" s="78"/>
      <c r="C1488" s="189"/>
      <c r="D1488" s="185"/>
      <c r="E1488" s="229"/>
      <c r="F1488" s="230"/>
    </row>
    <row r="1489" spans="1:6" x14ac:dyDescent="0.2">
      <c r="A1489" s="275"/>
      <c r="B1489" s="78"/>
      <c r="C1489" s="189"/>
      <c r="D1489" s="185"/>
      <c r="E1489" s="229"/>
      <c r="F1489" s="230"/>
    </row>
    <row r="1490" spans="1:6" x14ac:dyDescent="0.2">
      <c r="A1490" s="275"/>
      <c r="B1490" s="78"/>
      <c r="C1490" s="189"/>
      <c r="D1490" s="185"/>
      <c r="E1490" s="229"/>
      <c r="F1490" s="230"/>
    </row>
    <row r="1491" spans="1:6" x14ac:dyDescent="0.2">
      <c r="A1491" s="275"/>
      <c r="B1491" s="78"/>
      <c r="C1491" s="189"/>
      <c r="D1491" s="185"/>
      <c r="E1491" s="229"/>
      <c r="F1491" s="230"/>
    </row>
    <row r="1492" spans="1:6" x14ac:dyDescent="0.2">
      <c r="A1492" s="275"/>
      <c r="B1492" s="78"/>
      <c r="C1492" s="189"/>
      <c r="D1492" s="185"/>
      <c r="E1492" s="229"/>
      <c r="F1492" s="230"/>
    </row>
    <row r="1493" spans="1:6" x14ac:dyDescent="0.2">
      <c r="A1493" s="275"/>
      <c r="B1493" s="78"/>
      <c r="C1493" s="189"/>
      <c r="D1493" s="185"/>
      <c r="E1493" s="229"/>
      <c r="F1493" s="230"/>
    </row>
    <row r="1494" spans="1:6" x14ac:dyDescent="0.2">
      <c r="A1494" s="275"/>
      <c r="B1494" s="78"/>
      <c r="C1494" s="189"/>
      <c r="D1494" s="185"/>
      <c r="E1494" s="229"/>
      <c r="F1494" s="230"/>
    </row>
    <row r="1495" spans="1:6" x14ac:dyDescent="0.2">
      <c r="A1495" s="275"/>
      <c r="B1495" s="78"/>
      <c r="C1495" s="189"/>
      <c r="D1495" s="185"/>
      <c r="E1495" s="229"/>
      <c r="F1495" s="230"/>
    </row>
    <row r="1496" spans="1:6" x14ac:dyDescent="0.2">
      <c r="A1496" s="275"/>
      <c r="B1496" s="78"/>
      <c r="C1496" s="189"/>
      <c r="D1496" s="185"/>
      <c r="E1496" s="229"/>
      <c r="F1496" s="230"/>
    </row>
    <row r="1497" spans="1:6" x14ac:dyDescent="0.2">
      <c r="A1497" s="275"/>
      <c r="B1497" s="78"/>
      <c r="C1497" s="189"/>
      <c r="D1497" s="185"/>
      <c r="E1497" s="229"/>
      <c r="F1497" s="230"/>
    </row>
    <row r="1498" spans="1:6" x14ac:dyDescent="0.2">
      <c r="A1498" s="275"/>
      <c r="B1498" s="78"/>
      <c r="C1498" s="189"/>
      <c r="D1498" s="185"/>
      <c r="E1498" s="229"/>
      <c r="F1498" s="230"/>
    </row>
    <row r="1499" spans="1:6" x14ac:dyDescent="0.2">
      <c r="A1499" s="275"/>
      <c r="B1499" s="78"/>
      <c r="C1499" s="189"/>
      <c r="D1499" s="185"/>
      <c r="E1499" s="229"/>
      <c r="F1499" s="230"/>
    </row>
    <row r="1500" spans="1:6" x14ac:dyDescent="0.2">
      <c r="A1500" s="275"/>
      <c r="B1500" s="78"/>
      <c r="C1500" s="189"/>
      <c r="D1500" s="185"/>
      <c r="E1500" s="229"/>
      <c r="F1500" s="230"/>
    </row>
    <row r="1501" spans="1:6" x14ac:dyDescent="0.2">
      <c r="A1501" s="275"/>
      <c r="B1501" s="78"/>
      <c r="C1501" s="189"/>
      <c r="D1501" s="185"/>
      <c r="E1501" s="229"/>
      <c r="F1501" s="230"/>
    </row>
    <row r="1502" spans="1:6" x14ac:dyDescent="0.2">
      <c r="A1502" s="275"/>
      <c r="B1502" s="78"/>
      <c r="C1502" s="189"/>
      <c r="D1502" s="185"/>
      <c r="E1502" s="229"/>
      <c r="F1502" s="230"/>
    </row>
    <row r="1503" spans="1:6" x14ac:dyDescent="0.2">
      <c r="A1503" s="275"/>
      <c r="B1503" s="78"/>
      <c r="C1503" s="189"/>
      <c r="D1503" s="185"/>
      <c r="E1503" s="229"/>
      <c r="F1503" s="230"/>
    </row>
    <row r="1504" spans="1:6" x14ac:dyDescent="0.2">
      <c r="A1504" s="275"/>
      <c r="B1504" s="78"/>
      <c r="C1504" s="189"/>
      <c r="D1504" s="185"/>
      <c r="E1504" s="229"/>
      <c r="F1504" s="230"/>
    </row>
    <row r="1505" spans="1:6" x14ac:dyDescent="0.2">
      <c r="A1505" s="275"/>
      <c r="B1505" s="78"/>
      <c r="C1505" s="189"/>
      <c r="D1505" s="185"/>
      <c r="E1505" s="229"/>
      <c r="F1505" s="230"/>
    </row>
    <row r="1506" spans="1:6" x14ac:dyDescent="0.2">
      <c r="A1506" s="275"/>
      <c r="B1506" s="78"/>
      <c r="C1506" s="189"/>
      <c r="D1506" s="185"/>
      <c r="E1506" s="229"/>
      <c r="F1506" s="230"/>
    </row>
    <row r="1507" spans="1:6" x14ac:dyDescent="0.2">
      <c r="A1507" s="275"/>
      <c r="B1507" s="78"/>
      <c r="C1507" s="189"/>
      <c r="D1507" s="185"/>
      <c r="E1507" s="229"/>
      <c r="F1507" s="230"/>
    </row>
    <row r="1508" spans="1:6" x14ac:dyDescent="0.2">
      <c r="A1508" s="275"/>
      <c r="B1508" s="78"/>
      <c r="C1508" s="189"/>
      <c r="D1508" s="185"/>
      <c r="E1508" s="229"/>
      <c r="F1508" s="230"/>
    </row>
    <row r="1509" spans="1:6" x14ac:dyDescent="0.2">
      <c r="A1509" s="275"/>
      <c r="B1509" s="78"/>
      <c r="C1509" s="189"/>
      <c r="D1509" s="185"/>
      <c r="E1509" s="229"/>
      <c r="F1509" s="230"/>
    </row>
    <row r="1510" spans="1:6" x14ac:dyDescent="0.2">
      <c r="A1510" s="275"/>
      <c r="B1510" s="78"/>
      <c r="C1510" s="189"/>
      <c r="D1510" s="185"/>
      <c r="E1510" s="229"/>
      <c r="F1510" s="230"/>
    </row>
    <row r="1511" spans="1:6" x14ac:dyDescent="0.2">
      <c r="A1511" s="275"/>
      <c r="B1511" s="78"/>
      <c r="C1511" s="189"/>
      <c r="D1511" s="185"/>
      <c r="E1511" s="229"/>
      <c r="F1511" s="230"/>
    </row>
    <row r="1512" spans="1:6" x14ac:dyDescent="0.2">
      <c r="A1512" s="275"/>
      <c r="B1512" s="78"/>
      <c r="C1512" s="189"/>
      <c r="D1512" s="185"/>
      <c r="E1512" s="229"/>
      <c r="F1512" s="230"/>
    </row>
    <row r="1513" spans="1:6" x14ac:dyDescent="0.2">
      <c r="A1513" s="275"/>
      <c r="B1513" s="78"/>
      <c r="C1513" s="189"/>
      <c r="D1513" s="185"/>
      <c r="E1513" s="229"/>
      <c r="F1513" s="230"/>
    </row>
    <row r="1514" spans="1:6" x14ac:dyDescent="0.2">
      <c r="A1514" s="275"/>
      <c r="B1514" s="78"/>
      <c r="C1514" s="189"/>
      <c r="D1514" s="185"/>
      <c r="E1514" s="229"/>
      <c r="F1514" s="230"/>
    </row>
    <row r="1515" spans="1:6" x14ac:dyDescent="0.2">
      <c r="A1515" s="275"/>
      <c r="B1515" s="78"/>
      <c r="C1515" s="189"/>
      <c r="D1515" s="185"/>
      <c r="E1515" s="229"/>
      <c r="F1515" s="230"/>
    </row>
    <row r="1516" spans="1:6" x14ac:dyDescent="0.2">
      <c r="A1516" s="275"/>
      <c r="B1516" s="78"/>
      <c r="C1516" s="189"/>
      <c r="D1516" s="185"/>
      <c r="E1516" s="229"/>
      <c r="F1516" s="230"/>
    </row>
    <row r="1517" spans="1:6" x14ac:dyDescent="0.2">
      <c r="A1517" s="275"/>
      <c r="B1517" s="78"/>
      <c r="C1517" s="189"/>
      <c r="D1517" s="185"/>
      <c r="E1517" s="229"/>
      <c r="F1517" s="230"/>
    </row>
    <row r="1518" spans="1:6" x14ac:dyDescent="0.2">
      <c r="A1518" s="275"/>
      <c r="B1518" s="78"/>
      <c r="C1518" s="189"/>
      <c r="D1518" s="185"/>
      <c r="E1518" s="229"/>
      <c r="F1518" s="230"/>
    </row>
    <row r="1519" spans="1:6" x14ac:dyDescent="0.2">
      <c r="A1519" s="275"/>
      <c r="B1519" s="78"/>
      <c r="C1519" s="189"/>
      <c r="D1519" s="185"/>
      <c r="E1519" s="229"/>
      <c r="F1519" s="230"/>
    </row>
    <row r="1520" spans="1:6" x14ac:dyDescent="0.2">
      <c r="A1520" s="275"/>
      <c r="B1520" s="78"/>
      <c r="C1520" s="189"/>
      <c r="D1520" s="185"/>
      <c r="E1520" s="229"/>
      <c r="F1520" s="230"/>
    </row>
    <row r="1521" spans="1:6" x14ac:dyDescent="0.2">
      <c r="A1521" s="275"/>
      <c r="B1521" s="78"/>
      <c r="C1521" s="189"/>
      <c r="D1521" s="185"/>
      <c r="E1521" s="229"/>
      <c r="F1521" s="230"/>
    </row>
    <row r="1522" spans="1:6" x14ac:dyDescent="0.2">
      <c r="A1522" s="275"/>
      <c r="B1522" s="78"/>
      <c r="C1522" s="189"/>
      <c r="D1522" s="185"/>
      <c r="E1522" s="229"/>
      <c r="F1522" s="230"/>
    </row>
    <row r="1523" spans="1:6" x14ac:dyDescent="0.2">
      <c r="A1523" s="275"/>
      <c r="B1523" s="78"/>
      <c r="C1523" s="189"/>
      <c r="D1523" s="185"/>
      <c r="E1523" s="229"/>
      <c r="F1523" s="230"/>
    </row>
    <row r="1524" spans="1:6" x14ac:dyDescent="0.2">
      <c r="A1524" s="275"/>
      <c r="B1524" s="78"/>
      <c r="C1524" s="189"/>
      <c r="D1524" s="185"/>
      <c r="E1524" s="229"/>
      <c r="F1524" s="230"/>
    </row>
    <row r="1525" spans="1:6" x14ac:dyDescent="0.2">
      <c r="A1525" s="275"/>
      <c r="B1525" s="78"/>
      <c r="C1525" s="189"/>
      <c r="D1525" s="185"/>
      <c r="E1525" s="229"/>
      <c r="F1525" s="230"/>
    </row>
    <row r="1526" spans="1:6" x14ac:dyDescent="0.2">
      <c r="A1526" s="275"/>
      <c r="B1526" s="78"/>
      <c r="C1526" s="189"/>
      <c r="D1526" s="185"/>
      <c r="E1526" s="229"/>
      <c r="F1526" s="230"/>
    </row>
    <row r="1527" spans="1:6" x14ac:dyDescent="0.2">
      <c r="A1527" s="275"/>
      <c r="B1527" s="78"/>
      <c r="C1527" s="189"/>
      <c r="D1527" s="185"/>
      <c r="E1527" s="229"/>
      <c r="F1527" s="230"/>
    </row>
    <row r="1528" spans="1:6" x14ac:dyDescent="0.2">
      <c r="A1528" s="275"/>
      <c r="B1528" s="78"/>
      <c r="C1528" s="189"/>
      <c r="D1528" s="185"/>
      <c r="E1528" s="229"/>
      <c r="F1528" s="230"/>
    </row>
    <row r="1529" spans="1:6" x14ac:dyDescent="0.2">
      <c r="A1529" s="275"/>
      <c r="B1529" s="78"/>
      <c r="C1529" s="189"/>
      <c r="D1529" s="185"/>
      <c r="E1529" s="229"/>
      <c r="F1529" s="230"/>
    </row>
    <row r="1530" spans="1:6" x14ac:dyDescent="0.2">
      <c r="A1530" s="275"/>
      <c r="B1530" s="78"/>
      <c r="C1530" s="189"/>
      <c r="D1530" s="185"/>
      <c r="E1530" s="229"/>
      <c r="F1530" s="230"/>
    </row>
    <row r="1531" spans="1:6" x14ac:dyDescent="0.2">
      <c r="A1531" s="275"/>
      <c r="B1531" s="78"/>
      <c r="C1531" s="189"/>
      <c r="D1531" s="185"/>
      <c r="E1531" s="229"/>
      <c r="F1531" s="230"/>
    </row>
    <row r="1532" spans="1:6" x14ac:dyDescent="0.2">
      <c r="A1532" s="275"/>
      <c r="B1532" s="78"/>
      <c r="C1532" s="189"/>
      <c r="D1532" s="185"/>
      <c r="E1532" s="229"/>
      <c r="F1532" s="230"/>
    </row>
    <row r="1533" spans="1:6" x14ac:dyDescent="0.2">
      <c r="A1533" s="275"/>
      <c r="B1533" s="78"/>
      <c r="C1533" s="189"/>
      <c r="D1533" s="185"/>
      <c r="E1533" s="229"/>
      <c r="F1533" s="230"/>
    </row>
    <row r="1534" spans="1:6" x14ac:dyDescent="0.2">
      <c r="A1534" s="275"/>
      <c r="B1534" s="78"/>
      <c r="C1534" s="189"/>
      <c r="D1534" s="185"/>
      <c r="E1534" s="229"/>
      <c r="F1534" s="230"/>
    </row>
    <row r="1535" spans="1:6" x14ac:dyDescent="0.2">
      <c r="A1535" s="275"/>
      <c r="B1535" s="78"/>
      <c r="C1535" s="189"/>
      <c r="D1535" s="185"/>
      <c r="E1535" s="229"/>
      <c r="F1535" s="230"/>
    </row>
    <row r="1536" spans="1:6" x14ac:dyDescent="0.2">
      <c r="A1536" s="275"/>
      <c r="B1536" s="78"/>
      <c r="C1536" s="189"/>
      <c r="D1536" s="185"/>
      <c r="E1536" s="229"/>
      <c r="F1536" s="230"/>
    </row>
    <row r="1537" spans="1:6" x14ac:dyDescent="0.2">
      <c r="A1537" s="275"/>
      <c r="B1537" s="78"/>
      <c r="C1537" s="189"/>
      <c r="D1537" s="185"/>
      <c r="E1537" s="229"/>
      <c r="F1537" s="230"/>
    </row>
    <row r="1538" spans="1:6" x14ac:dyDescent="0.2">
      <c r="A1538" s="275"/>
      <c r="B1538" s="78"/>
      <c r="C1538" s="189"/>
      <c r="D1538" s="185"/>
      <c r="E1538" s="229"/>
      <c r="F1538" s="230"/>
    </row>
    <row r="1539" spans="1:6" x14ac:dyDescent="0.2">
      <c r="A1539" s="275"/>
      <c r="B1539" s="78"/>
      <c r="C1539" s="189"/>
      <c r="D1539" s="185"/>
      <c r="E1539" s="229"/>
      <c r="F1539" s="230"/>
    </row>
    <row r="1540" spans="1:6" x14ac:dyDescent="0.2">
      <c r="A1540" s="275"/>
      <c r="B1540" s="78"/>
      <c r="C1540" s="189"/>
      <c r="D1540" s="185"/>
      <c r="E1540" s="229"/>
      <c r="F1540" s="230"/>
    </row>
    <row r="1541" spans="1:6" x14ac:dyDescent="0.2">
      <c r="A1541" s="275"/>
      <c r="B1541" s="78"/>
      <c r="C1541" s="189"/>
      <c r="D1541" s="185"/>
      <c r="E1541" s="229"/>
      <c r="F1541" s="230"/>
    </row>
    <row r="1542" spans="1:6" x14ac:dyDescent="0.2">
      <c r="A1542" s="275"/>
      <c r="B1542" s="78"/>
      <c r="C1542" s="189"/>
      <c r="D1542" s="185"/>
      <c r="E1542" s="229"/>
      <c r="F1542" s="230"/>
    </row>
    <row r="1543" spans="1:6" x14ac:dyDescent="0.2">
      <c r="A1543" s="275"/>
      <c r="B1543" s="78"/>
      <c r="C1543" s="189"/>
      <c r="D1543" s="185"/>
      <c r="E1543" s="229"/>
      <c r="F1543" s="230"/>
    </row>
    <row r="1544" spans="1:6" x14ac:dyDescent="0.2">
      <c r="A1544" s="275"/>
      <c r="B1544" s="78"/>
      <c r="C1544" s="189"/>
      <c r="D1544" s="185"/>
      <c r="E1544" s="229"/>
      <c r="F1544" s="230"/>
    </row>
    <row r="1545" spans="1:6" x14ac:dyDescent="0.2">
      <c r="A1545" s="275"/>
      <c r="B1545" s="78"/>
      <c r="C1545" s="189"/>
      <c r="D1545" s="185"/>
      <c r="E1545" s="229"/>
      <c r="F1545" s="230"/>
    </row>
    <row r="1546" spans="1:6" x14ac:dyDescent="0.2">
      <c r="A1546" s="275"/>
      <c r="B1546" s="78"/>
      <c r="C1546" s="189"/>
      <c r="D1546" s="185"/>
      <c r="E1546" s="229"/>
      <c r="F1546" s="230"/>
    </row>
    <row r="1547" spans="1:6" x14ac:dyDescent="0.2">
      <c r="A1547" s="275"/>
      <c r="B1547" s="78"/>
      <c r="C1547" s="189"/>
      <c r="D1547" s="185"/>
      <c r="E1547" s="229"/>
      <c r="F1547" s="230"/>
    </row>
    <row r="1548" spans="1:6" x14ac:dyDescent="0.2">
      <c r="A1548" s="275"/>
      <c r="B1548" s="78"/>
      <c r="C1548" s="189"/>
      <c r="D1548" s="185"/>
      <c r="E1548" s="229"/>
      <c r="F1548" s="230"/>
    </row>
    <row r="1549" spans="1:6" x14ac:dyDescent="0.2">
      <c r="A1549" s="275"/>
      <c r="B1549" s="78"/>
      <c r="C1549" s="189"/>
      <c r="D1549" s="185"/>
      <c r="E1549" s="229"/>
      <c r="F1549" s="230"/>
    </row>
    <row r="1550" spans="1:6" x14ac:dyDescent="0.2">
      <c r="A1550" s="275"/>
      <c r="B1550" s="78"/>
      <c r="C1550" s="189"/>
      <c r="D1550" s="185"/>
      <c r="E1550" s="229"/>
      <c r="F1550" s="230"/>
    </row>
    <row r="1551" spans="1:6" x14ac:dyDescent="0.2">
      <c r="A1551" s="275"/>
      <c r="B1551" s="78"/>
      <c r="C1551" s="189"/>
      <c r="D1551" s="185"/>
      <c r="E1551" s="229"/>
      <c r="F1551" s="230"/>
    </row>
    <row r="1552" spans="1:6" x14ac:dyDescent="0.2">
      <c r="A1552" s="275"/>
      <c r="B1552" s="78"/>
      <c r="C1552" s="189"/>
      <c r="D1552" s="185"/>
      <c r="E1552" s="229"/>
      <c r="F1552" s="230"/>
    </row>
    <row r="1553" spans="1:6" x14ac:dyDescent="0.2">
      <c r="A1553" s="275"/>
      <c r="B1553" s="78"/>
      <c r="C1553" s="189"/>
      <c r="D1553" s="185"/>
      <c r="E1553" s="229"/>
      <c r="F1553" s="230"/>
    </row>
    <row r="1554" spans="1:6" x14ac:dyDescent="0.2">
      <c r="A1554" s="275"/>
      <c r="B1554" s="78"/>
      <c r="C1554" s="189"/>
      <c r="D1554" s="185"/>
      <c r="E1554" s="229"/>
      <c r="F1554" s="230"/>
    </row>
    <row r="1555" spans="1:6" x14ac:dyDescent="0.2">
      <c r="A1555" s="275"/>
      <c r="B1555" s="78"/>
      <c r="C1555" s="189"/>
      <c r="D1555" s="185"/>
      <c r="E1555" s="229"/>
      <c r="F1555" s="230"/>
    </row>
    <row r="1556" spans="1:6" x14ac:dyDescent="0.2">
      <c r="A1556" s="275"/>
      <c r="B1556" s="78"/>
      <c r="C1556" s="189"/>
      <c r="D1556" s="185"/>
      <c r="E1556" s="229"/>
      <c r="F1556" s="230"/>
    </row>
    <row r="1557" spans="1:6" x14ac:dyDescent="0.2">
      <c r="A1557" s="275"/>
      <c r="B1557" s="78"/>
      <c r="C1557" s="189"/>
      <c r="D1557" s="185"/>
      <c r="E1557" s="229"/>
      <c r="F1557" s="230"/>
    </row>
    <row r="1558" spans="1:6" x14ac:dyDescent="0.2">
      <c r="A1558" s="275"/>
      <c r="B1558" s="78"/>
      <c r="C1558" s="189"/>
      <c r="D1558" s="185"/>
      <c r="E1558" s="229"/>
      <c r="F1558" s="230"/>
    </row>
    <row r="1559" spans="1:6" x14ac:dyDescent="0.2">
      <c r="A1559" s="275"/>
      <c r="B1559" s="78"/>
      <c r="C1559" s="189"/>
      <c r="D1559" s="185"/>
      <c r="E1559" s="229"/>
      <c r="F1559" s="230"/>
    </row>
    <row r="1560" spans="1:6" x14ac:dyDescent="0.2">
      <c r="A1560" s="275"/>
      <c r="B1560" s="78"/>
      <c r="C1560" s="189"/>
      <c r="D1560" s="185"/>
      <c r="E1560" s="229"/>
      <c r="F1560" s="230"/>
    </row>
    <row r="1561" spans="1:6" x14ac:dyDescent="0.2">
      <c r="A1561" s="275"/>
      <c r="B1561" s="78"/>
      <c r="C1561" s="189"/>
      <c r="D1561" s="185"/>
      <c r="E1561" s="229"/>
      <c r="F1561" s="230"/>
    </row>
    <row r="1562" spans="1:6" x14ac:dyDescent="0.2">
      <c r="A1562" s="275"/>
      <c r="B1562" s="78"/>
      <c r="C1562" s="189"/>
      <c r="D1562" s="185"/>
      <c r="E1562" s="229"/>
      <c r="F1562" s="230"/>
    </row>
    <row r="1563" spans="1:6" x14ac:dyDescent="0.2">
      <c r="A1563" s="275"/>
      <c r="B1563" s="78"/>
      <c r="C1563" s="189"/>
      <c r="D1563" s="185"/>
      <c r="E1563" s="229"/>
      <c r="F1563" s="230"/>
    </row>
    <row r="1564" spans="1:6" x14ac:dyDescent="0.2">
      <c r="A1564" s="275"/>
      <c r="B1564" s="78"/>
      <c r="C1564" s="189"/>
      <c r="D1564" s="185"/>
      <c r="E1564" s="229"/>
      <c r="F1564" s="230"/>
    </row>
    <row r="1565" spans="1:6" x14ac:dyDescent="0.2">
      <c r="A1565" s="275"/>
      <c r="B1565" s="78"/>
      <c r="C1565" s="189"/>
      <c r="D1565" s="185"/>
      <c r="E1565" s="229"/>
      <c r="F1565" s="230"/>
    </row>
    <row r="1566" spans="1:6" x14ac:dyDescent="0.2">
      <c r="A1566" s="275"/>
      <c r="B1566" s="78"/>
      <c r="C1566" s="189"/>
      <c r="D1566" s="185"/>
      <c r="E1566" s="229"/>
      <c r="F1566" s="230"/>
    </row>
    <row r="1567" spans="1:6" x14ac:dyDescent="0.2">
      <c r="A1567" s="275"/>
      <c r="B1567" s="78"/>
      <c r="C1567" s="189"/>
      <c r="D1567" s="185"/>
      <c r="E1567" s="229"/>
      <c r="F1567" s="230"/>
    </row>
    <row r="1568" spans="1:6" x14ac:dyDescent="0.2">
      <c r="A1568" s="275"/>
      <c r="B1568" s="78"/>
      <c r="C1568" s="189"/>
      <c r="D1568" s="185"/>
      <c r="E1568" s="229"/>
      <c r="F1568" s="230"/>
    </row>
    <row r="1569" spans="1:6" x14ac:dyDescent="0.2">
      <c r="A1569" s="275"/>
      <c r="B1569" s="78"/>
      <c r="C1569" s="189"/>
      <c r="D1569" s="185"/>
      <c r="E1569" s="229"/>
      <c r="F1569" s="230"/>
    </row>
    <row r="1570" spans="1:6" x14ac:dyDescent="0.2">
      <c r="A1570" s="275"/>
      <c r="B1570" s="78"/>
      <c r="C1570" s="189"/>
      <c r="D1570" s="185"/>
      <c r="E1570" s="229"/>
      <c r="F1570" s="230"/>
    </row>
    <row r="1571" spans="1:6" x14ac:dyDescent="0.2">
      <c r="A1571" s="275"/>
      <c r="B1571" s="78"/>
      <c r="C1571" s="189"/>
      <c r="D1571" s="185"/>
      <c r="E1571" s="229"/>
      <c r="F1571" s="230"/>
    </row>
    <row r="1572" spans="1:6" x14ac:dyDescent="0.2">
      <c r="A1572" s="275"/>
      <c r="B1572" s="78"/>
      <c r="C1572" s="189"/>
      <c r="D1572" s="185"/>
      <c r="E1572" s="229"/>
      <c r="F1572" s="230"/>
    </row>
    <row r="1573" spans="1:6" x14ac:dyDescent="0.2">
      <c r="A1573" s="275"/>
      <c r="B1573" s="78"/>
      <c r="C1573" s="189"/>
      <c r="D1573" s="185"/>
      <c r="E1573" s="229"/>
      <c r="F1573" s="230"/>
    </row>
    <row r="1574" spans="1:6" x14ac:dyDescent="0.2">
      <c r="A1574" s="275"/>
      <c r="B1574" s="78"/>
      <c r="C1574" s="189"/>
      <c r="D1574" s="185"/>
      <c r="E1574" s="229"/>
      <c r="F1574" s="230"/>
    </row>
    <row r="1575" spans="1:6" x14ac:dyDescent="0.2">
      <c r="A1575" s="275"/>
      <c r="B1575" s="78"/>
      <c r="C1575" s="189"/>
      <c r="D1575" s="185"/>
      <c r="E1575" s="229"/>
      <c r="F1575" s="230"/>
    </row>
    <row r="1576" spans="1:6" x14ac:dyDescent="0.2">
      <c r="A1576" s="275"/>
      <c r="B1576" s="78"/>
      <c r="C1576" s="189"/>
      <c r="D1576" s="185"/>
      <c r="E1576" s="229"/>
      <c r="F1576" s="230"/>
    </row>
    <row r="1577" spans="1:6" x14ac:dyDescent="0.2">
      <c r="A1577" s="275"/>
      <c r="B1577" s="78"/>
      <c r="C1577" s="189"/>
      <c r="D1577" s="185"/>
      <c r="E1577" s="229"/>
      <c r="F1577" s="230"/>
    </row>
    <row r="1578" spans="1:6" x14ac:dyDescent="0.2">
      <c r="A1578" s="275"/>
      <c r="B1578" s="78"/>
      <c r="C1578" s="189"/>
      <c r="D1578" s="185"/>
      <c r="E1578" s="229"/>
      <c r="F1578" s="230"/>
    </row>
    <row r="1579" spans="1:6" x14ac:dyDescent="0.2">
      <c r="A1579" s="275"/>
      <c r="B1579" s="78"/>
      <c r="C1579" s="189"/>
      <c r="D1579" s="185"/>
      <c r="E1579" s="229"/>
      <c r="F1579" s="230"/>
    </row>
    <row r="1580" spans="1:6" x14ac:dyDescent="0.2">
      <c r="A1580" s="275"/>
      <c r="B1580" s="78"/>
      <c r="C1580" s="189"/>
      <c r="D1580" s="185"/>
      <c r="E1580" s="229"/>
      <c r="F1580" s="230"/>
    </row>
    <row r="1581" spans="1:6" x14ac:dyDescent="0.2">
      <c r="A1581" s="275"/>
      <c r="B1581" s="78"/>
      <c r="C1581" s="189"/>
      <c r="D1581" s="185"/>
      <c r="E1581" s="229"/>
      <c r="F1581" s="230"/>
    </row>
    <row r="1582" spans="1:6" x14ac:dyDescent="0.2">
      <c r="A1582" s="275"/>
      <c r="B1582" s="78"/>
      <c r="C1582" s="189"/>
      <c r="D1582" s="185"/>
      <c r="E1582" s="229"/>
      <c r="F1582" s="230"/>
    </row>
    <row r="1583" spans="1:6" x14ac:dyDescent="0.2">
      <c r="A1583" s="275"/>
      <c r="B1583" s="78"/>
      <c r="C1583" s="189"/>
      <c r="D1583" s="185"/>
      <c r="E1583" s="229"/>
      <c r="F1583" s="230"/>
    </row>
    <row r="1584" spans="1:6" x14ac:dyDescent="0.2">
      <c r="A1584" s="275"/>
      <c r="B1584" s="78"/>
      <c r="C1584" s="189"/>
      <c r="D1584" s="185"/>
      <c r="E1584" s="229"/>
      <c r="F1584" s="230"/>
    </row>
    <row r="1585" spans="1:6" x14ac:dyDescent="0.2">
      <c r="A1585" s="275"/>
      <c r="B1585" s="78"/>
      <c r="C1585" s="189"/>
      <c r="D1585" s="185"/>
      <c r="E1585" s="229"/>
      <c r="F1585" s="230"/>
    </row>
    <row r="1586" spans="1:6" x14ac:dyDescent="0.2">
      <c r="A1586" s="275"/>
      <c r="B1586" s="78"/>
      <c r="C1586" s="189"/>
      <c r="D1586" s="185"/>
      <c r="E1586" s="229"/>
      <c r="F1586" s="230"/>
    </row>
    <row r="1587" spans="1:6" x14ac:dyDescent="0.2">
      <c r="A1587" s="275"/>
      <c r="B1587" s="78"/>
      <c r="C1587" s="189"/>
      <c r="D1587" s="185"/>
      <c r="E1587" s="229"/>
      <c r="F1587" s="230"/>
    </row>
    <row r="1588" spans="1:6" x14ac:dyDescent="0.2">
      <c r="A1588" s="275"/>
      <c r="B1588" s="78"/>
      <c r="C1588" s="189"/>
      <c r="D1588" s="185"/>
      <c r="E1588" s="229"/>
      <c r="F1588" s="230"/>
    </row>
    <row r="1589" spans="1:6" x14ac:dyDescent="0.2">
      <c r="A1589" s="275"/>
      <c r="B1589" s="78"/>
      <c r="C1589" s="189"/>
      <c r="D1589" s="185"/>
      <c r="E1589" s="229"/>
      <c r="F1589" s="230"/>
    </row>
    <row r="1590" spans="1:6" x14ac:dyDescent="0.2">
      <c r="A1590" s="275"/>
      <c r="B1590" s="78"/>
      <c r="C1590" s="189"/>
      <c r="D1590" s="185"/>
      <c r="E1590" s="229"/>
      <c r="F1590" s="230"/>
    </row>
    <row r="1591" spans="1:6" x14ac:dyDescent="0.2">
      <c r="A1591" s="275"/>
      <c r="B1591" s="78"/>
      <c r="C1591" s="189"/>
      <c r="D1591" s="185"/>
      <c r="E1591" s="229"/>
      <c r="F1591" s="230"/>
    </row>
    <row r="1592" spans="1:6" x14ac:dyDescent="0.2">
      <c r="A1592" s="275"/>
      <c r="B1592" s="78"/>
      <c r="C1592" s="189"/>
      <c r="D1592" s="185"/>
      <c r="E1592" s="229"/>
      <c r="F1592" s="230"/>
    </row>
    <row r="1593" spans="1:6" x14ac:dyDescent="0.2">
      <c r="A1593" s="275"/>
      <c r="B1593" s="78"/>
      <c r="C1593" s="189"/>
      <c r="D1593" s="185"/>
      <c r="E1593" s="229"/>
      <c r="F1593" s="230"/>
    </row>
    <row r="1594" spans="1:6" x14ac:dyDescent="0.2">
      <c r="A1594" s="275"/>
      <c r="B1594" s="78"/>
      <c r="C1594" s="189"/>
      <c r="D1594" s="185"/>
      <c r="E1594" s="229"/>
      <c r="F1594" s="230"/>
    </row>
    <row r="1595" spans="1:6" x14ac:dyDescent="0.2">
      <c r="A1595" s="275"/>
      <c r="B1595" s="78"/>
      <c r="C1595" s="189"/>
      <c r="D1595" s="185"/>
      <c r="E1595" s="229"/>
      <c r="F1595" s="230"/>
    </row>
    <row r="1596" spans="1:6" x14ac:dyDescent="0.2">
      <c r="A1596" s="275"/>
      <c r="B1596" s="78"/>
      <c r="C1596" s="189"/>
      <c r="D1596" s="185"/>
      <c r="E1596" s="229"/>
      <c r="F1596" s="230"/>
    </row>
    <row r="1597" spans="1:6" x14ac:dyDescent="0.2">
      <c r="A1597" s="275"/>
      <c r="B1597" s="78"/>
      <c r="C1597" s="189"/>
      <c r="D1597" s="185"/>
      <c r="E1597" s="229"/>
      <c r="F1597" s="230"/>
    </row>
    <row r="1598" spans="1:6" x14ac:dyDescent="0.2">
      <c r="A1598" s="275"/>
      <c r="B1598" s="78"/>
      <c r="C1598" s="189"/>
      <c r="D1598" s="185"/>
      <c r="E1598" s="229"/>
      <c r="F1598" s="230"/>
    </row>
    <row r="1599" spans="1:6" x14ac:dyDescent="0.2">
      <c r="A1599" s="275"/>
      <c r="B1599" s="78"/>
      <c r="C1599" s="189"/>
      <c r="D1599" s="185"/>
      <c r="E1599" s="229"/>
      <c r="F1599" s="230"/>
    </row>
    <row r="1600" spans="1:6" x14ac:dyDescent="0.2">
      <c r="A1600" s="275"/>
      <c r="B1600" s="78"/>
      <c r="C1600" s="189"/>
      <c r="D1600" s="185"/>
      <c r="E1600" s="229"/>
      <c r="F1600" s="230"/>
    </row>
    <row r="1601" spans="1:6" x14ac:dyDescent="0.2">
      <c r="A1601" s="275"/>
      <c r="B1601" s="78"/>
      <c r="C1601" s="189"/>
      <c r="D1601" s="185"/>
      <c r="E1601" s="229"/>
      <c r="F1601" s="230"/>
    </row>
    <row r="1602" spans="1:6" x14ac:dyDescent="0.2">
      <c r="A1602" s="275"/>
      <c r="B1602" s="78"/>
      <c r="C1602" s="189"/>
      <c r="D1602" s="185"/>
      <c r="E1602" s="229"/>
      <c r="F1602" s="230"/>
    </row>
    <row r="1603" spans="1:6" x14ac:dyDescent="0.2">
      <c r="A1603" s="275"/>
      <c r="B1603" s="78"/>
      <c r="C1603" s="189"/>
      <c r="D1603" s="185"/>
      <c r="E1603" s="229"/>
      <c r="F1603" s="230"/>
    </row>
    <row r="1604" spans="1:6" x14ac:dyDescent="0.2">
      <c r="A1604" s="275"/>
      <c r="B1604" s="78"/>
      <c r="C1604" s="189"/>
      <c r="D1604" s="185"/>
      <c r="E1604" s="229"/>
      <c r="F1604" s="230"/>
    </row>
    <row r="1605" spans="1:6" x14ac:dyDescent="0.2">
      <c r="A1605" s="275"/>
      <c r="B1605" s="78"/>
      <c r="C1605" s="189"/>
      <c r="D1605" s="185"/>
      <c r="E1605" s="229"/>
      <c r="F1605" s="230"/>
    </row>
    <row r="1606" spans="1:6" x14ac:dyDescent="0.2">
      <c r="A1606" s="275"/>
      <c r="B1606" s="78"/>
      <c r="C1606" s="189"/>
      <c r="D1606" s="185"/>
      <c r="E1606" s="229"/>
      <c r="F1606" s="230"/>
    </row>
    <row r="1607" spans="1:6" x14ac:dyDescent="0.2">
      <c r="A1607" s="275"/>
      <c r="B1607" s="78"/>
      <c r="C1607" s="189"/>
      <c r="D1607" s="185"/>
      <c r="E1607" s="229"/>
      <c r="F1607" s="230"/>
    </row>
    <row r="1608" spans="1:6" x14ac:dyDescent="0.2">
      <c r="A1608" s="275"/>
      <c r="B1608" s="78"/>
      <c r="C1608" s="189"/>
      <c r="D1608" s="185"/>
      <c r="E1608" s="229"/>
      <c r="F1608" s="230"/>
    </row>
    <row r="1609" spans="1:6" x14ac:dyDescent="0.2">
      <c r="A1609" s="275"/>
      <c r="B1609" s="78"/>
      <c r="C1609" s="189"/>
      <c r="D1609" s="185"/>
      <c r="E1609" s="229"/>
      <c r="F1609" s="230"/>
    </row>
    <row r="1610" spans="1:6" x14ac:dyDescent="0.2">
      <c r="A1610" s="275"/>
      <c r="B1610" s="78"/>
      <c r="C1610" s="189"/>
      <c r="D1610" s="185"/>
      <c r="E1610" s="229"/>
      <c r="F1610" s="230"/>
    </row>
    <row r="1611" spans="1:6" x14ac:dyDescent="0.2">
      <c r="A1611" s="275"/>
      <c r="B1611" s="78"/>
      <c r="C1611" s="189"/>
      <c r="D1611" s="185"/>
      <c r="E1611" s="229"/>
      <c r="F1611" s="230"/>
    </row>
    <row r="1612" spans="1:6" x14ac:dyDescent="0.2">
      <c r="A1612" s="275"/>
      <c r="B1612" s="78"/>
      <c r="C1612" s="189"/>
      <c r="D1612" s="185"/>
      <c r="E1612" s="229"/>
      <c r="F1612" s="230"/>
    </row>
    <row r="1613" spans="1:6" x14ac:dyDescent="0.2">
      <c r="A1613" s="275"/>
      <c r="B1613" s="78"/>
      <c r="C1613" s="189"/>
      <c r="D1613" s="185"/>
      <c r="E1613" s="229"/>
      <c r="F1613" s="230"/>
    </row>
    <row r="1614" spans="1:6" x14ac:dyDescent="0.2">
      <c r="A1614" s="275"/>
      <c r="B1614" s="78"/>
      <c r="C1614" s="189"/>
      <c r="D1614" s="185"/>
      <c r="E1614" s="229"/>
      <c r="F1614" s="230"/>
    </row>
    <row r="1615" spans="1:6" x14ac:dyDescent="0.2">
      <c r="A1615" s="275"/>
      <c r="B1615" s="78"/>
      <c r="C1615" s="189"/>
      <c r="D1615" s="185"/>
      <c r="E1615" s="229"/>
      <c r="F1615" s="230"/>
    </row>
    <row r="1616" spans="1:6" x14ac:dyDescent="0.2">
      <c r="A1616" s="275"/>
      <c r="B1616" s="78"/>
      <c r="C1616" s="189"/>
      <c r="D1616" s="185"/>
      <c r="E1616" s="229"/>
      <c r="F1616" s="230"/>
    </row>
    <row r="1617" spans="1:6" x14ac:dyDescent="0.2">
      <c r="A1617" s="275"/>
      <c r="B1617" s="78"/>
      <c r="C1617" s="189"/>
      <c r="D1617" s="185"/>
      <c r="E1617" s="229"/>
      <c r="F1617" s="230"/>
    </row>
    <row r="1618" spans="1:6" x14ac:dyDescent="0.2">
      <c r="A1618" s="275"/>
      <c r="B1618" s="78"/>
      <c r="C1618" s="189"/>
      <c r="D1618" s="185"/>
      <c r="E1618" s="229"/>
      <c r="F1618" s="230"/>
    </row>
    <row r="1619" spans="1:6" x14ac:dyDescent="0.2">
      <c r="A1619" s="275"/>
      <c r="B1619" s="78"/>
      <c r="C1619" s="189"/>
      <c r="D1619" s="185"/>
      <c r="E1619" s="229"/>
      <c r="F1619" s="230"/>
    </row>
    <row r="1620" spans="1:6" x14ac:dyDescent="0.2">
      <c r="A1620" s="275"/>
      <c r="B1620" s="78"/>
      <c r="C1620" s="189"/>
      <c r="D1620" s="185"/>
      <c r="E1620" s="229"/>
      <c r="F1620" s="230"/>
    </row>
    <row r="1621" spans="1:6" x14ac:dyDescent="0.2">
      <c r="A1621" s="275"/>
      <c r="B1621" s="78"/>
      <c r="C1621" s="189"/>
      <c r="D1621" s="185"/>
      <c r="E1621" s="229"/>
      <c r="F1621" s="230"/>
    </row>
    <row r="1622" spans="1:6" x14ac:dyDescent="0.2">
      <c r="A1622" s="275"/>
      <c r="B1622" s="78"/>
      <c r="C1622" s="189"/>
      <c r="D1622" s="185"/>
      <c r="E1622" s="229"/>
      <c r="F1622" s="230"/>
    </row>
    <row r="1623" spans="1:6" x14ac:dyDescent="0.2">
      <c r="A1623" s="275"/>
      <c r="B1623" s="78"/>
      <c r="C1623" s="189"/>
      <c r="D1623" s="185"/>
      <c r="E1623" s="229"/>
      <c r="F1623" s="230"/>
    </row>
    <row r="1624" spans="1:6" x14ac:dyDescent="0.2">
      <c r="A1624" s="275"/>
      <c r="B1624" s="78"/>
      <c r="C1624" s="189"/>
      <c r="D1624" s="185"/>
      <c r="E1624" s="229"/>
      <c r="F1624" s="230"/>
    </row>
    <row r="1625" spans="1:6" x14ac:dyDescent="0.2">
      <c r="A1625" s="275"/>
      <c r="B1625" s="78"/>
      <c r="C1625" s="189"/>
      <c r="D1625" s="185"/>
      <c r="E1625" s="229"/>
      <c r="F1625" s="230"/>
    </row>
    <row r="1626" spans="1:6" x14ac:dyDescent="0.2">
      <c r="A1626" s="275"/>
      <c r="B1626" s="78"/>
      <c r="C1626" s="189"/>
      <c r="D1626" s="185"/>
      <c r="E1626" s="229"/>
      <c r="F1626" s="230"/>
    </row>
    <row r="1627" spans="1:6" x14ac:dyDescent="0.2">
      <c r="A1627" s="275"/>
      <c r="B1627" s="78"/>
      <c r="C1627" s="189"/>
      <c r="D1627" s="185"/>
      <c r="E1627" s="229"/>
      <c r="F1627" s="230"/>
    </row>
    <row r="1628" spans="1:6" x14ac:dyDescent="0.2">
      <c r="A1628" s="275"/>
      <c r="B1628" s="78"/>
      <c r="C1628" s="189"/>
      <c r="D1628" s="185"/>
      <c r="E1628" s="229"/>
      <c r="F1628" s="230"/>
    </row>
    <row r="1629" spans="1:6" x14ac:dyDescent="0.2">
      <c r="A1629" s="275"/>
      <c r="B1629" s="78"/>
      <c r="C1629" s="189"/>
      <c r="D1629" s="185"/>
      <c r="E1629" s="229"/>
      <c r="F1629" s="230"/>
    </row>
    <row r="1630" spans="1:6" x14ac:dyDescent="0.2">
      <c r="A1630" s="275"/>
      <c r="B1630" s="78"/>
      <c r="C1630" s="189"/>
      <c r="D1630" s="185"/>
      <c r="E1630" s="229"/>
      <c r="F1630" s="230"/>
    </row>
    <row r="1631" spans="1:6" x14ac:dyDescent="0.2">
      <c r="A1631" s="275"/>
      <c r="B1631" s="78"/>
      <c r="C1631" s="189"/>
      <c r="D1631" s="185"/>
      <c r="E1631" s="229"/>
      <c r="F1631" s="230"/>
    </row>
    <row r="1632" spans="1:6" x14ac:dyDescent="0.2">
      <c r="A1632" s="275"/>
      <c r="B1632" s="78"/>
      <c r="C1632" s="189"/>
      <c r="D1632" s="185"/>
      <c r="E1632" s="229"/>
      <c r="F1632" s="230"/>
    </row>
    <row r="1633" spans="1:6" x14ac:dyDescent="0.2">
      <c r="A1633" s="275"/>
      <c r="B1633" s="78"/>
      <c r="C1633" s="189"/>
      <c r="D1633" s="185"/>
      <c r="E1633" s="229"/>
      <c r="F1633" s="230"/>
    </row>
    <row r="1634" spans="1:6" x14ac:dyDescent="0.2">
      <c r="A1634" s="275"/>
      <c r="B1634" s="78"/>
      <c r="C1634" s="189"/>
      <c r="D1634" s="185"/>
      <c r="E1634" s="229"/>
      <c r="F1634" s="230"/>
    </row>
    <row r="1635" spans="1:6" x14ac:dyDescent="0.2">
      <c r="A1635" s="275"/>
      <c r="B1635" s="78"/>
      <c r="C1635" s="189"/>
      <c r="D1635" s="185"/>
      <c r="E1635" s="229"/>
      <c r="F1635" s="230"/>
    </row>
    <row r="1636" spans="1:6" x14ac:dyDescent="0.2">
      <c r="A1636" s="275"/>
      <c r="B1636" s="78"/>
      <c r="C1636" s="189"/>
      <c r="D1636" s="185"/>
      <c r="E1636" s="229"/>
      <c r="F1636" s="230"/>
    </row>
    <row r="1637" spans="1:6" x14ac:dyDescent="0.2">
      <c r="A1637" s="275"/>
      <c r="B1637" s="78"/>
      <c r="C1637" s="189"/>
      <c r="D1637" s="185"/>
      <c r="E1637" s="229"/>
      <c r="F1637" s="230"/>
    </row>
    <row r="1638" spans="1:6" x14ac:dyDescent="0.2">
      <c r="A1638" s="275"/>
      <c r="B1638" s="78"/>
      <c r="C1638" s="189"/>
      <c r="D1638" s="185"/>
      <c r="E1638" s="229"/>
      <c r="F1638" s="230"/>
    </row>
    <row r="1639" spans="1:6" x14ac:dyDescent="0.2">
      <c r="A1639" s="275"/>
      <c r="B1639" s="78"/>
      <c r="C1639" s="189"/>
      <c r="D1639" s="185"/>
      <c r="E1639" s="229"/>
      <c r="F1639" s="230"/>
    </row>
    <row r="1640" spans="1:6" x14ac:dyDescent="0.2">
      <c r="A1640" s="275"/>
      <c r="B1640" s="78"/>
      <c r="C1640" s="189"/>
      <c r="D1640" s="185"/>
      <c r="E1640" s="229"/>
      <c r="F1640" s="230"/>
    </row>
    <row r="1641" spans="1:6" x14ac:dyDescent="0.2">
      <c r="A1641" s="275"/>
      <c r="B1641" s="78"/>
      <c r="C1641" s="189"/>
      <c r="D1641" s="185"/>
      <c r="E1641" s="229"/>
      <c r="F1641" s="230"/>
    </row>
    <row r="1642" spans="1:6" x14ac:dyDescent="0.2">
      <c r="A1642" s="275"/>
      <c r="B1642" s="78"/>
      <c r="C1642" s="189"/>
      <c r="D1642" s="185"/>
      <c r="E1642" s="229"/>
      <c r="F1642" s="230"/>
    </row>
    <row r="1643" spans="1:6" x14ac:dyDescent="0.2">
      <c r="A1643" s="275"/>
      <c r="B1643" s="78"/>
      <c r="C1643" s="189"/>
      <c r="D1643" s="185"/>
      <c r="E1643" s="229"/>
      <c r="F1643" s="230"/>
    </row>
    <row r="1644" spans="1:6" x14ac:dyDescent="0.2">
      <c r="A1644" s="275"/>
      <c r="B1644" s="78"/>
      <c r="C1644" s="189"/>
      <c r="D1644" s="185"/>
      <c r="E1644" s="229"/>
      <c r="F1644" s="230"/>
    </row>
    <row r="1645" spans="1:6" x14ac:dyDescent="0.2">
      <c r="A1645" s="275"/>
      <c r="B1645" s="78"/>
      <c r="C1645" s="189"/>
      <c r="D1645" s="185"/>
      <c r="E1645" s="229"/>
      <c r="F1645" s="230"/>
    </row>
    <row r="1646" spans="1:6" x14ac:dyDescent="0.2">
      <c r="A1646" s="275"/>
      <c r="B1646" s="78"/>
      <c r="C1646" s="189"/>
      <c r="D1646" s="185"/>
      <c r="E1646" s="229"/>
      <c r="F1646" s="230"/>
    </row>
    <row r="1647" spans="1:6" x14ac:dyDescent="0.2">
      <c r="A1647" s="275"/>
      <c r="B1647" s="78"/>
      <c r="C1647" s="189"/>
      <c r="D1647" s="185"/>
      <c r="E1647" s="229"/>
      <c r="F1647" s="230"/>
    </row>
    <row r="1648" spans="1:6" x14ac:dyDescent="0.2">
      <c r="A1648" s="275"/>
      <c r="B1648" s="78"/>
      <c r="C1648" s="189"/>
      <c r="D1648" s="185"/>
      <c r="E1648" s="229"/>
      <c r="F1648" s="230"/>
    </row>
    <row r="1649" spans="1:6" x14ac:dyDescent="0.2">
      <c r="A1649" s="275"/>
      <c r="B1649" s="78"/>
      <c r="C1649" s="189"/>
      <c r="D1649" s="185"/>
      <c r="E1649" s="229"/>
      <c r="F1649" s="230"/>
    </row>
    <row r="1650" spans="1:6" x14ac:dyDescent="0.2">
      <c r="A1650" s="275"/>
      <c r="B1650" s="78"/>
      <c r="C1650" s="189"/>
      <c r="D1650" s="185"/>
      <c r="E1650" s="229"/>
      <c r="F1650" s="230"/>
    </row>
    <row r="1651" spans="1:6" x14ac:dyDescent="0.2">
      <c r="A1651" s="275"/>
      <c r="B1651" s="78"/>
      <c r="C1651" s="189"/>
      <c r="D1651" s="185"/>
      <c r="E1651" s="229"/>
      <c r="F1651" s="230"/>
    </row>
    <row r="1652" spans="1:6" x14ac:dyDescent="0.2">
      <c r="A1652" s="275"/>
      <c r="B1652" s="78"/>
      <c r="C1652" s="189"/>
      <c r="D1652" s="185"/>
      <c r="E1652" s="229"/>
      <c r="F1652" s="230"/>
    </row>
    <row r="1653" spans="1:6" x14ac:dyDescent="0.2">
      <c r="A1653" s="275"/>
      <c r="B1653" s="78"/>
      <c r="C1653" s="189"/>
      <c r="D1653" s="185"/>
      <c r="E1653" s="229"/>
      <c r="F1653" s="230"/>
    </row>
    <row r="1654" spans="1:6" x14ac:dyDescent="0.2">
      <c r="A1654" s="275"/>
      <c r="B1654" s="78"/>
      <c r="C1654" s="189"/>
      <c r="D1654" s="185"/>
      <c r="E1654" s="229"/>
      <c r="F1654" s="230"/>
    </row>
    <row r="1655" spans="1:6" x14ac:dyDescent="0.2">
      <c r="A1655" s="275"/>
      <c r="B1655" s="78"/>
      <c r="C1655" s="189"/>
      <c r="D1655" s="185"/>
      <c r="E1655" s="229"/>
      <c r="F1655" s="230"/>
    </row>
    <row r="1656" spans="1:6" x14ac:dyDescent="0.2">
      <c r="A1656" s="275"/>
      <c r="B1656" s="78"/>
      <c r="C1656" s="189"/>
      <c r="D1656" s="185"/>
      <c r="E1656" s="229"/>
      <c r="F1656" s="230"/>
    </row>
    <row r="1657" spans="1:6" x14ac:dyDescent="0.2">
      <c r="A1657" s="275"/>
      <c r="B1657" s="78"/>
      <c r="C1657" s="189"/>
      <c r="D1657" s="185"/>
      <c r="E1657" s="229"/>
      <c r="F1657" s="230"/>
    </row>
    <row r="1658" spans="1:6" x14ac:dyDescent="0.2">
      <c r="A1658" s="275"/>
      <c r="B1658" s="78"/>
      <c r="C1658" s="189"/>
      <c r="D1658" s="185"/>
      <c r="E1658" s="229"/>
      <c r="F1658" s="230"/>
    </row>
    <row r="1659" spans="1:6" x14ac:dyDescent="0.2">
      <c r="A1659" s="275"/>
      <c r="B1659" s="78"/>
      <c r="C1659" s="189"/>
      <c r="D1659" s="185"/>
      <c r="E1659" s="229"/>
      <c r="F1659" s="230"/>
    </row>
    <row r="1660" spans="1:6" x14ac:dyDescent="0.2">
      <c r="A1660" s="275"/>
      <c r="B1660" s="78"/>
      <c r="C1660" s="189"/>
      <c r="D1660" s="185"/>
      <c r="E1660" s="229"/>
      <c r="F1660" s="230"/>
    </row>
    <row r="1661" spans="1:6" x14ac:dyDescent="0.2">
      <c r="A1661" s="275"/>
      <c r="B1661" s="78"/>
      <c r="C1661" s="189"/>
      <c r="D1661" s="185"/>
      <c r="E1661" s="229"/>
      <c r="F1661" s="230"/>
    </row>
    <row r="1662" spans="1:6" x14ac:dyDescent="0.2">
      <c r="A1662" s="275"/>
      <c r="B1662" s="78"/>
      <c r="C1662" s="189"/>
      <c r="D1662" s="185"/>
      <c r="E1662" s="229"/>
      <c r="F1662" s="230"/>
    </row>
    <row r="1663" spans="1:6" x14ac:dyDescent="0.2">
      <c r="A1663" s="275"/>
      <c r="B1663" s="78"/>
      <c r="C1663" s="189"/>
      <c r="D1663" s="185"/>
      <c r="E1663" s="229"/>
      <c r="F1663" s="230"/>
    </row>
    <row r="1664" spans="1:6" x14ac:dyDescent="0.2">
      <c r="A1664" s="275"/>
      <c r="B1664" s="78"/>
      <c r="C1664" s="189"/>
      <c r="D1664" s="185"/>
      <c r="E1664" s="229"/>
      <c r="F1664" s="230"/>
    </row>
    <row r="1665" spans="1:6" x14ac:dyDescent="0.2">
      <c r="A1665" s="275"/>
      <c r="B1665" s="78"/>
      <c r="C1665" s="189"/>
      <c r="D1665" s="185"/>
      <c r="E1665" s="229"/>
      <c r="F1665" s="230"/>
    </row>
    <row r="1666" spans="1:6" x14ac:dyDescent="0.2">
      <c r="A1666" s="275"/>
      <c r="B1666" s="78"/>
      <c r="C1666" s="189"/>
      <c r="D1666" s="185"/>
      <c r="E1666" s="229"/>
      <c r="F1666" s="230"/>
    </row>
    <row r="1667" spans="1:6" x14ac:dyDescent="0.2">
      <c r="A1667" s="275"/>
      <c r="B1667" s="78"/>
      <c r="C1667" s="189"/>
      <c r="D1667" s="185"/>
      <c r="E1667" s="229"/>
      <c r="F1667" s="230"/>
    </row>
    <row r="1668" spans="1:6" x14ac:dyDescent="0.2">
      <c r="A1668" s="275"/>
      <c r="B1668" s="78"/>
      <c r="C1668" s="189"/>
      <c r="D1668" s="185"/>
      <c r="E1668" s="229"/>
      <c r="F1668" s="230"/>
    </row>
    <row r="1669" spans="1:6" x14ac:dyDescent="0.2">
      <c r="A1669" s="275"/>
      <c r="B1669" s="78"/>
      <c r="C1669" s="189"/>
      <c r="D1669" s="185"/>
      <c r="E1669" s="229"/>
      <c r="F1669" s="230"/>
    </row>
    <row r="1670" spans="1:6" x14ac:dyDescent="0.2">
      <c r="A1670" s="275"/>
      <c r="B1670" s="78"/>
      <c r="C1670" s="189"/>
      <c r="D1670" s="185"/>
      <c r="E1670" s="229"/>
      <c r="F1670" s="230"/>
    </row>
    <row r="1671" spans="1:6" x14ac:dyDescent="0.2">
      <c r="A1671" s="275"/>
      <c r="B1671" s="78"/>
      <c r="C1671" s="189"/>
      <c r="D1671" s="185"/>
      <c r="E1671" s="229"/>
      <c r="F1671" s="230"/>
    </row>
    <row r="1672" spans="1:6" x14ac:dyDescent="0.2">
      <c r="A1672" s="275"/>
      <c r="B1672" s="78"/>
      <c r="C1672" s="189"/>
      <c r="D1672" s="185"/>
      <c r="E1672" s="229"/>
      <c r="F1672" s="230"/>
    </row>
    <row r="1673" spans="1:6" x14ac:dyDescent="0.2">
      <c r="A1673" s="275"/>
      <c r="B1673" s="78"/>
      <c r="C1673" s="189"/>
      <c r="D1673" s="185"/>
      <c r="E1673" s="229"/>
      <c r="F1673" s="230"/>
    </row>
    <row r="1674" spans="1:6" x14ac:dyDescent="0.2">
      <c r="A1674" s="275"/>
      <c r="B1674" s="78"/>
      <c r="C1674" s="189"/>
      <c r="D1674" s="185"/>
      <c r="E1674" s="229"/>
      <c r="F1674" s="230"/>
    </row>
    <row r="1675" spans="1:6" x14ac:dyDescent="0.2">
      <c r="A1675" s="275"/>
      <c r="B1675" s="78"/>
      <c r="C1675" s="189"/>
      <c r="D1675" s="185"/>
      <c r="E1675" s="229"/>
      <c r="F1675" s="230"/>
    </row>
    <row r="1676" spans="1:6" x14ac:dyDescent="0.2">
      <c r="A1676" s="275"/>
      <c r="B1676" s="78"/>
      <c r="C1676" s="189"/>
      <c r="D1676" s="185"/>
      <c r="E1676" s="229"/>
      <c r="F1676" s="230"/>
    </row>
    <row r="1677" spans="1:6" x14ac:dyDescent="0.2">
      <c r="A1677" s="275"/>
      <c r="B1677" s="78"/>
      <c r="C1677" s="189"/>
      <c r="D1677" s="185"/>
      <c r="E1677" s="229"/>
      <c r="F1677" s="230"/>
    </row>
    <row r="1678" spans="1:6" x14ac:dyDescent="0.2">
      <c r="A1678" s="275"/>
      <c r="B1678" s="78"/>
      <c r="C1678" s="189"/>
      <c r="D1678" s="185"/>
      <c r="E1678" s="229"/>
      <c r="F1678" s="230"/>
    </row>
    <row r="1679" spans="1:6" x14ac:dyDescent="0.2">
      <c r="A1679" s="275"/>
      <c r="B1679" s="78"/>
      <c r="C1679" s="189"/>
      <c r="D1679" s="185"/>
      <c r="E1679" s="229"/>
      <c r="F1679" s="230"/>
    </row>
    <row r="1680" spans="1:6" x14ac:dyDescent="0.2">
      <c r="A1680" s="275"/>
      <c r="B1680" s="78"/>
      <c r="C1680" s="189"/>
      <c r="D1680" s="185"/>
      <c r="E1680" s="229"/>
      <c r="F1680" s="230"/>
    </row>
    <row r="1681" spans="1:6" x14ac:dyDescent="0.2">
      <c r="A1681" s="275"/>
      <c r="B1681" s="78"/>
      <c r="C1681" s="189"/>
      <c r="D1681" s="185"/>
      <c r="E1681" s="229"/>
      <c r="F1681" s="230"/>
    </row>
    <row r="1682" spans="1:6" x14ac:dyDescent="0.2">
      <c r="A1682" s="275"/>
      <c r="B1682" s="78"/>
      <c r="C1682" s="189"/>
      <c r="D1682" s="185"/>
      <c r="E1682" s="229"/>
      <c r="F1682" s="230"/>
    </row>
    <row r="1683" spans="1:6" x14ac:dyDescent="0.2">
      <c r="A1683" s="275"/>
      <c r="B1683" s="78"/>
      <c r="C1683" s="189"/>
      <c r="D1683" s="185"/>
      <c r="E1683" s="229"/>
      <c r="F1683" s="230"/>
    </row>
    <row r="1684" spans="1:6" x14ac:dyDescent="0.2">
      <c r="A1684" s="275"/>
      <c r="B1684" s="78"/>
      <c r="C1684" s="189"/>
      <c r="D1684" s="185"/>
      <c r="E1684" s="229"/>
      <c r="F1684" s="230"/>
    </row>
    <row r="1685" spans="1:6" x14ac:dyDescent="0.2">
      <c r="A1685" s="275"/>
      <c r="B1685" s="78"/>
      <c r="C1685" s="189"/>
      <c r="D1685" s="185"/>
      <c r="E1685" s="229"/>
      <c r="F1685" s="230"/>
    </row>
    <row r="1686" spans="1:6" x14ac:dyDescent="0.2">
      <c r="A1686" s="275"/>
      <c r="B1686" s="78"/>
      <c r="C1686" s="189"/>
      <c r="D1686" s="185"/>
      <c r="E1686" s="229"/>
      <c r="F1686" s="230"/>
    </row>
    <row r="1687" spans="1:6" x14ac:dyDescent="0.2">
      <c r="A1687" s="275"/>
      <c r="B1687" s="78"/>
      <c r="C1687" s="189"/>
      <c r="D1687" s="185"/>
      <c r="E1687" s="229"/>
      <c r="F1687" s="230"/>
    </row>
    <row r="1688" spans="1:6" x14ac:dyDescent="0.2">
      <c r="A1688" s="275"/>
      <c r="B1688" s="78"/>
      <c r="C1688" s="189"/>
      <c r="D1688" s="185"/>
      <c r="E1688" s="229"/>
      <c r="F1688" s="230"/>
    </row>
    <row r="1689" spans="1:6" x14ac:dyDescent="0.2">
      <c r="A1689" s="275"/>
      <c r="B1689" s="78"/>
      <c r="C1689" s="189"/>
      <c r="D1689" s="185"/>
      <c r="E1689" s="229"/>
      <c r="F1689" s="230"/>
    </row>
    <row r="1690" spans="1:6" x14ac:dyDescent="0.2">
      <c r="A1690" s="275"/>
      <c r="B1690" s="78"/>
      <c r="C1690" s="189"/>
      <c r="D1690" s="185"/>
      <c r="E1690" s="229"/>
      <c r="F1690" s="230"/>
    </row>
    <row r="1691" spans="1:6" x14ac:dyDescent="0.2">
      <c r="A1691" s="275"/>
      <c r="B1691" s="78"/>
      <c r="C1691" s="189"/>
      <c r="D1691" s="185"/>
      <c r="E1691" s="229"/>
      <c r="F1691" s="230"/>
    </row>
    <row r="1692" spans="1:6" x14ac:dyDescent="0.2">
      <c r="A1692" s="275"/>
      <c r="B1692" s="78"/>
      <c r="C1692" s="189"/>
      <c r="D1692" s="185"/>
      <c r="E1692" s="229"/>
      <c r="F1692" s="230"/>
    </row>
    <row r="1693" spans="1:6" x14ac:dyDescent="0.2">
      <c r="A1693" s="275"/>
      <c r="B1693" s="78"/>
      <c r="C1693" s="189"/>
      <c r="D1693" s="185"/>
      <c r="E1693" s="229"/>
      <c r="F1693" s="230"/>
    </row>
    <row r="1694" spans="1:6" x14ac:dyDescent="0.2">
      <c r="A1694" s="275"/>
      <c r="B1694" s="78"/>
      <c r="C1694" s="189"/>
      <c r="D1694" s="185"/>
      <c r="E1694" s="229"/>
      <c r="F1694" s="230"/>
    </row>
    <row r="1695" spans="1:6" x14ac:dyDescent="0.2">
      <c r="A1695" s="275"/>
      <c r="B1695" s="78"/>
      <c r="C1695" s="189"/>
      <c r="D1695" s="185"/>
      <c r="E1695" s="229"/>
      <c r="F1695" s="230"/>
    </row>
    <row r="1696" spans="1:6" x14ac:dyDescent="0.2">
      <c r="A1696" s="275"/>
      <c r="B1696" s="78"/>
      <c r="C1696" s="189"/>
      <c r="D1696" s="185"/>
      <c r="E1696" s="229"/>
      <c r="F1696" s="230"/>
    </row>
    <row r="1697" spans="1:6" x14ac:dyDescent="0.2">
      <c r="A1697" s="275"/>
      <c r="B1697" s="78"/>
      <c r="C1697" s="189"/>
      <c r="D1697" s="185"/>
      <c r="E1697" s="229"/>
      <c r="F1697" s="230"/>
    </row>
    <row r="1698" spans="1:6" x14ac:dyDescent="0.2">
      <c r="A1698" s="275"/>
      <c r="B1698" s="78"/>
      <c r="C1698" s="189"/>
      <c r="D1698" s="185"/>
      <c r="E1698" s="229"/>
      <c r="F1698" s="230"/>
    </row>
    <row r="1699" spans="1:6" x14ac:dyDescent="0.2">
      <c r="A1699" s="275"/>
      <c r="B1699" s="78"/>
      <c r="C1699" s="189"/>
      <c r="D1699" s="185"/>
      <c r="E1699" s="229"/>
      <c r="F1699" s="230"/>
    </row>
    <row r="1700" spans="1:6" x14ac:dyDescent="0.2">
      <c r="A1700" s="275"/>
      <c r="B1700" s="78"/>
      <c r="C1700" s="189"/>
      <c r="D1700" s="185"/>
      <c r="E1700" s="229"/>
      <c r="F1700" s="230"/>
    </row>
    <row r="1701" spans="1:6" x14ac:dyDescent="0.2">
      <c r="A1701" s="275"/>
      <c r="B1701" s="78"/>
      <c r="C1701" s="189"/>
      <c r="D1701" s="185"/>
      <c r="E1701" s="229"/>
      <c r="F1701" s="230"/>
    </row>
    <row r="1702" spans="1:6" x14ac:dyDescent="0.2">
      <c r="A1702" s="275"/>
      <c r="B1702" s="78"/>
      <c r="C1702" s="189"/>
      <c r="D1702" s="185"/>
      <c r="E1702" s="229"/>
      <c r="F1702" s="230"/>
    </row>
    <row r="1703" spans="1:6" x14ac:dyDescent="0.2">
      <c r="A1703" s="275"/>
      <c r="B1703" s="78"/>
      <c r="C1703" s="189"/>
      <c r="D1703" s="185"/>
      <c r="E1703" s="229"/>
      <c r="F1703" s="230"/>
    </row>
    <row r="1704" spans="1:6" x14ac:dyDescent="0.2">
      <c r="A1704" s="275"/>
      <c r="B1704" s="78"/>
      <c r="C1704" s="189"/>
      <c r="D1704" s="185"/>
      <c r="E1704" s="229"/>
      <c r="F1704" s="230"/>
    </row>
    <row r="1705" spans="1:6" x14ac:dyDescent="0.2">
      <c r="A1705" s="275"/>
      <c r="B1705" s="78"/>
      <c r="C1705" s="189"/>
      <c r="D1705" s="185"/>
      <c r="E1705" s="229"/>
      <c r="F1705" s="230"/>
    </row>
    <row r="1706" spans="1:6" x14ac:dyDescent="0.2">
      <c r="A1706" s="275"/>
      <c r="B1706" s="78"/>
      <c r="C1706" s="189"/>
      <c r="D1706" s="185"/>
      <c r="E1706" s="229"/>
      <c r="F1706" s="230"/>
    </row>
    <row r="1707" spans="1:6" x14ac:dyDescent="0.2">
      <c r="A1707" s="275"/>
      <c r="B1707" s="78"/>
      <c r="C1707" s="189"/>
      <c r="D1707" s="185"/>
      <c r="E1707" s="229"/>
      <c r="F1707" s="230"/>
    </row>
    <row r="1708" spans="1:6" x14ac:dyDescent="0.2">
      <c r="A1708" s="275"/>
      <c r="B1708" s="78"/>
      <c r="C1708" s="189"/>
      <c r="D1708" s="185"/>
      <c r="E1708" s="229"/>
      <c r="F1708" s="230"/>
    </row>
    <row r="1709" spans="1:6" x14ac:dyDescent="0.2">
      <c r="A1709" s="275"/>
      <c r="B1709" s="78"/>
      <c r="C1709" s="189"/>
      <c r="D1709" s="185"/>
      <c r="E1709" s="229"/>
      <c r="F1709" s="230"/>
    </row>
    <row r="1710" spans="1:6" x14ac:dyDescent="0.2">
      <c r="A1710" s="275"/>
      <c r="B1710" s="78"/>
      <c r="C1710" s="189"/>
      <c r="D1710" s="185"/>
      <c r="E1710" s="229"/>
      <c r="F1710" s="230"/>
    </row>
    <row r="1711" spans="1:6" x14ac:dyDescent="0.2">
      <c r="A1711" s="275"/>
      <c r="B1711" s="78"/>
      <c r="C1711" s="189"/>
      <c r="D1711" s="185"/>
      <c r="E1711" s="229"/>
      <c r="F1711" s="230"/>
    </row>
    <row r="1712" spans="1:6" x14ac:dyDescent="0.2">
      <c r="A1712" s="275"/>
      <c r="B1712" s="78"/>
      <c r="C1712" s="189"/>
      <c r="D1712" s="185"/>
      <c r="E1712" s="229"/>
      <c r="F1712" s="230"/>
    </row>
    <row r="1713" spans="1:6" x14ac:dyDescent="0.2">
      <c r="A1713" s="275"/>
      <c r="B1713" s="78"/>
      <c r="C1713" s="189"/>
      <c r="D1713" s="185"/>
      <c r="E1713" s="229"/>
      <c r="F1713" s="230"/>
    </row>
    <row r="1714" spans="1:6" x14ac:dyDescent="0.2">
      <c r="A1714" s="275"/>
      <c r="B1714" s="78"/>
      <c r="C1714" s="189"/>
      <c r="D1714" s="185"/>
      <c r="E1714" s="229"/>
      <c r="F1714" s="230"/>
    </row>
    <row r="1715" spans="1:6" x14ac:dyDescent="0.2">
      <c r="A1715" s="275"/>
      <c r="B1715" s="78"/>
      <c r="C1715" s="189"/>
      <c r="D1715" s="185"/>
      <c r="E1715" s="229"/>
      <c r="F1715" s="230"/>
    </row>
    <row r="1716" spans="1:6" x14ac:dyDescent="0.2">
      <c r="A1716" s="275"/>
      <c r="B1716" s="78"/>
      <c r="C1716" s="189"/>
      <c r="D1716" s="185"/>
      <c r="E1716" s="229"/>
      <c r="F1716" s="230"/>
    </row>
    <row r="1717" spans="1:6" x14ac:dyDescent="0.2">
      <c r="A1717" s="275"/>
      <c r="B1717" s="78"/>
      <c r="C1717" s="189"/>
      <c r="D1717" s="185"/>
      <c r="E1717" s="229"/>
      <c r="F1717" s="230"/>
    </row>
    <row r="1718" spans="1:6" x14ac:dyDescent="0.2">
      <c r="A1718" s="275"/>
      <c r="B1718" s="78"/>
      <c r="C1718" s="189"/>
      <c r="D1718" s="185"/>
      <c r="E1718" s="229"/>
      <c r="F1718" s="230"/>
    </row>
    <row r="1719" spans="1:6" x14ac:dyDescent="0.2">
      <c r="A1719" s="275"/>
      <c r="B1719" s="78"/>
      <c r="C1719" s="189"/>
      <c r="D1719" s="185"/>
      <c r="E1719" s="229"/>
      <c r="F1719" s="230"/>
    </row>
    <row r="1720" spans="1:6" x14ac:dyDescent="0.2">
      <c r="A1720" s="275"/>
      <c r="B1720" s="78"/>
      <c r="C1720" s="189"/>
      <c r="D1720" s="185"/>
      <c r="E1720" s="229"/>
      <c r="F1720" s="230"/>
    </row>
    <row r="1721" spans="1:6" x14ac:dyDescent="0.2">
      <c r="A1721" s="275"/>
      <c r="B1721" s="78"/>
      <c r="C1721" s="189"/>
      <c r="D1721" s="185"/>
      <c r="E1721" s="229"/>
      <c r="F1721" s="230"/>
    </row>
    <row r="1722" spans="1:6" x14ac:dyDescent="0.2">
      <c r="A1722" s="275"/>
      <c r="B1722" s="78"/>
      <c r="C1722" s="189"/>
      <c r="D1722" s="185"/>
      <c r="E1722" s="229"/>
      <c r="F1722" s="230"/>
    </row>
    <row r="1723" spans="1:6" x14ac:dyDescent="0.2">
      <c r="A1723" s="275"/>
      <c r="B1723" s="78"/>
      <c r="C1723" s="189"/>
      <c r="D1723" s="185"/>
      <c r="E1723" s="229"/>
      <c r="F1723" s="230"/>
    </row>
    <row r="1724" spans="1:6" x14ac:dyDescent="0.2">
      <c r="A1724" s="275"/>
      <c r="B1724" s="78"/>
      <c r="C1724" s="189"/>
      <c r="D1724" s="185"/>
      <c r="E1724" s="229"/>
      <c r="F1724" s="230"/>
    </row>
    <row r="1725" spans="1:6" x14ac:dyDescent="0.2">
      <c r="A1725" s="275"/>
      <c r="B1725" s="78"/>
      <c r="C1725" s="189"/>
      <c r="D1725" s="185"/>
      <c r="E1725" s="229"/>
      <c r="F1725" s="230"/>
    </row>
    <row r="1726" spans="1:6" x14ac:dyDescent="0.2">
      <c r="A1726" s="275"/>
      <c r="B1726" s="78"/>
      <c r="C1726" s="189"/>
      <c r="D1726" s="185"/>
      <c r="E1726" s="229"/>
      <c r="F1726" s="230"/>
    </row>
    <row r="1727" spans="1:6" x14ac:dyDescent="0.2">
      <c r="A1727" s="275"/>
      <c r="B1727" s="78"/>
      <c r="C1727" s="189"/>
      <c r="D1727" s="185"/>
      <c r="E1727" s="229"/>
      <c r="F1727" s="230"/>
    </row>
    <row r="1728" spans="1:6" x14ac:dyDescent="0.2">
      <c r="A1728" s="275"/>
      <c r="B1728" s="78"/>
      <c r="C1728" s="189"/>
      <c r="D1728" s="185"/>
      <c r="E1728" s="229"/>
      <c r="F1728" s="230"/>
    </row>
    <row r="1729" spans="1:6" x14ac:dyDescent="0.2">
      <c r="A1729" s="275"/>
      <c r="B1729" s="78"/>
      <c r="C1729" s="189"/>
      <c r="D1729" s="185"/>
      <c r="E1729" s="229"/>
      <c r="F1729" s="230"/>
    </row>
    <row r="1730" spans="1:6" x14ac:dyDescent="0.2">
      <c r="A1730" s="275"/>
      <c r="B1730" s="78"/>
      <c r="C1730" s="189"/>
      <c r="D1730" s="185"/>
      <c r="E1730" s="229"/>
      <c r="F1730" s="230"/>
    </row>
    <row r="1731" spans="1:6" x14ac:dyDescent="0.2">
      <c r="A1731" s="275"/>
      <c r="B1731" s="78"/>
      <c r="C1731" s="189"/>
      <c r="D1731" s="185"/>
      <c r="E1731" s="229"/>
      <c r="F1731" s="230"/>
    </row>
    <row r="1732" spans="1:6" x14ac:dyDescent="0.2">
      <c r="A1732" s="275"/>
      <c r="B1732" s="78"/>
      <c r="C1732" s="189"/>
      <c r="D1732" s="185"/>
      <c r="E1732" s="229"/>
      <c r="F1732" s="230"/>
    </row>
    <row r="1733" spans="1:6" x14ac:dyDescent="0.2">
      <c r="A1733" s="275"/>
      <c r="B1733" s="78"/>
      <c r="C1733" s="189"/>
      <c r="D1733" s="185"/>
      <c r="E1733" s="229"/>
      <c r="F1733" s="230"/>
    </row>
    <row r="1734" spans="1:6" x14ac:dyDescent="0.2">
      <c r="A1734" s="275"/>
      <c r="B1734" s="78"/>
      <c r="C1734" s="189"/>
      <c r="D1734" s="185"/>
      <c r="E1734" s="229"/>
      <c r="F1734" s="230"/>
    </row>
    <row r="1735" spans="1:6" x14ac:dyDescent="0.2">
      <c r="A1735" s="275"/>
      <c r="B1735" s="78"/>
      <c r="C1735" s="189"/>
      <c r="D1735" s="185"/>
      <c r="E1735" s="229"/>
      <c r="F1735" s="230"/>
    </row>
    <row r="1736" spans="1:6" x14ac:dyDescent="0.2">
      <c r="A1736" s="275"/>
      <c r="B1736" s="78"/>
      <c r="C1736" s="189"/>
      <c r="D1736" s="185"/>
      <c r="E1736" s="229"/>
      <c r="F1736" s="230"/>
    </row>
    <row r="1737" spans="1:6" x14ac:dyDescent="0.2">
      <c r="A1737" s="275"/>
      <c r="B1737" s="78"/>
      <c r="C1737" s="189"/>
      <c r="D1737" s="185"/>
      <c r="E1737" s="229"/>
      <c r="F1737" s="230"/>
    </row>
    <row r="1738" spans="1:6" x14ac:dyDescent="0.2">
      <c r="A1738" s="275"/>
      <c r="B1738" s="78"/>
      <c r="C1738" s="189"/>
      <c r="D1738" s="185"/>
      <c r="E1738" s="229"/>
      <c r="F1738" s="230"/>
    </row>
    <row r="1739" spans="1:6" x14ac:dyDescent="0.2">
      <c r="A1739" s="275"/>
      <c r="B1739" s="78"/>
      <c r="C1739" s="189"/>
      <c r="D1739" s="185"/>
      <c r="E1739" s="229"/>
      <c r="F1739" s="230"/>
    </row>
    <row r="1740" spans="1:6" x14ac:dyDescent="0.2">
      <c r="A1740" s="275"/>
      <c r="B1740" s="78"/>
      <c r="C1740" s="189"/>
      <c r="D1740" s="185"/>
      <c r="E1740" s="229"/>
      <c r="F1740" s="230"/>
    </row>
    <row r="1741" spans="1:6" x14ac:dyDescent="0.2">
      <c r="A1741" s="275"/>
      <c r="B1741" s="78"/>
      <c r="C1741" s="189"/>
      <c r="D1741" s="185"/>
      <c r="E1741" s="229"/>
      <c r="F1741" s="230"/>
    </row>
    <row r="1742" spans="1:6" x14ac:dyDescent="0.2">
      <c r="A1742" s="275"/>
      <c r="B1742" s="78"/>
      <c r="C1742" s="189"/>
      <c r="D1742" s="185"/>
      <c r="E1742" s="229"/>
      <c r="F1742" s="230"/>
    </row>
    <row r="1743" spans="1:6" x14ac:dyDescent="0.2">
      <c r="A1743" s="275"/>
      <c r="B1743" s="78"/>
      <c r="C1743" s="189"/>
      <c r="D1743" s="185"/>
      <c r="E1743" s="229"/>
      <c r="F1743" s="230"/>
    </row>
    <row r="1744" spans="1:6" x14ac:dyDescent="0.2">
      <c r="A1744" s="275"/>
      <c r="B1744" s="78"/>
      <c r="C1744" s="189"/>
      <c r="D1744" s="185"/>
      <c r="E1744" s="229"/>
      <c r="F1744" s="230"/>
    </row>
    <row r="1745" spans="1:6" x14ac:dyDescent="0.2">
      <c r="A1745" s="275"/>
      <c r="B1745" s="78"/>
      <c r="C1745" s="189"/>
      <c r="D1745" s="185"/>
      <c r="E1745" s="229"/>
      <c r="F1745" s="230"/>
    </row>
    <row r="1746" spans="1:6" x14ac:dyDescent="0.2">
      <c r="A1746" s="275"/>
      <c r="B1746" s="78"/>
      <c r="C1746" s="189"/>
      <c r="D1746" s="185"/>
      <c r="E1746" s="229"/>
      <c r="F1746" s="230"/>
    </row>
    <row r="1747" spans="1:6" x14ac:dyDescent="0.2">
      <c r="A1747" s="275"/>
      <c r="B1747" s="78"/>
      <c r="C1747" s="189"/>
      <c r="D1747" s="185"/>
      <c r="E1747" s="229"/>
      <c r="F1747" s="230"/>
    </row>
    <row r="1748" spans="1:6" x14ac:dyDescent="0.2">
      <c r="A1748" s="275"/>
      <c r="B1748" s="78"/>
      <c r="C1748" s="189"/>
      <c r="D1748" s="185"/>
      <c r="E1748" s="229"/>
      <c r="F1748" s="230"/>
    </row>
    <row r="1749" spans="1:6" x14ac:dyDescent="0.2">
      <c r="A1749" s="275"/>
      <c r="B1749" s="78"/>
      <c r="C1749" s="189"/>
      <c r="D1749" s="185"/>
      <c r="E1749" s="229"/>
      <c r="F1749" s="230"/>
    </row>
    <row r="1750" spans="1:6" x14ac:dyDescent="0.2">
      <c r="A1750" s="275"/>
      <c r="B1750" s="78"/>
      <c r="C1750" s="189"/>
      <c r="D1750" s="185"/>
      <c r="E1750" s="229"/>
      <c r="F1750" s="230"/>
    </row>
    <row r="1751" spans="1:6" x14ac:dyDescent="0.2">
      <c r="A1751" s="275"/>
      <c r="B1751" s="78"/>
      <c r="C1751" s="189"/>
      <c r="D1751" s="185"/>
      <c r="E1751" s="229"/>
      <c r="F1751" s="230"/>
    </row>
    <row r="1752" spans="1:6" x14ac:dyDescent="0.2">
      <c r="A1752" s="275"/>
      <c r="B1752" s="78"/>
      <c r="C1752" s="189"/>
      <c r="D1752" s="185"/>
      <c r="E1752" s="229"/>
      <c r="F1752" s="230"/>
    </row>
    <row r="1753" spans="1:6" x14ac:dyDescent="0.2">
      <c r="A1753" s="275"/>
      <c r="B1753" s="78"/>
      <c r="C1753" s="189"/>
      <c r="D1753" s="185"/>
      <c r="E1753" s="229"/>
      <c r="F1753" s="230"/>
    </row>
    <row r="1754" spans="1:6" x14ac:dyDescent="0.2">
      <c r="A1754" s="275"/>
      <c r="B1754" s="78"/>
      <c r="C1754" s="189"/>
      <c r="D1754" s="185"/>
      <c r="E1754" s="229"/>
      <c r="F1754" s="230"/>
    </row>
    <row r="1755" spans="1:6" x14ac:dyDescent="0.2">
      <c r="A1755" s="275"/>
      <c r="B1755" s="78"/>
      <c r="C1755" s="189"/>
      <c r="D1755" s="185"/>
      <c r="E1755" s="229"/>
      <c r="F1755" s="230"/>
    </row>
    <row r="1756" spans="1:6" x14ac:dyDescent="0.2">
      <c r="A1756" s="275"/>
      <c r="B1756" s="78"/>
      <c r="C1756" s="189"/>
      <c r="D1756" s="185"/>
      <c r="E1756" s="229"/>
      <c r="F1756" s="230"/>
    </row>
    <row r="1757" spans="1:6" x14ac:dyDescent="0.2">
      <c r="A1757" s="275"/>
      <c r="B1757" s="78"/>
      <c r="C1757" s="189"/>
      <c r="D1757" s="185"/>
      <c r="E1757" s="229"/>
      <c r="F1757" s="230"/>
    </row>
    <row r="1758" spans="1:6" x14ac:dyDescent="0.2">
      <c r="A1758" s="275"/>
      <c r="B1758" s="78"/>
      <c r="C1758" s="189"/>
      <c r="D1758" s="185"/>
      <c r="E1758" s="229"/>
      <c r="F1758" s="230"/>
    </row>
    <row r="1759" spans="1:6" x14ac:dyDescent="0.2">
      <c r="A1759" s="275"/>
      <c r="B1759" s="78"/>
      <c r="C1759" s="189"/>
      <c r="D1759" s="185"/>
      <c r="E1759" s="229"/>
      <c r="F1759" s="230"/>
    </row>
    <row r="1760" spans="1:6" x14ac:dyDescent="0.2">
      <c r="A1760" s="275"/>
      <c r="B1760" s="78"/>
      <c r="C1760" s="189"/>
      <c r="D1760" s="185"/>
      <c r="E1760" s="229"/>
      <c r="F1760" s="230"/>
    </row>
    <row r="1761" spans="1:6" x14ac:dyDescent="0.2">
      <c r="A1761" s="275"/>
      <c r="B1761" s="78"/>
      <c r="C1761" s="189"/>
      <c r="D1761" s="185"/>
      <c r="E1761" s="229"/>
      <c r="F1761" s="230"/>
    </row>
    <row r="1762" spans="1:6" x14ac:dyDescent="0.2">
      <c r="A1762" s="275"/>
      <c r="B1762" s="78"/>
      <c r="C1762" s="189"/>
      <c r="D1762" s="185"/>
      <c r="E1762" s="229"/>
      <c r="F1762" s="230"/>
    </row>
    <row r="1763" spans="1:6" x14ac:dyDescent="0.2">
      <c r="A1763" s="275"/>
      <c r="B1763" s="78"/>
      <c r="C1763" s="189"/>
      <c r="D1763" s="185"/>
      <c r="E1763" s="229"/>
      <c r="F1763" s="230"/>
    </row>
    <row r="1764" spans="1:6" x14ac:dyDescent="0.2">
      <c r="A1764" s="275"/>
      <c r="B1764" s="78"/>
      <c r="C1764" s="189"/>
      <c r="D1764" s="185"/>
      <c r="E1764" s="229"/>
      <c r="F1764" s="230"/>
    </row>
    <row r="1765" spans="1:6" x14ac:dyDescent="0.2">
      <c r="A1765" s="275"/>
      <c r="B1765" s="78"/>
      <c r="C1765" s="189"/>
      <c r="D1765" s="185"/>
      <c r="E1765" s="229"/>
      <c r="F1765" s="230"/>
    </row>
    <row r="1766" spans="1:6" x14ac:dyDescent="0.2">
      <c r="A1766" s="275"/>
      <c r="B1766" s="78"/>
      <c r="C1766" s="189"/>
      <c r="D1766" s="185"/>
      <c r="E1766" s="229"/>
      <c r="F1766" s="230"/>
    </row>
    <row r="1767" spans="1:6" x14ac:dyDescent="0.2">
      <c r="A1767" s="275"/>
      <c r="B1767" s="78"/>
      <c r="C1767" s="189"/>
      <c r="D1767" s="185"/>
      <c r="E1767" s="229"/>
      <c r="F1767" s="230"/>
    </row>
    <row r="1768" spans="1:6" x14ac:dyDescent="0.2">
      <c r="A1768" s="275"/>
      <c r="B1768" s="78"/>
      <c r="C1768" s="189"/>
      <c r="D1768" s="185"/>
      <c r="E1768" s="229"/>
      <c r="F1768" s="230"/>
    </row>
    <row r="1769" spans="1:6" x14ac:dyDescent="0.2">
      <c r="A1769" s="275"/>
      <c r="B1769" s="78"/>
      <c r="C1769" s="189"/>
      <c r="D1769" s="185"/>
      <c r="E1769" s="229"/>
      <c r="F1769" s="230"/>
    </row>
    <row r="1770" spans="1:6" x14ac:dyDescent="0.2">
      <c r="A1770" s="275"/>
      <c r="B1770" s="78"/>
      <c r="C1770" s="189"/>
      <c r="D1770" s="185"/>
      <c r="E1770" s="229"/>
      <c r="F1770" s="230"/>
    </row>
    <row r="1771" spans="1:6" x14ac:dyDescent="0.2">
      <c r="A1771" s="275"/>
      <c r="B1771" s="78"/>
      <c r="C1771" s="189"/>
      <c r="D1771" s="185"/>
      <c r="E1771" s="229"/>
      <c r="F1771" s="230"/>
    </row>
    <row r="1772" spans="1:6" x14ac:dyDescent="0.2">
      <c r="A1772" s="275"/>
      <c r="B1772" s="78"/>
      <c r="C1772" s="189"/>
      <c r="D1772" s="185"/>
      <c r="E1772" s="229"/>
      <c r="F1772" s="230"/>
    </row>
    <row r="1773" spans="1:6" x14ac:dyDescent="0.2">
      <c r="A1773" s="275"/>
      <c r="B1773" s="78"/>
      <c r="C1773" s="189"/>
      <c r="D1773" s="185"/>
      <c r="E1773" s="229"/>
      <c r="F1773" s="230"/>
    </row>
    <row r="1774" spans="1:6" x14ac:dyDescent="0.2">
      <c r="A1774" s="275"/>
      <c r="B1774" s="78"/>
      <c r="C1774" s="189"/>
      <c r="D1774" s="185"/>
      <c r="E1774" s="229"/>
      <c r="F1774" s="230"/>
    </row>
    <row r="1775" spans="1:6" x14ac:dyDescent="0.2">
      <c r="A1775" s="275"/>
      <c r="B1775" s="78"/>
      <c r="C1775" s="189"/>
      <c r="D1775" s="185"/>
      <c r="E1775" s="229"/>
      <c r="F1775" s="230"/>
    </row>
    <row r="1776" spans="1:6" x14ac:dyDescent="0.2">
      <c r="A1776" s="275"/>
      <c r="B1776" s="78"/>
      <c r="C1776" s="189"/>
      <c r="D1776" s="185"/>
      <c r="E1776" s="229"/>
      <c r="F1776" s="230"/>
    </row>
    <row r="1777" spans="1:6" x14ac:dyDescent="0.2">
      <c r="A1777" s="275"/>
      <c r="B1777" s="78"/>
      <c r="C1777" s="189"/>
      <c r="D1777" s="185"/>
      <c r="E1777" s="229"/>
      <c r="F1777" s="230"/>
    </row>
    <row r="1778" spans="1:6" x14ac:dyDescent="0.2">
      <c r="A1778" s="275"/>
      <c r="B1778" s="78"/>
      <c r="C1778" s="189"/>
      <c r="D1778" s="185"/>
      <c r="E1778" s="229"/>
      <c r="F1778" s="230"/>
    </row>
    <row r="1779" spans="1:6" x14ac:dyDescent="0.2">
      <c r="A1779" s="275"/>
      <c r="B1779" s="78"/>
      <c r="C1779" s="189"/>
      <c r="D1779" s="185"/>
      <c r="E1779" s="229"/>
      <c r="F1779" s="230"/>
    </row>
    <row r="1780" spans="1:6" x14ac:dyDescent="0.2">
      <c r="A1780" s="275"/>
      <c r="B1780" s="78"/>
      <c r="C1780" s="189"/>
      <c r="D1780" s="185"/>
      <c r="E1780" s="229"/>
      <c r="F1780" s="230"/>
    </row>
    <row r="1781" spans="1:6" x14ac:dyDescent="0.2">
      <c r="A1781" s="275"/>
      <c r="B1781" s="78"/>
      <c r="C1781" s="189"/>
      <c r="D1781" s="185"/>
      <c r="E1781" s="229"/>
      <c r="F1781" s="230"/>
    </row>
    <row r="1782" spans="1:6" x14ac:dyDescent="0.2">
      <c r="A1782" s="275"/>
      <c r="B1782" s="78"/>
      <c r="C1782" s="189"/>
      <c r="D1782" s="185"/>
      <c r="E1782" s="229"/>
      <c r="F1782" s="230"/>
    </row>
    <row r="1783" spans="1:6" x14ac:dyDescent="0.2">
      <c r="A1783" s="275"/>
      <c r="B1783" s="78"/>
      <c r="C1783" s="189"/>
      <c r="D1783" s="185"/>
      <c r="E1783" s="229"/>
      <c r="F1783" s="230"/>
    </row>
    <row r="1784" spans="1:6" x14ac:dyDescent="0.2">
      <c r="A1784" s="275"/>
      <c r="B1784" s="78"/>
      <c r="C1784" s="189"/>
      <c r="D1784" s="185"/>
      <c r="E1784" s="229"/>
      <c r="F1784" s="230"/>
    </row>
    <row r="1785" spans="1:6" x14ac:dyDescent="0.2">
      <c r="A1785" s="275"/>
      <c r="B1785" s="78"/>
      <c r="C1785" s="189"/>
      <c r="D1785" s="185"/>
      <c r="E1785" s="229"/>
      <c r="F1785" s="230"/>
    </row>
    <row r="1786" spans="1:6" x14ac:dyDescent="0.2">
      <c r="A1786" s="275"/>
      <c r="B1786" s="78"/>
      <c r="C1786" s="189"/>
      <c r="D1786" s="185"/>
      <c r="E1786" s="229"/>
      <c r="F1786" s="230"/>
    </row>
    <row r="1787" spans="1:6" x14ac:dyDescent="0.2">
      <c r="A1787" s="275"/>
      <c r="B1787" s="78"/>
      <c r="C1787" s="189"/>
      <c r="D1787" s="185"/>
      <c r="E1787" s="229"/>
      <c r="F1787" s="230"/>
    </row>
    <row r="1788" spans="1:6" x14ac:dyDescent="0.2">
      <c r="A1788" s="275"/>
      <c r="B1788" s="78"/>
      <c r="C1788" s="189"/>
      <c r="D1788" s="185"/>
      <c r="E1788" s="229"/>
      <c r="F1788" s="230"/>
    </row>
    <row r="1789" spans="1:6" x14ac:dyDescent="0.2">
      <c r="A1789" s="275"/>
      <c r="B1789" s="78"/>
      <c r="C1789" s="189"/>
      <c r="D1789" s="185"/>
      <c r="E1789" s="229"/>
      <c r="F1789" s="230"/>
    </row>
    <row r="1790" spans="1:6" x14ac:dyDescent="0.2">
      <c r="A1790" s="275"/>
      <c r="B1790" s="78"/>
      <c r="C1790" s="189"/>
      <c r="D1790" s="185"/>
      <c r="E1790" s="229"/>
      <c r="F1790" s="230"/>
    </row>
    <row r="1791" spans="1:6" x14ac:dyDescent="0.2">
      <c r="A1791" s="275"/>
      <c r="B1791" s="78"/>
      <c r="C1791" s="189"/>
      <c r="D1791" s="185"/>
      <c r="E1791" s="229"/>
      <c r="F1791" s="230"/>
    </row>
    <row r="1792" spans="1:6" x14ac:dyDescent="0.2">
      <c r="A1792" s="275"/>
      <c r="B1792" s="78"/>
      <c r="C1792" s="189"/>
      <c r="D1792" s="185"/>
      <c r="E1792" s="229"/>
      <c r="F1792" s="230"/>
    </row>
    <row r="1793" spans="1:6" x14ac:dyDescent="0.2">
      <c r="A1793" s="275"/>
      <c r="B1793" s="78"/>
      <c r="C1793" s="189"/>
      <c r="D1793" s="185"/>
      <c r="E1793" s="229"/>
      <c r="F1793" s="230"/>
    </row>
    <row r="1794" spans="1:6" x14ac:dyDescent="0.2">
      <c r="A1794" s="275"/>
      <c r="B1794" s="78"/>
      <c r="C1794" s="189"/>
      <c r="D1794" s="185"/>
      <c r="E1794" s="229"/>
      <c r="F1794" s="230"/>
    </row>
    <row r="1795" spans="1:6" x14ac:dyDescent="0.2">
      <c r="A1795" s="275"/>
      <c r="B1795" s="78"/>
      <c r="C1795" s="189"/>
      <c r="D1795" s="185"/>
      <c r="E1795" s="229"/>
      <c r="F1795" s="230"/>
    </row>
    <row r="1796" spans="1:6" x14ac:dyDescent="0.2">
      <c r="A1796" s="275"/>
      <c r="B1796" s="78"/>
      <c r="C1796" s="189"/>
      <c r="D1796" s="185"/>
      <c r="E1796" s="229"/>
      <c r="F1796" s="230"/>
    </row>
    <row r="1797" spans="1:6" x14ac:dyDescent="0.2">
      <c r="A1797" s="275"/>
      <c r="B1797" s="78"/>
      <c r="C1797" s="189"/>
      <c r="D1797" s="185"/>
      <c r="E1797" s="229"/>
      <c r="F1797" s="230"/>
    </row>
    <row r="1798" spans="1:6" x14ac:dyDescent="0.2">
      <c r="A1798" s="275"/>
      <c r="B1798" s="78"/>
      <c r="C1798" s="189"/>
      <c r="D1798" s="185"/>
      <c r="E1798" s="229"/>
      <c r="F1798" s="230"/>
    </row>
    <row r="1799" spans="1:6" x14ac:dyDescent="0.2">
      <c r="A1799" s="275"/>
      <c r="B1799" s="78"/>
      <c r="C1799" s="189"/>
      <c r="D1799" s="185"/>
      <c r="E1799" s="229"/>
      <c r="F1799" s="230"/>
    </row>
    <row r="1800" spans="1:6" x14ac:dyDescent="0.2">
      <c r="A1800" s="275"/>
      <c r="B1800" s="78"/>
      <c r="C1800" s="189"/>
      <c r="D1800" s="185"/>
      <c r="E1800" s="229"/>
      <c r="F1800" s="230"/>
    </row>
    <row r="1801" spans="1:6" x14ac:dyDescent="0.2">
      <c r="A1801" s="275"/>
      <c r="B1801" s="78"/>
      <c r="C1801" s="189"/>
      <c r="D1801" s="185"/>
      <c r="E1801" s="229"/>
      <c r="F1801" s="230"/>
    </row>
    <row r="1802" spans="1:6" x14ac:dyDescent="0.2">
      <c r="A1802" s="275"/>
      <c r="B1802" s="78"/>
      <c r="C1802" s="189"/>
      <c r="D1802" s="185"/>
      <c r="E1802" s="229"/>
      <c r="F1802" s="230"/>
    </row>
    <row r="1803" spans="1:6" x14ac:dyDescent="0.2">
      <c r="A1803" s="275"/>
      <c r="B1803" s="78"/>
      <c r="C1803" s="189"/>
      <c r="D1803" s="185"/>
      <c r="E1803" s="229"/>
      <c r="F1803" s="230"/>
    </row>
    <row r="1804" spans="1:6" x14ac:dyDescent="0.2">
      <c r="A1804" s="275"/>
      <c r="B1804" s="78"/>
      <c r="C1804" s="189"/>
      <c r="D1804" s="185"/>
      <c r="E1804" s="229"/>
      <c r="F1804" s="230"/>
    </row>
    <row r="1805" spans="1:6" x14ac:dyDescent="0.2">
      <c r="A1805" s="275"/>
      <c r="B1805" s="78"/>
      <c r="C1805" s="189"/>
      <c r="D1805" s="185"/>
      <c r="E1805" s="229"/>
      <c r="F1805" s="230"/>
    </row>
    <row r="1806" spans="1:6" x14ac:dyDescent="0.2">
      <c r="A1806" s="275"/>
      <c r="B1806" s="78"/>
      <c r="C1806" s="189"/>
      <c r="D1806" s="185"/>
      <c r="E1806" s="229"/>
      <c r="F1806" s="230"/>
    </row>
    <row r="1807" spans="1:6" x14ac:dyDescent="0.2">
      <c r="A1807" s="275"/>
      <c r="B1807" s="78"/>
      <c r="C1807" s="189"/>
      <c r="D1807" s="185"/>
      <c r="E1807" s="229"/>
      <c r="F1807" s="230"/>
    </row>
    <row r="1808" spans="1:6" x14ac:dyDescent="0.2">
      <c r="A1808" s="275"/>
      <c r="B1808" s="78"/>
      <c r="C1808" s="189"/>
      <c r="D1808" s="185"/>
      <c r="E1808" s="229"/>
      <c r="F1808" s="230"/>
    </row>
    <row r="1809" spans="1:6" x14ac:dyDescent="0.2">
      <c r="A1809" s="275"/>
      <c r="B1809" s="78"/>
      <c r="C1809" s="189"/>
      <c r="D1809" s="185"/>
      <c r="E1809" s="229"/>
      <c r="F1809" s="230"/>
    </row>
    <row r="1810" spans="1:6" x14ac:dyDescent="0.2">
      <c r="A1810" s="275"/>
      <c r="B1810" s="78"/>
      <c r="C1810" s="189"/>
      <c r="D1810" s="185"/>
      <c r="E1810" s="229"/>
      <c r="F1810" s="230"/>
    </row>
    <row r="1811" spans="1:6" x14ac:dyDescent="0.2">
      <c r="A1811" s="275"/>
      <c r="B1811" s="78"/>
      <c r="C1811" s="189"/>
      <c r="D1811" s="185"/>
      <c r="E1811" s="229"/>
      <c r="F1811" s="230"/>
    </row>
    <row r="1812" spans="1:6" x14ac:dyDescent="0.2">
      <c r="A1812" s="275"/>
      <c r="B1812" s="78"/>
      <c r="C1812" s="189"/>
      <c r="D1812" s="185"/>
      <c r="E1812" s="229"/>
      <c r="F1812" s="230"/>
    </row>
    <row r="1813" spans="1:6" x14ac:dyDescent="0.2">
      <c r="A1813" s="275"/>
      <c r="B1813" s="78"/>
      <c r="C1813" s="189"/>
      <c r="D1813" s="185"/>
      <c r="E1813" s="229"/>
      <c r="F1813" s="230"/>
    </row>
    <row r="1814" spans="1:6" x14ac:dyDescent="0.2">
      <c r="A1814" s="275"/>
      <c r="B1814" s="78"/>
      <c r="C1814" s="189"/>
      <c r="D1814" s="185"/>
      <c r="E1814" s="229"/>
      <c r="F1814" s="230"/>
    </row>
    <row r="1815" spans="1:6" x14ac:dyDescent="0.2">
      <c r="A1815" s="275"/>
      <c r="B1815" s="78"/>
      <c r="C1815" s="189"/>
      <c r="D1815" s="185"/>
      <c r="E1815" s="229"/>
      <c r="F1815" s="230"/>
    </row>
    <row r="1816" spans="1:6" x14ac:dyDescent="0.2">
      <c r="A1816" s="275"/>
      <c r="B1816" s="78"/>
      <c r="C1816" s="189"/>
      <c r="D1816" s="185"/>
      <c r="E1816" s="229"/>
      <c r="F1816" s="230"/>
    </row>
    <row r="1817" spans="1:6" x14ac:dyDescent="0.2">
      <c r="A1817" s="275"/>
      <c r="B1817" s="78"/>
      <c r="C1817" s="189"/>
      <c r="D1817" s="185"/>
      <c r="E1817" s="229"/>
      <c r="F1817" s="230"/>
    </row>
    <row r="1818" spans="1:6" x14ac:dyDescent="0.2">
      <c r="A1818" s="275"/>
      <c r="B1818" s="78"/>
      <c r="C1818" s="189"/>
      <c r="D1818" s="185"/>
      <c r="E1818" s="229"/>
      <c r="F1818" s="230"/>
    </row>
    <row r="1819" spans="1:6" x14ac:dyDescent="0.2">
      <c r="A1819" s="275"/>
      <c r="B1819" s="78"/>
      <c r="C1819" s="189"/>
      <c r="D1819" s="185"/>
      <c r="E1819" s="229"/>
      <c r="F1819" s="230"/>
    </row>
    <row r="1820" spans="1:6" x14ac:dyDescent="0.2">
      <c r="A1820" s="275"/>
      <c r="B1820" s="78"/>
      <c r="C1820" s="189"/>
      <c r="D1820" s="185"/>
      <c r="E1820" s="229"/>
      <c r="F1820" s="230"/>
    </row>
    <row r="1821" spans="1:6" x14ac:dyDescent="0.2">
      <c r="A1821" s="275"/>
      <c r="B1821" s="78"/>
      <c r="C1821" s="189"/>
      <c r="D1821" s="185"/>
      <c r="E1821" s="229"/>
      <c r="F1821" s="230"/>
    </row>
    <row r="1822" spans="1:6" x14ac:dyDescent="0.2">
      <c r="A1822" s="275"/>
      <c r="B1822" s="78"/>
      <c r="C1822" s="189"/>
      <c r="D1822" s="185"/>
      <c r="E1822" s="229"/>
      <c r="F1822" s="230"/>
    </row>
    <row r="1823" spans="1:6" x14ac:dyDescent="0.2">
      <c r="A1823" s="275"/>
      <c r="B1823" s="78"/>
      <c r="C1823" s="189"/>
      <c r="D1823" s="185"/>
      <c r="E1823" s="229"/>
      <c r="F1823" s="230"/>
    </row>
    <row r="1824" spans="1:6" x14ac:dyDescent="0.2">
      <c r="A1824" s="275"/>
      <c r="B1824" s="78"/>
      <c r="C1824" s="189"/>
      <c r="D1824" s="185"/>
      <c r="E1824" s="229"/>
      <c r="F1824" s="230"/>
    </row>
    <row r="1825" spans="1:6" x14ac:dyDescent="0.2">
      <c r="A1825" s="275"/>
      <c r="B1825" s="78"/>
      <c r="C1825" s="189"/>
      <c r="D1825" s="185"/>
      <c r="E1825" s="229"/>
      <c r="F1825" s="230"/>
    </row>
    <row r="1826" spans="1:6" x14ac:dyDescent="0.2">
      <c r="A1826" s="275"/>
      <c r="B1826" s="78"/>
      <c r="C1826" s="189"/>
      <c r="D1826" s="185"/>
      <c r="E1826" s="229"/>
      <c r="F1826" s="230"/>
    </row>
    <row r="1827" spans="1:6" x14ac:dyDescent="0.2">
      <c r="A1827" s="275"/>
      <c r="B1827" s="78"/>
      <c r="C1827" s="189"/>
      <c r="D1827" s="185"/>
      <c r="E1827" s="229"/>
      <c r="F1827" s="230"/>
    </row>
    <row r="1828" spans="1:6" x14ac:dyDescent="0.2">
      <c r="A1828" s="275"/>
      <c r="B1828" s="78"/>
      <c r="C1828" s="189"/>
      <c r="D1828" s="185"/>
      <c r="E1828" s="229"/>
      <c r="F1828" s="230"/>
    </row>
    <row r="1829" spans="1:6" x14ac:dyDescent="0.2">
      <c r="A1829" s="275"/>
      <c r="B1829" s="78"/>
      <c r="C1829" s="189"/>
      <c r="D1829" s="185"/>
      <c r="E1829" s="229"/>
      <c r="F1829" s="230"/>
    </row>
    <row r="1830" spans="1:6" x14ac:dyDescent="0.2">
      <c r="A1830" s="275"/>
      <c r="B1830" s="78"/>
      <c r="C1830" s="189"/>
      <c r="D1830" s="185"/>
      <c r="E1830" s="229"/>
      <c r="F1830" s="230"/>
    </row>
    <row r="1831" spans="1:6" x14ac:dyDescent="0.2">
      <c r="A1831" s="275"/>
      <c r="B1831" s="78"/>
      <c r="C1831" s="189"/>
      <c r="D1831" s="185"/>
      <c r="E1831" s="229"/>
      <c r="F1831" s="230"/>
    </row>
    <row r="1832" spans="1:6" x14ac:dyDescent="0.2">
      <c r="A1832" s="275"/>
      <c r="B1832" s="78"/>
      <c r="C1832" s="189"/>
      <c r="D1832" s="185"/>
      <c r="E1832" s="229"/>
      <c r="F1832" s="230"/>
    </row>
    <row r="1833" spans="1:6" x14ac:dyDescent="0.2">
      <c r="A1833" s="275"/>
      <c r="B1833" s="78"/>
      <c r="C1833" s="189"/>
      <c r="D1833" s="185"/>
      <c r="E1833" s="229"/>
      <c r="F1833" s="230"/>
    </row>
    <row r="1834" spans="1:6" x14ac:dyDescent="0.2">
      <c r="A1834" s="275"/>
      <c r="B1834" s="78"/>
      <c r="C1834" s="189"/>
      <c r="D1834" s="185"/>
      <c r="E1834" s="229"/>
      <c r="F1834" s="230"/>
    </row>
    <row r="1835" spans="1:6" x14ac:dyDescent="0.2">
      <c r="A1835" s="275"/>
      <c r="B1835" s="78"/>
      <c r="C1835" s="189"/>
      <c r="D1835" s="185"/>
      <c r="E1835" s="229"/>
      <c r="F1835" s="230"/>
    </row>
    <row r="1836" spans="1:6" x14ac:dyDescent="0.2">
      <c r="A1836" s="275"/>
      <c r="B1836" s="78"/>
      <c r="C1836" s="189"/>
      <c r="D1836" s="185"/>
      <c r="E1836" s="229"/>
      <c r="F1836" s="230"/>
    </row>
    <row r="1837" spans="1:6" x14ac:dyDescent="0.2">
      <c r="A1837" s="275"/>
      <c r="B1837" s="78"/>
      <c r="C1837" s="189"/>
      <c r="D1837" s="185"/>
      <c r="E1837" s="229"/>
      <c r="F1837" s="230"/>
    </row>
    <row r="1838" spans="1:6" x14ac:dyDescent="0.2">
      <c r="A1838" s="275"/>
      <c r="B1838" s="78"/>
      <c r="C1838" s="189"/>
      <c r="D1838" s="185"/>
      <c r="E1838" s="229"/>
      <c r="F1838" s="230"/>
    </row>
    <row r="1839" spans="1:6" x14ac:dyDescent="0.2">
      <c r="A1839" s="275"/>
      <c r="B1839" s="78"/>
      <c r="C1839" s="189"/>
      <c r="D1839" s="185"/>
      <c r="E1839" s="229"/>
      <c r="F1839" s="230"/>
    </row>
    <row r="1840" spans="1:6" x14ac:dyDescent="0.2">
      <c r="A1840" s="275"/>
      <c r="B1840" s="78"/>
      <c r="C1840" s="189"/>
      <c r="D1840" s="185"/>
      <c r="E1840" s="229"/>
      <c r="F1840" s="230"/>
    </row>
    <row r="1841" spans="1:6" x14ac:dyDescent="0.2">
      <c r="A1841" s="275"/>
      <c r="B1841" s="78"/>
      <c r="C1841" s="189"/>
      <c r="D1841" s="185"/>
      <c r="E1841" s="229"/>
      <c r="F1841" s="230"/>
    </row>
    <row r="1842" spans="1:6" x14ac:dyDescent="0.2">
      <c r="A1842" s="275"/>
      <c r="B1842" s="78"/>
      <c r="C1842" s="189"/>
      <c r="D1842" s="185"/>
      <c r="E1842" s="229"/>
      <c r="F1842" s="230"/>
    </row>
    <row r="1843" spans="1:6" x14ac:dyDescent="0.2">
      <c r="A1843" s="275"/>
      <c r="B1843" s="78"/>
      <c r="C1843" s="189"/>
      <c r="D1843" s="185"/>
      <c r="E1843" s="229"/>
      <c r="F1843" s="230"/>
    </row>
    <row r="1844" spans="1:6" x14ac:dyDescent="0.2">
      <c r="A1844" s="275"/>
      <c r="B1844" s="78"/>
      <c r="C1844" s="189"/>
      <c r="D1844" s="185"/>
      <c r="E1844" s="229"/>
      <c r="F1844" s="230"/>
    </row>
    <row r="1845" spans="1:6" x14ac:dyDescent="0.2">
      <c r="A1845" s="275"/>
      <c r="B1845" s="78"/>
      <c r="C1845" s="189"/>
      <c r="D1845" s="185"/>
      <c r="E1845" s="229"/>
      <c r="F1845" s="230"/>
    </row>
    <row r="1846" spans="1:6" x14ac:dyDescent="0.2">
      <c r="A1846" s="275"/>
      <c r="B1846" s="78"/>
      <c r="C1846" s="189"/>
      <c r="D1846" s="185"/>
      <c r="E1846" s="229"/>
      <c r="F1846" s="230"/>
    </row>
    <row r="1847" spans="1:6" x14ac:dyDescent="0.2">
      <c r="A1847" s="275"/>
      <c r="B1847" s="78"/>
      <c r="C1847" s="189"/>
      <c r="D1847" s="185"/>
      <c r="E1847" s="229"/>
      <c r="F1847" s="230"/>
    </row>
    <row r="1848" spans="1:6" x14ac:dyDescent="0.2">
      <c r="A1848" s="275"/>
      <c r="B1848" s="78"/>
      <c r="C1848" s="189"/>
      <c r="D1848" s="185"/>
      <c r="E1848" s="229"/>
      <c r="F1848" s="230"/>
    </row>
    <row r="1849" spans="1:6" x14ac:dyDescent="0.2">
      <c r="A1849" s="275"/>
      <c r="B1849" s="78"/>
      <c r="C1849" s="189"/>
      <c r="D1849" s="185"/>
      <c r="E1849" s="229"/>
      <c r="F1849" s="230"/>
    </row>
    <row r="1850" spans="1:6" x14ac:dyDescent="0.2">
      <c r="A1850" s="275"/>
      <c r="B1850" s="78"/>
      <c r="C1850" s="189"/>
      <c r="D1850" s="185"/>
      <c r="E1850" s="229"/>
      <c r="F1850" s="230"/>
    </row>
    <row r="1851" spans="1:6" x14ac:dyDescent="0.2">
      <c r="A1851" s="275"/>
      <c r="B1851" s="78"/>
      <c r="C1851" s="189"/>
      <c r="D1851" s="185"/>
      <c r="E1851" s="229"/>
      <c r="F1851" s="230"/>
    </row>
    <row r="1852" spans="1:6" x14ac:dyDescent="0.2">
      <c r="A1852" s="275"/>
      <c r="B1852" s="78"/>
      <c r="C1852" s="189"/>
      <c r="D1852" s="185"/>
      <c r="E1852" s="229"/>
      <c r="F1852" s="230"/>
    </row>
    <row r="1853" spans="1:6" x14ac:dyDescent="0.2">
      <c r="A1853" s="275"/>
      <c r="B1853" s="78"/>
      <c r="C1853" s="189"/>
      <c r="D1853" s="185"/>
      <c r="E1853" s="229"/>
      <c r="F1853" s="230"/>
    </row>
    <row r="1854" spans="1:6" x14ac:dyDescent="0.2">
      <c r="A1854" s="275"/>
      <c r="B1854" s="78"/>
      <c r="C1854" s="189"/>
      <c r="D1854" s="185"/>
      <c r="E1854" s="229"/>
      <c r="F1854" s="230"/>
    </row>
    <row r="1855" spans="1:6" x14ac:dyDescent="0.2">
      <c r="A1855" s="275"/>
      <c r="B1855" s="78"/>
      <c r="C1855" s="189"/>
      <c r="D1855" s="185"/>
      <c r="E1855" s="229"/>
      <c r="F1855" s="230"/>
    </row>
    <row r="1856" spans="1:6" x14ac:dyDescent="0.2">
      <c r="A1856" s="275"/>
      <c r="B1856" s="78"/>
      <c r="C1856" s="189"/>
      <c r="D1856" s="185"/>
      <c r="E1856" s="229"/>
      <c r="F1856" s="230"/>
    </row>
    <row r="1857" spans="1:6" x14ac:dyDescent="0.2">
      <c r="A1857" s="275"/>
      <c r="B1857" s="78"/>
      <c r="C1857" s="189"/>
      <c r="D1857" s="185"/>
      <c r="E1857" s="229"/>
      <c r="F1857" s="230"/>
    </row>
    <row r="1858" spans="1:6" x14ac:dyDescent="0.2">
      <c r="A1858" s="275"/>
      <c r="B1858" s="78"/>
      <c r="C1858" s="189"/>
      <c r="D1858" s="185"/>
      <c r="E1858" s="229"/>
      <c r="F1858" s="230"/>
    </row>
    <row r="1859" spans="1:6" x14ac:dyDescent="0.2">
      <c r="A1859" s="275"/>
      <c r="B1859" s="78"/>
      <c r="C1859" s="189"/>
      <c r="D1859" s="185"/>
      <c r="E1859" s="229"/>
      <c r="F1859" s="230"/>
    </row>
    <row r="1860" spans="1:6" x14ac:dyDescent="0.2">
      <c r="A1860" s="275"/>
      <c r="B1860" s="78"/>
      <c r="C1860" s="189"/>
      <c r="D1860" s="185"/>
      <c r="E1860" s="229"/>
      <c r="F1860" s="230"/>
    </row>
    <row r="1861" spans="1:6" x14ac:dyDescent="0.2">
      <c r="A1861" s="275"/>
      <c r="B1861" s="78"/>
      <c r="C1861" s="189"/>
      <c r="D1861" s="185"/>
      <c r="E1861" s="229"/>
      <c r="F1861" s="230"/>
    </row>
    <row r="1862" spans="1:6" x14ac:dyDescent="0.2">
      <c r="A1862" s="275"/>
      <c r="B1862" s="78"/>
      <c r="C1862" s="189"/>
      <c r="D1862" s="185"/>
      <c r="E1862" s="229"/>
      <c r="F1862" s="230"/>
    </row>
    <row r="1863" spans="1:6" x14ac:dyDescent="0.2">
      <c r="A1863" s="275"/>
      <c r="B1863" s="78"/>
      <c r="C1863" s="189"/>
      <c r="D1863" s="185"/>
      <c r="E1863" s="229"/>
      <c r="F1863" s="230"/>
    </row>
    <row r="1864" spans="1:6" x14ac:dyDescent="0.2">
      <c r="A1864" s="275"/>
      <c r="B1864" s="78"/>
      <c r="C1864" s="189"/>
      <c r="D1864" s="185"/>
      <c r="E1864" s="229"/>
      <c r="F1864" s="230"/>
    </row>
    <row r="1865" spans="1:6" x14ac:dyDescent="0.2">
      <c r="A1865" s="275"/>
      <c r="B1865" s="78"/>
      <c r="C1865" s="189"/>
      <c r="D1865" s="185"/>
      <c r="E1865" s="229"/>
      <c r="F1865" s="230"/>
    </row>
    <row r="1866" spans="1:6" x14ac:dyDescent="0.2">
      <c r="A1866" s="275"/>
      <c r="B1866" s="78"/>
      <c r="C1866" s="189"/>
      <c r="D1866" s="185"/>
      <c r="E1866" s="229"/>
      <c r="F1866" s="230"/>
    </row>
    <row r="1867" spans="1:6" x14ac:dyDescent="0.2">
      <c r="A1867" s="275"/>
      <c r="B1867" s="78"/>
      <c r="C1867" s="189"/>
      <c r="D1867" s="185"/>
      <c r="E1867" s="229"/>
      <c r="F1867" s="230"/>
    </row>
    <row r="1868" spans="1:6" x14ac:dyDescent="0.2">
      <c r="A1868" s="275"/>
      <c r="B1868" s="78"/>
      <c r="C1868" s="189"/>
      <c r="D1868" s="185"/>
      <c r="E1868" s="229"/>
      <c r="F1868" s="230"/>
    </row>
    <row r="1869" spans="1:6" x14ac:dyDescent="0.2">
      <c r="A1869" s="275"/>
      <c r="B1869" s="78"/>
      <c r="C1869" s="189"/>
      <c r="D1869" s="185"/>
      <c r="E1869" s="229"/>
      <c r="F1869" s="230"/>
    </row>
    <row r="1870" spans="1:6" x14ac:dyDescent="0.2">
      <c r="A1870" s="275"/>
      <c r="B1870" s="78"/>
      <c r="C1870" s="189"/>
      <c r="D1870" s="185"/>
      <c r="E1870" s="229"/>
      <c r="F1870" s="230"/>
    </row>
    <row r="1871" spans="1:6" x14ac:dyDescent="0.2">
      <c r="A1871" s="275"/>
      <c r="B1871" s="78"/>
      <c r="C1871" s="189"/>
      <c r="D1871" s="185"/>
      <c r="E1871" s="229"/>
      <c r="F1871" s="230"/>
    </row>
    <row r="1872" spans="1:6" x14ac:dyDescent="0.2">
      <c r="A1872" s="275"/>
      <c r="B1872" s="78"/>
      <c r="C1872" s="189"/>
      <c r="D1872" s="185"/>
      <c r="E1872" s="229"/>
      <c r="F1872" s="230"/>
    </row>
    <row r="1873" spans="1:6" x14ac:dyDescent="0.2">
      <c r="A1873" s="275"/>
      <c r="B1873" s="78"/>
      <c r="C1873" s="189"/>
      <c r="D1873" s="185"/>
      <c r="E1873" s="229"/>
      <c r="F1873" s="230"/>
    </row>
    <row r="1874" spans="1:6" x14ac:dyDescent="0.2">
      <c r="A1874" s="275"/>
      <c r="B1874" s="78"/>
      <c r="C1874" s="189"/>
      <c r="D1874" s="185"/>
      <c r="E1874" s="229"/>
      <c r="F1874" s="230"/>
    </row>
    <row r="1875" spans="1:6" x14ac:dyDescent="0.2">
      <c r="A1875" s="275"/>
      <c r="B1875" s="78"/>
      <c r="C1875" s="189"/>
      <c r="D1875" s="185"/>
      <c r="E1875" s="229"/>
      <c r="F1875" s="230"/>
    </row>
    <row r="1876" spans="1:6" x14ac:dyDescent="0.2">
      <c r="A1876" s="275"/>
      <c r="B1876" s="78"/>
      <c r="C1876" s="189"/>
      <c r="D1876" s="185"/>
      <c r="E1876" s="229"/>
      <c r="F1876" s="230"/>
    </row>
    <row r="1877" spans="1:6" x14ac:dyDescent="0.2">
      <c r="A1877" s="275"/>
      <c r="B1877" s="78"/>
      <c r="C1877" s="189"/>
      <c r="D1877" s="185"/>
      <c r="E1877" s="229"/>
      <c r="F1877" s="230"/>
    </row>
    <row r="1878" spans="1:6" x14ac:dyDescent="0.2">
      <c r="A1878" s="275"/>
      <c r="B1878" s="78"/>
      <c r="C1878" s="189"/>
      <c r="D1878" s="185"/>
      <c r="E1878" s="229"/>
      <c r="F1878" s="230"/>
    </row>
    <row r="1879" spans="1:6" x14ac:dyDescent="0.2">
      <c r="A1879" s="275"/>
      <c r="B1879" s="78"/>
      <c r="C1879" s="189"/>
      <c r="D1879" s="185"/>
      <c r="E1879" s="229"/>
      <c r="F1879" s="230"/>
    </row>
    <row r="1880" spans="1:6" x14ac:dyDescent="0.2">
      <c r="A1880" s="275"/>
      <c r="B1880" s="78"/>
      <c r="C1880" s="189"/>
      <c r="D1880" s="185"/>
      <c r="E1880" s="229"/>
      <c r="F1880" s="230"/>
    </row>
    <row r="1881" spans="1:6" x14ac:dyDescent="0.2">
      <c r="A1881" s="275"/>
      <c r="B1881" s="78"/>
      <c r="C1881" s="189"/>
      <c r="D1881" s="185"/>
      <c r="E1881" s="229"/>
      <c r="F1881" s="230"/>
    </row>
    <row r="1882" spans="1:6" x14ac:dyDescent="0.2">
      <c r="A1882" s="275"/>
      <c r="B1882" s="78"/>
      <c r="C1882" s="189"/>
      <c r="D1882" s="185"/>
      <c r="E1882" s="229"/>
      <c r="F1882" s="230"/>
    </row>
    <row r="1883" spans="1:6" x14ac:dyDescent="0.2">
      <c r="A1883" s="275"/>
      <c r="B1883" s="78"/>
      <c r="C1883" s="189"/>
      <c r="D1883" s="185"/>
      <c r="E1883" s="229"/>
      <c r="F1883" s="230"/>
    </row>
    <row r="1884" spans="1:6" x14ac:dyDescent="0.2">
      <c r="A1884" s="275"/>
      <c r="B1884" s="78"/>
      <c r="C1884" s="189"/>
      <c r="D1884" s="185"/>
      <c r="E1884" s="229"/>
      <c r="F1884" s="230"/>
    </row>
    <row r="1885" spans="1:6" x14ac:dyDescent="0.2">
      <c r="A1885" s="275"/>
      <c r="B1885" s="78"/>
      <c r="C1885" s="189"/>
      <c r="D1885" s="185"/>
      <c r="E1885" s="229"/>
      <c r="F1885" s="230"/>
    </row>
    <row r="1886" spans="1:6" x14ac:dyDescent="0.2">
      <c r="A1886" s="275"/>
      <c r="B1886" s="78"/>
      <c r="C1886" s="189"/>
      <c r="D1886" s="185"/>
      <c r="E1886" s="229"/>
      <c r="F1886" s="230"/>
    </row>
    <row r="1887" spans="1:6" x14ac:dyDescent="0.2">
      <c r="A1887" s="275"/>
      <c r="B1887" s="78"/>
      <c r="C1887" s="189"/>
      <c r="D1887" s="185"/>
      <c r="E1887" s="229"/>
      <c r="F1887" s="230"/>
    </row>
    <row r="1888" spans="1:6" x14ac:dyDescent="0.2">
      <c r="A1888" s="275"/>
      <c r="B1888" s="78"/>
      <c r="C1888" s="189"/>
      <c r="D1888" s="185"/>
      <c r="E1888" s="229"/>
      <c r="F1888" s="230"/>
    </row>
    <row r="1889" spans="1:6" x14ac:dyDescent="0.2">
      <c r="A1889" s="275"/>
      <c r="B1889" s="78"/>
      <c r="C1889" s="189"/>
      <c r="D1889" s="185"/>
      <c r="E1889" s="229"/>
      <c r="F1889" s="230"/>
    </row>
    <row r="1890" spans="1:6" x14ac:dyDescent="0.2">
      <c r="A1890" s="275"/>
      <c r="B1890" s="78"/>
      <c r="C1890" s="189"/>
      <c r="D1890" s="185"/>
      <c r="E1890" s="229"/>
      <c r="F1890" s="230"/>
    </row>
    <row r="1891" spans="1:6" x14ac:dyDescent="0.2">
      <c r="A1891" s="275"/>
      <c r="B1891" s="78"/>
      <c r="C1891" s="189"/>
      <c r="D1891" s="185"/>
      <c r="E1891" s="229"/>
      <c r="F1891" s="230"/>
    </row>
    <row r="1892" spans="1:6" x14ac:dyDescent="0.2">
      <c r="A1892" s="275"/>
      <c r="B1892" s="78"/>
      <c r="C1892" s="189"/>
      <c r="D1892" s="185"/>
      <c r="E1892" s="229"/>
      <c r="F1892" s="230"/>
    </row>
    <row r="1893" spans="1:6" x14ac:dyDescent="0.2">
      <c r="A1893" s="275"/>
      <c r="B1893" s="78"/>
      <c r="C1893" s="189"/>
      <c r="D1893" s="185"/>
      <c r="E1893" s="229"/>
      <c r="F1893" s="230"/>
    </row>
    <row r="1894" spans="1:6" x14ac:dyDescent="0.2">
      <c r="A1894" s="275"/>
      <c r="B1894" s="78"/>
      <c r="C1894" s="189"/>
      <c r="D1894" s="185"/>
      <c r="E1894" s="229"/>
      <c r="F1894" s="230"/>
    </row>
    <row r="1895" spans="1:6" x14ac:dyDescent="0.2">
      <c r="A1895" s="275"/>
      <c r="B1895" s="78"/>
      <c r="C1895" s="189"/>
      <c r="D1895" s="185"/>
      <c r="E1895" s="229"/>
      <c r="F1895" s="230"/>
    </row>
    <row r="1896" spans="1:6" x14ac:dyDescent="0.2">
      <c r="A1896" s="275"/>
      <c r="B1896" s="78"/>
      <c r="C1896" s="189"/>
      <c r="D1896" s="185"/>
      <c r="E1896" s="229"/>
      <c r="F1896" s="230"/>
    </row>
    <row r="1897" spans="1:6" x14ac:dyDescent="0.2">
      <c r="A1897" s="275"/>
      <c r="B1897" s="78"/>
      <c r="C1897" s="189"/>
      <c r="D1897" s="185"/>
      <c r="E1897" s="229"/>
      <c r="F1897" s="230"/>
    </row>
    <row r="1898" spans="1:6" x14ac:dyDescent="0.2">
      <c r="A1898" s="275"/>
      <c r="B1898" s="78"/>
      <c r="C1898" s="189"/>
      <c r="D1898" s="185"/>
      <c r="E1898" s="229"/>
      <c r="F1898" s="230"/>
    </row>
    <row r="1899" spans="1:6" x14ac:dyDescent="0.2">
      <c r="A1899" s="275"/>
      <c r="B1899" s="78"/>
      <c r="C1899" s="189"/>
      <c r="D1899" s="185"/>
      <c r="E1899" s="229"/>
      <c r="F1899" s="230"/>
    </row>
    <row r="1900" spans="1:6" x14ac:dyDescent="0.2">
      <c r="A1900" s="275"/>
      <c r="B1900" s="78"/>
      <c r="C1900" s="189"/>
      <c r="D1900" s="185"/>
      <c r="E1900" s="229"/>
      <c r="F1900" s="230"/>
    </row>
    <row r="1901" spans="1:6" x14ac:dyDescent="0.2">
      <c r="A1901" s="275"/>
      <c r="B1901" s="78"/>
      <c r="C1901" s="189"/>
      <c r="D1901" s="185"/>
      <c r="E1901" s="229"/>
      <c r="F1901" s="230"/>
    </row>
    <row r="1902" spans="1:6" x14ac:dyDescent="0.2">
      <c r="A1902" s="275"/>
      <c r="B1902" s="78"/>
      <c r="C1902" s="189"/>
      <c r="D1902" s="185"/>
      <c r="E1902" s="229"/>
      <c r="F1902" s="230"/>
    </row>
    <row r="1903" spans="1:6" x14ac:dyDescent="0.2">
      <c r="A1903" s="275"/>
      <c r="B1903" s="78"/>
      <c r="C1903" s="189"/>
      <c r="D1903" s="185"/>
      <c r="E1903" s="229"/>
      <c r="F1903" s="230"/>
    </row>
    <row r="1904" spans="1:6" x14ac:dyDescent="0.2">
      <c r="A1904" s="275"/>
      <c r="B1904" s="78"/>
      <c r="C1904" s="189"/>
      <c r="D1904" s="185"/>
      <c r="E1904" s="229"/>
      <c r="F1904" s="230"/>
    </row>
    <row r="1905" spans="1:6" x14ac:dyDescent="0.2">
      <c r="A1905" s="275"/>
      <c r="B1905" s="78"/>
      <c r="C1905" s="189"/>
      <c r="D1905" s="185"/>
      <c r="E1905" s="229"/>
      <c r="F1905" s="230"/>
    </row>
    <row r="1906" spans="1:6" x14ac:dyDescent="0.2">
      <c r="A1906" s="275"/>
      <c r="B1906" s="78"/>
      <c r="C1906" s="189"/>
      <c r="D1906" s="185"/>
      <c r="E1906" s="229"/>
      <c r="F1906" s="230"/>
    </row>
    <row r="1907" spans="1:6" x14ac:dyDescent="0.2">
      <c r="A1907" s="275"/>
      <c r="B1907" s="78"/>
      <c r="C1907" s="189"/>
      <c r="D1907" s="185"/>
      <c r="E1907" s="229"/>
      <c r="F1907" s="230"/>
    </row>
    <row r="1908" spans="1:6" x14ac:dyDescent="0.2">
      <c r="A1908" s="275"/>
      <c r="B1908" s="78"/>
      <c r="C1908" s="189"/>
      <c r="D1908" s="185"/>
      <c r="E1908" s="229"/>
      <c r="F1908" s="230"/>
    </row>
    <row r="1909" spans="1:6" x14ac:dyDescent="0.2">
      <c r="A1909" s="275"/>
      <c r="B1909" s="78"/>
      <c r="C1909" s="189"/>
      <c r="D1909" s="185"/>
      <c r="E1909" s="229"/>
      <c r="F1909" s="230"/>
    </row>
    <row r="1910" spans="1:6" x14ac:dyDescent="0.2">
      <c r="A1910" s="275"/>
      <c r="B1910" s="78"/>
      <c r="C1910" s="189"/>
      <c r="D1910" s="185"/>
      <c r="E1910" s="229"/>
      <c r="F1910" s="230"/>
    </row>
    <row r="1911" spans="1:6" x14ac:dyDescent="0.2">
      <c r="A1911" s="275"/>
      <c r="B1911" s="78"/>
      <c r="C1911" s="189"/>
      <c r="D1911" s="185"/>
      <c r="E1911" s="229"/>
      <c r="F1911" s="230"/>
    </row>
    <row r="1912" spans="1:6" x14ac:dyDescent="0.2">
      <c r="A1912" s="275"/>
      <c r="B1912" s="78"/>
      <c r="C1912" s="189"/>
      <c r="D1912" s="185"/>
      <c r="E1912" s="229"/>
      <c r="F1912" s="230"/>
    </row>
    <row r="1913" spans="1:6" x14ac:dyDescent="0.2">
      <c r="A1913" s="275"/>
      <c r="B1913" s="78"/>
      <c r="C1913" s="189"/>
      <c r="D1913" s="185"/>
      <c r="E1913" s="229"/>
      <c r="F1913" s="230"/>
    </row>
    <row r="1914" spans="1:6" x14ac:dyDescent="0.2">
      <c r="A1914" s="275"/>
      <c r="B1914" s="78"/>
      <c r="C1914" s="189"/>
      <c r="D1914" s="185"/>
      <c r="E1914" s="229"/>
      <c r="F1914" s="230"/>
    </row>
    <row r="1915" spans="1:6" x14ac:dyDescent="0.2">
      <c r="A1915" s="275"/>
      <c r="B1915" s="78"/>
      <c r="C1915" s="189"/>
      <c r="D1915" s="185"/>
      <c r="E1915" s="229"/>
      <c r="F1915" s="230"/>
    </row>
    <row r="1916" spans="1:6" x14ac:dyDescent="0.2">
      <c r="A1916" s="275"/>
      <c r="B1916" s="78"/>
      <c r="C1916" s="189"/>
      <c r="D1916" s="185"/>
      <c r="E1916" s="229"/>
      <c r="F1916" s="230"/>
    </row>
    <row r="1917" spans="1:6" x14ac:dyDescent="0.2">
      <c r="A1917" s="275"/>
      <c r="B1917" s="78"/>
      <c r="C1917" s="189"/>
      <c r="D1917" s="185"/>
      <c r="E1917" s="229"/>
      <c r="F1917" s="230"/>
    </row>
    <row r="1918" spans="1:6" x14ac:dyDescent="0.2">
      <c r="A1918" s="275"/>
      <c r="B1918" s="78"/>
      <c r="C1918" s="189"/>
      <c r="D1918" s="185"/>
      <c r="E1918" s="229"/>
      <c r="F1918" s="230"/>
    </row>
    <row r="1919" spans="1:6" x14ac:dyDescent="0.2">
      <c r="A1919" s="275"/>
      <c r="B1919" s="78"/>
      <c r="C1919" s="189"/>
      <c r="D1919" s="185"/>
      <c r="E1919" s="229"/>
      <c r="F1919" s="230"/>
    </row>
    <row r="1920" spans="1:6" x14ac:dyDescent="0.2">
      <c r="A1920" s="275"/>
      <c r="B1920" s="78"/>
      <c r="C1920" s="189"/>
      <c r="D1920" s="185"/>
      <c r="E1920" s="229"/>
      <c r="F1920" s="230"/>
    </row>
    <row r="1921" spans="1:6" x14ac:dyDescent="0.2">
      <c r="A1921" s="275"/>
      <c r="B1921" s="78"/>
      <c r="C1921" s="189"/>
      <c r="D1921" s="185"/>
      <c r="E1921" s="229"/>
      <c r="F1921" s="230"/>
    </row>
    <row r="1922" spans="1:6" x14ac:dyDescent="0.2">
      <c r="A1922" s="275"/>
      <c r="B1922" s="78"/>
      <c r="C1922" s="189"/>
      <c r="D1922" s="185"/>
      <c r="E1922" s="229"/>
      <c r="F1922" s="230"/>
    </row>
    <row r="1923" spans="1:6" x14ac:dyDescent="0.2">
      <c r="A1923" s="275"/>
      <c r="B1923" s="78"/>
      <c r="C1923" s="189"/>
      <c r="D1923" s="185"/>
      <c r="E1923" s="229"/>
      <c r="F1923" s="230"/>
    </row>
    <row r="1924" spans="1:6" x14ac:dyDescent="0.2">
      <c r="A1924" s="275"/>
      <c r="B1924" s="78"/>
      <c r="C1924" s="189"/>
      <c r="D1924" s="185"/>
      <c r="E1924" s="229"/>
      <c r="F1924" s="230"/>
    </row>
    <row r="1925" spans="1:6" x14ac:dyDescent="0.2">
      <c r="A1925" s="275"/>
      <c r="B1925" s="78"/>
      <c r="C1925" s="189"/>
      <c r="D1925" s="185"/>
      <c r="E1925" s="229"/>
      <c r="F1925" s="230"/>
    </row>
    <row r="1926" spans="1:6" x14ac:dyDescent="0.2">
      <c r="A1926" s="275"/>
      <c r="B1926" s="78"/>
      <c r="C1926" s="189"/>
      <c r="D1926" s="185"/>
      <c r="E1926" s="229"/>
      <c r="F1926" s="230"/>
    </row>
    <row r="1927" spans="1:6" x14ac:dyDescent="0.2">
      <c r="A1927" s="275"/>
      <c r="B1927" s="78"/>
      <c r="C1927" s="189"/>
      <c r="D1927" s="185"/>
      <c r="E1927" s="229"/>
      <c r="F1927" s="230"/>
    </row>
    <row r="1928" spans="1:6" x14ac:dyDescent="0.2">
      <c r="A1928" s="275"/>
      <c r="B1928" s="78"/>
      <c r="C1928" s="189"/>
      <c r="D1928" s="185"/>
      <c r="E1928" s="229"/>
      <c r="F1928" s="230"/>
    </row>
    <row r="1929" spans="1:6" x14ac:dyDescent="0.2">
      <c r="A1929" s="275"/>
      <c r="B1929" s="78"/>
      <c r="C1929" s="189"/>
      <c r="D1929" s="185"/>
      <c r="E1929" s="229"/>
      <c r="F1929" s="230"/>
    </row>
    <row r="1930" spans="1:6" x14ac:dyDescent="0.2">
      <c r="A1930" s="275"/>
      <c r="B1930" s="78"/>
      <c r="C1930" s="189"/>
      <c r="D1930" s="185"/>
      <c r="E1930" s="229"/>
      <c r="F1930" s="230"/>
    </row>
    <row r="1931" spans="1:6" x14ac:dyDescent="0.2">
      <c r="A1931" s="275"/>
      <c r="B1931" s="78"/>
      <c r="C1931" s="189"/>
      <c r="D1931" s="185"/>
      <c r="E1931" s="229"/>
      <c r="F1931" s="230"/>
    </row>
    <row r="1932" spans="1:6" x14ac:dyDescent="0.2">
      <c r="A1932" s="275"/>
      <c r="B1932" s="78"/>
      <c r="C1932" s="189"/>
      <c r="D1932" s="185"/>
      <c r="E1932" s="229"/>
      <c r="F1932" s="230"/>
    </row>
    <row r="1933" spans="1:6" x14ac:dyDescent="0.2">
      <c r="A1933" s="275"/>
      <c r="B1933" s="78"/>
      <c r="C1933" s="189"/>
      <c r="D1933" s="185"/>
      <c r="E1933" s="229"/>
      <c r="F1933" s="230"/>
    </row>
    <row r="1934" spans="1:6" x14ac:dyDescent="0.2">
      <c r="A1934" s="275"/>
      <c r="B1934" s="78"/>
      <c r="C1934" s="189"/>
      <c r="D1934" s="185"/>
      <c r="E1934" s="229"/>
      <c r="F1934" s="230"/>
    </row>
    <row r="1935" spans="1:6" x14ac:dyDescent="0.2">
      <c r="A1935" s="275"/>
      <c r="B1935" s="78"/>
      <c r="C1935" s="189"/>
      <c r="D1935" s="185"/>
      <c r="E1935" s="229"/>
      <c r="F1935" s="230"/>
    </row>
    <row r="1936" spans="1:6" x14ac:dyDescent="0.2">
      <c r="A1936" s="275"/>
      <c r="B1936" s="78"/>
      <c r="C1936" s="189"/>
      <c r="D1936" s="185"/>
      <c r="E1936" s="229"/>
      <c r="F1936" s="230"/>
    </row>
    <row r="1937" spans="1:6" x14ac:dyDescent="0.2">
      <c r="A1937" s="275"/>
      <c r="B1937" s="78"/>
      <c r="C1937" s="189"/>
      <c r="D1937" s="185"/>
      <c r="E1937" s="229"/>
      <c r="F1937" s="230"/>
    </row>
    <row r="1938" spans="1:6" x14ac:dyDescent="0.2">
      <c r="A1938" s="275"/>
      <c r="B1938" s="78"/>
      <c r="C1938" s="189"/>
      <c r="D1938" s="185"/>
      <c r="E1938" s="229"/>
      <c r="F1938" s="230"/>
    </row>
    <row r="1939" spans="1:6" x14ac:dyDescent="0.2">
      <c r="A1939" s="275"/>
      <c r="B1939" s="78"/>
      <c r="C1939" s="189"/>
      <c r="D1939" s="185"/>
      <c r="E1939" s="229"/>
      <c r="F1939" s="230"/>
    </row>
    <row r="1940" spans="1:6" x14ac:dyDescent="0.2">
      <c r="A1940" s="275"/>
      <c r="B1940" s="78"/>
      <c r="C1940" s="189"/>
      <c r="D1940" s="185"/>
      <c r="E1940" s="229"/>
      <c r="F1940" s="230"/>
    </row>
    <row r="1941" spans="1:6" x14ac:dyDescent="0.2">
      <c r="A1941" s="275"/>
      <c r="B1941" s="78"/>
      <c r="C1941" s="189"/>
      <c r="D1941" s="185"/>
      <c r="E1941" s="229"/>
      <c r="F1941" s="230"/>
    </row>
    <row r="1942" spans="1:6" x14ac:dyDescent="0.2">
      <c r="A1942" s="275"/>
      <c r="B1942" s="78"/>
      <c r="C1942" s="189"/>
      <c r="D1942" s="185"/>
      <c r="E1942" s="229"/>
      <c r="F1942" s="230"/>
    </row>
    <row r="1943" spans="1:6" x14ac:dyDescent="0.2">
      <c r="A1943" s="275"/>
      <c r="B1943" s="78"/>
      <c r="C1943" s="189"/>
      <c r="D1943" s="185"/>
      <c r="E1943" s="229"/>
      <c r="F1943" s="230"/>
    </row>
    <row r="1944" spans="1:6" x14ac:dyDescent="0.2">
      <c r="A1944" s="275"/>
      <c r="B1944" s="78"/>
      <c r="C1944" s="189"/>
      <c r="D1944" s="185"/>
      <c r="E1944" s="229"/>
      <c r="F1944" s="230"/>
    </row>
    <row r="1945" spans="1:6" x14ac:dyDescent="0.2">
      <c r="A1945" s="275"/>
      <c r="B1945" s="78"/>
      <c r="C1945" s="189"/>
      <c r="D1945" s="185"/>
      <c r="E1945" s="229"/>
      <c r="F1945" s="230"/>
    </row>
    <row r="1946" spans="1:6" x14ac:dyDescent="0.2">
      <c r="A1946" s="275"/>
      <c r="B1946" s="78"/>
      <c r="C1946" s="189"/>
      <c r="D1946" s="185"/>
      <c r="E1946" s="229"/>
      <c r="F1946" s="230"/>
    </row>
    <row r="1947" spans="1:6" x14ac:dyDescent="0.2">
      <c r="A1947" s="275"/>
      <c r="B1947" s="78"/>
      <c r="C1947" s="189"/>
      <c r="D1947" s="185"/>
      <c r="E1947" s="229"/>
      <c r="F1947" s="230"/>
    </row>
    <row r="1948" spans="1:6" x14ac:dyDescent="0.2">
      <c r="A1948" s="275"/>
      <c r="B1948" s="78"/>
      <c r="C1948" s="189"/>
      <c r="D1948" s="185"/>
      <c r="E1948" s="229"/>
      <c r="F1948" s="230"/>
    </row>
    <row r="1949" spans="1:6" x14ac:dyDescent="0.2">
      <c r="A1949" s="275"/>
      <c r="B1949" s="78"/>
      <c r="C1949" s="189"/>
      <c r="D1949" s="185"/>
      <c r="E1949" s="229"/>
      <c r="F1949" s="230"/>
    </row>
    <row r="1950" spans="1:6" x14ac:dyDescent="0.2">
      <c r="A1950" s="275"/>
      <c r="B1950" s="78"/>
      <c r="C1950" s="189"/>
      <c r="D1950" s="185"/>
      <c r="E1950" s="229"/>
      <c r="F1950" s="230"/>
    </row>
    <row r="1951" spans="1:6" x14ac:dyDescent="0.2">
      <c r="A1951" s="275"/>
      <c r="B1951" s="78"/>
      <c r="C1951" s="189"/>
      <c r="D1951" s="185"/>
      <c r="E1951" s="229"/>
      <c r="F1951" s="230"/>
    </row>
    <row r="1952" spans="1:6" x14ac:dyDescent="0.2">
      <c r="A1952" s="275"/>
      <c r="B1952" s="78"/>
      <c r="C1952" s="189"/>
      <c r="D1952" s="185"/>
      <c r="E1952" s="229"/>
      <c r="F1952" s="230"/>
    </row>
    <row r="1953" spans="1:6" x14ac:dyDescent="0.2">
      <c r="A1953" s="275"/>
      <c r="B1953" s="78"/>
      <c r="C1953" s="189"/>
      <c r="D1953" s="185"/>
      <c r="E1953" s="229"/>
      <c r="F1953" s="230"/>
    </row>
    <row r="1954" spans="1:6" x14ac:dyDescent="0.2">
      <c r="A1954" s="275"/>
      <c r="B1954" s="78"/>
      <c r="C1954" s="189"/>
      <c r="D1954" s="185"/>
      <c r="E1954" s="229"/>
      <c r="F1954" s="230"/>
    </row>
    <row r="1955" spans="1:6" x14ac:dyDescent="0.2">
      <c r="A1955" s="275"/>
      <c r="B1955" s="78"/>
      <c r="C1955" s="189"/>
      <c r="D1955" s="185"/>
      <c r="E1955" s="229"/>
      <c r="F1955" s="230"/>
    </row>
    <row r="1956" spans="1:6" x14ac:dyDescent="0.2">
      <c r="A1956" s="275"/>
      <c r="B1956" s="78"/>
      <c r="C1956" s="189"/>
      <c r="D1956" s="185"/>
      <c r="E1956" s="229"/>
      <c r="F1956" s="230"/>
    </row>
    <row r="1957" spans="1:6" x14ac:dyDescent="0.2">
      <c r="A1957" s="275"/>
      <c r="B1957" s="78"/>
      <c r="C1957" s="189"/>
      <c r="D1957" s="185"/>
      <c r="E1957" s="229"/>
      <c r="F1957" s="230"/>
    </row>
    <row r="1958" spans="1:6" x14ac:dyDescent="0.2">
      <c r="A1958" s="275"/>
      <c r="B1958" s="78"/>
      <c r="C1958" s="189"/>
      <c r="D1958" s="185"/>
      <c r="E1958" s="229"/>
      <c r="F1958" s="230"/>
    </row>
    <row r="1959" spans="1:6" x14ac:dyDescent="0.2">
      <c r="A1959" s="275"/>
      <c r="B1959" s="78"/>
      <c r="C1959" s="189"/>
      <c r="D1959" s="185"/>
      <c r="E1959" s="229"/>
      <c r="F1959" s="230"/>
    </row>
    <row r="1960" spans="1:6" x14ac:dyDescent="0.2">
      <c r="A1960" s="275"/>
      <c r="B1960" s="78"/>
      <c r="C1960" s="189"/>
      <c r="D1960" s="185"/>
      <c r="E1960" s="229"/>
      <c r="F1960" s="230"/>
    </row>
    <row r="1961" spans="1:6" x14ac:dyDescent="0.2">
      <c r="A1961" s="275"/>
      <c r="B1961" s="78"/>
      <c r="C1961" s="189"/>
      <c r="D1961" s="185"/>
      <c r="E1961" s="229"/>
      <c r="F1961" s="230"/>
    </row>
    <row r="1962" spans="1:6" x14ac:dyDescent="0.2">
      <c r="A1962" s="275"/>
      <c r="B1962" s="78"/>
      <c r="C1962" s="189"/>
      <c r="D1962" s="185"/>
      <c r="E1962" s="229"/>
      <c r="F1962" s="230"/>
    </row>
    <row r="1963" spans="1:6" x14ac:dyDescent="0.2">
      <c r="A1963" s="275"/>
      <c r="B1963" s="78"/>
      <c r="C1963" s="189"/>
      <c r="D1963" s="185"/>
      <c r="E1963" s="229"/>
      <c r="F1963" s="230"/>
    </row>
    <row r="1964" spans="1:6" x14ac:dyDescent="0.2">
      <c r="A1964" s="275"/>
      <c r="B1964" s="78"/>
      <c r="C1964" s="189"/>
      <c r="D1964" s="185"/>
      <c r="E1964" s="229"/>
      <c r="F1964" s="230"/>
    </row>
    <row r="1965" spans="1:6" x14ac:dyDescent="0.2">
      <c r="A1965" s="275"/>
      <c r="B1965" s="78"/>
      <c r="C1965" s="189"/>
      <c r="D1965" s="185"/>
      <c r="E1965" s="229"/>
      <c r="F1965" s="230"/>
    </row>
    <row r="1966" spans="1:6" x14ac:dyDescent="0.2">
      <c r="A1966" s="275"/>
      <c r="B1966" s="78"/>
      <c r="C1966" s="189"/>
      <c r="D1966" s="185"/>
      <c r="E1966" s="229"/>
      <c r="F1966" s="230"/>
    </row>
    <row r="1967" spans="1:6" x14ac:dyDescent="0.2">
      <c r="A1967" s="275"/>
      <c r="B1967" s="78"/>
      <c r="C1967" s="189"/>
      <c r="D1967" s="185"/>
      <c r="E1967" s="229"/>
      <c r="F1967" s="230"/>
    </row>
    <row r="1968" spans="1:6" x14ac:dyDescent="0.2">
      <c r="A1968" s="275"/>
      <c r="B1968" s="78"/>
      <c r="C1968" s="189"/>
      <c r="D1968" s="185"/>
      <c r="E1968" s="229"/>
      <c r="F1968" s="230"/>
    </row>
    <row r="1969" spans="1:6" x14ac:dyDescent="0.2">
      <c r="A1969" s="275"/>
      <c r="B1969" s="78"/>
      <c r="C1969" s="189"/>
      <c r="D1969" s="185"/>
      <c r="E1969" s="229"/>
      <c r="F1969" s="230"/>
    </row>
    <row r="1970" spans="1:6" x14ac:dyDescent="0.2">
      <c r="A1970" s="275"/>
      <c r="B1970" s="78"/>
      <c r="C1970" s="189"/>
      <c r="D1970" s="185"/>
      <c r="E1970" s="229"/>
      <c r="F1970" s="230"/>
    </row>
    <row r="1971" spans="1:6" x14ac:dyDescent="0.2">
      <c r="A1971" s="275"/>
      <c r="B1971" s="78"/>
      <c r="C1971" s="189"/>
      <c r="D1971" s="185"/>
      <c r="E1971" s="229"/>
      <c r="F1971" s="230"/>
    </row>
    <row r="1972" spans="1:6" x14ac:dyDescent="0.2">
      <c r="A1972" s="275"/>
      <c r="B1972" s="78"/>
      <c r="C1972" s="189"/>
      <c r="D1972" s="185"/>
      <c r="E1972" s="229"/>
      <c r="F1972" s="230"/>
    </row>
    <row r="1973" spans="1:6" x14ac:dyDescent="0.2">
      <c r="A1973" s="275"/>
      <c r="B1973" s="78"/>
      <c r="C1973" s="189"/>
      <c r="D1973" s="185"/>
      <c r="E1973" s="229"/>
      <c r="F1973" s="230"/>
    </row>
  </sheetData>
  <sheetProtection algorithmName="SHA-512" hashValue="BMrApn6GaCo/X/Jd1oxfcNNHTFO3OPcK7TzHWJXdbXfXjAw7QAzZXqX6/FR1wRAt7cTKQW2I/V//w6pOYmvYrQ==" saltValue="4DVzqD3zJj/UHACGQh+Bww==" spinCount="100000" sheet="1" objects="1" scenarios="1"/>
  <mergeCells count="27">
    <mergeCell ref="I118:Q118"/>
    <mergeCell ref="C147:E147"/>
    <mergeCell ref="C149:E149"/>
    <mergeCell ref="C134:C135"/>
    <mergeCell ref="D134:D135"/>
    <mergeCell ref="E134:E135"/>
    <mergeCell ref="F134:F135"/>
    <mergeCell ref="C132:C133"/>
    <mergeCell ref="D132:D133"/>
    <mergeCell ref="E132:E133"/>
    <mergeCell ref="E137:E138"/>
    <mergeCell ref="D137:D138"/>
    <mergeCell ref="C137:C138"/>
    <mergeCell ref="A139:A140"/>
    <mergeCell ref="B1:F1"/>
    <mergeCell ref="C22:E22"/>
    <mergeCell ref="C49:E49"/>
    <mergeCell ref="C101:E101"/>
    <mergeCell ref="C130:E130"/>
    <mergeCell ref="F132:F133"/>
    <mergeCell ref="A132:A133"/>
    <mergeCell ref="A137:A138"/>
    <mergeCell ref="F137:F138"/>
    <mergeCell ref="F139:F140"/>
    <mergeCell ref="E139:E140"/>
    <mergeCell ref="D139:D140"/>
    <mergeCell ref="C139:C140"/>
  </mergeCells>
  <dataValidations count="2">
    <dataValidation type="custom" showErrorMessage="1" errorTitle="Nepravilen vnos cene" error="Cena mora biti nenegativno število z največ dvema decimalkama!" sqref="E11:E12 E80:E85 E19:E21 E71:E74 E119:E121 E104:E117 E92:E93 E14:E17 E25:E37 E66:E69 E76:E78 E95:E100 E90 E141:E146 E53:E58 E61:E64 E39:E42 E132 E134 E136:E137 E139 E44:E45">
      <formula1>AND(ISNUMBER(E11),E11&gt;=0,ROUND(E11*100,6)-INT(E11*100)=0,NOT(ISBLANK(E11)))</formula1>
    </dataValidation>
    <dataValidation type="custom" showInputMessage="1" showErrorMessage="1" errorTitle="Nepravilen vnos cene" error="Cena mora biti nenegativno število z največ dvema decimalkama!" sqref="E124:E129 E87:E89 E47:E48">
      <formula1>AND(ISNUMBER(E47),E47&gt;=0,ROUND(E47*100,6)-INT(E47*100)=0,NOT(ISBLANK(E47)))</formula1>
    </dataValidation>
  </dataValidations>
  <printOptions horizontalCentered="1"/>
  <pageMargins left="0.78740157480314965" right="0.39370078740157483" top="0.39370078740157483" bottom="0.98425196850393704" header="0.19685039370078741" footer="0.19685039370078741"/>
  <pageSetup paperSize="9" scale="89" fitToHeight="0" orientation="landscape" r:id="rId1"/>
  <headerFooter>
    <oddHeader>&amp;LRTP 110/20 kV Izola&amp;R&amp;G</oddHeader>
    <oddFooter>&amp;LDZR: Ponudbeni predračun
Datoteka: 4407.6G01.PP.rev1.xlsx&amp;R Stran: &amp;P od &amp;N</oddFooter>
  </headerFooter>
  <rowBreaks count="2" manualBreakCount="2">
    <brk id="133" max="16383" man="1"/>
    <brk id="138" max="16383"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N1964"/>
  <sheetViews>
    <sheetView view="pageBreakPreview" topLeftCell="A211" zoomScaleNormal="100" zoomScaleSheetLayoutView="100" workbookViewId="0">
      <selection activeCell="F10" sqref="F10 F46 F121 F135 F138 F154 F177 F184 F193 F213 F217"/>
    </sheetView>
  </sheetViews>
  <sheetFormatPr defaultColWidth="6.7109375" defaultRowHeight="12.75" x14ac:dyDescent="0.2"/>
  <cols>
    <col min="1" max="1" width="7.85546875" style="190" customWidth="1"/>
    <col min="2" max="2" width="99.140625" style="179" customWidth="1"/>
    <col min="3" max="3" width="9" style="191" customWidth="1"/>
    <col min="4" max="4" width="11.42578125" style="250" customWidth="1"/>
    <col min="5" max="5" width="12.7109375" style="231" customWidth="1"/>
    <col min="6" max="6" width="13.5703125" style="194" customWidth="1"/>
    <col min="7" max="7" width="6.7109375" style="78"/>
    <col min="8" max="8" width="8.42578125" style="78" bestFit="1" customWidth="1"/>
    <col min="9" max="10" width="6.7109375" style="78" customWidth="1"/>
    <col min="11" max="11" width="3.85546875" style="78" customWidth="1"/>
    <col min="12" max="16384" width="6.7109375" style="78"/>
  </cols>
  <sheetData>
    <row r="1" spans="1:7" ht="15.95" customHeight="1" thickBot="1" x14ac:dyDescent="0.3">
      <c r="A1" s="7"/>
      <c r="B1" s="329"/>
      <c r="C1" s="329"/>
      <c r="D1" s="329"/>
      <c r="E1" s="329"/>
      <c r="F1" s="329"/>
    </row>
    <row r="2" spans="1:7" ht="32.450000000000003" customHeight="1" x14ac:dyDescent="0.2">
      <c r="A2" s="1" t="s">
        <v>1</v>
      </c>
      <c r="B2" s="2" t="s">
        <v>1741</v>
      </c>
      <c r="C2" s="3" t="s">
        <v>1742</v>
      </c>
      <c r="D2" s="54" t="s">
        <v>1743</v>
      </c>
      <c r="E2" s="5" t="s">
        <v>1744</v>
      </c>
      <c r="F2" s="6" t="s">
        <v>1745</v>
      </c>
    </row>
    <row r="3" spans="1:7" ht="15" x14ac:dyDescent="0.2">
      <c r="A3" s="48" t="s">
        <v>2449</v>
      </c>
      <c r="B3" s="40" t="s">
        <v>2450</v>
      </c>
      <c r="C3" s="233"/>
      <c r="D3" s="234"/>
      <c r="E3" s="209"/>
      <c r="F3" s="210"/>
    </row>
    <row r="4" spans="1:7" ht="15" x14ac:dyDescent="0.2">
      <c r="A4" s="41" t="s">
        <v>2451</v>
      </c>
      <c r="B4" s="35" t="s">
        <v>2452</v>
      </c>
      <c r="C4" s="43"/>
      <c r="D4" s="44"/>
      <c r="E4" s="209"/>
      <c r="F4" s="210"/>
    </row>
    <row r="5" spans="1:7" ht="42.75" x14ac:dyDescent="0.2">
      <c r="A5" s="41"/>
      <c r="B5" s="42" t="s">
        <v>1747</v>
      </c>
      <c r="C5" s="43"/>
      <c r="D5" s="44"/>
      <c r="E5" s="209"/>
      <c r="F5" s="210"/>
    </row>
    <row r="6" spans="1:7" ht="71.25" x14ac:dyDescent="0.2">
      <c r="A6" s="41"/>
      <c r="B6" s="42" t="s">
        <v>2453</v>
      </c>
      <c r="C6" s="43"/>
      <c r="D6" s="44"/>
      <c r="E6" s="209"/>
      <c r="F6" s="210"/>
    </row>
    <row r="7" spans="1:7" ht="171" x14ac:dyDescent="0.2">
      <c r="A7" s="41" t="s">
        <v>2454</v>
      </c>
      <c r="B7" s="42" t="s">
        <v>2455</v>
      </c>
      <c r="C7" s="43" t="s">
        <v>1780</v>
      </c>
      <c r="D7" s="44">
        <f>430*1.2</f>
        <v>516</v>
      </c>
      <c r="E7" s="69">
        <v>0</v>
      </c>
      <c r="F7" s="28">
        <f>ROUND(D7*E7,2)</f>
        <v>0</v>
      </c>
    </row>
    <row r="8" spans="1:7" ht="42.75" x14ac:dyDescent="0.2">
      <c r="A8" s="41" t="s">
        <v>2456</v>
      </c>
      <c r="B8" s="42" t="s">
        <v>2457</v>
      </c>
      <c r="C8" s="43" t="s">
        <v>1800</v>
      </c>
      <c r="D8" s="44">
        <f>(3*25+11)*1.2</f>
        <v>103.2</v>
      </c>
      <c r="E8" s="69">
        <v>0</v>
      </c>
      <c r="F8" s="28">
        <f>ROUND(D8*E8,2)</f>
        <v>0</v>
      </c>
    </row>
    <row r="9" spans="1:7" ht="15" thickBot="1" x14ac:dyDescent="0.25">
      <c r="A9" s="41" t="s">
        <v>2458</v>
      </c>
      <c r="B9" s="42" t="s">
        <v>2459</v>
      </c>
      <c r="C9" s="43" t="s">
        <v>1951</v>
      </c>
      <c r="D9" s="44">
        <v>1</v>
      </c>
      <c r="E9" s="69">
        <v>0</v>
      </c>
      <c r="F9" s="28">
        <f>ROUND(D9*E9,2)</f>
        <v>0</v>
      </c>
    </row>
    <row r="10" spans="1:7" ht="18.75" thickBot="1" x14ac:dyDescent="0.3">
      <c r="A10" s="34"/>
      <c r="B10" s="33"/>
      <c r="C10" s="363" t="s">
        <v>2460</v>
      </c>
      <c r="D10" s="364"/>
      <c r="E10" s="365"/>
      <c r="F10" s="18">
        <f>SUM(F7:F9)</f>
        <v>0</v>
      </c>
      <c r="G10" s="8"/>
    </row>
    <row r="11" spans="1:7" ht="18" x14ac:dyDescent="0.25">
      <c r="A11" s="41" t="s">
        <v>2461</v>
      </c>
      <c r="B11" s="35" t="s">
        <v>2462</v>
      </c>
      <c r="C11" s="43"/>
      <c r="D11" s="44"/>
      <c r="E11" s="209"/>
      <c r="F11" s="210"/>
      <c r="G11" s="8"/>
    </row>
    <row r="12" spans="1:7" ht="60" x14ac:dyDescent="0.25">
      <c r="A12" s="41"/>
      <c r="B12" s="42" t="s">
        <v>2463</v>
      </c>
      <c r="C12" s="43"/>
      <c r="D12" s="44"/>
      <c r="E12" s="209"/>
      <c r="F12" s="210"/>
      <c r="G12" s="8"/>
    </row>
    <row r="13" spans="1:7" ht="28.5" x14ac:dyDescent="0.25">
      <c r="A13" s="41"/>
      <c r="B13" s="49" t="s">
        <v>2464</v>
      </c>
      <c r="C13" s="43"/>
      <c r="D13" s="44"/>
      <c r="E13" s="209"/>
      <c r="F13" s="210"/>
      <c r="G13" s="8"/>
    </row>
    <row r="14" spans="1:7" ht="71.25" x14ac:dyDescent="0.25">
      <c r="A14" s="41" t="s">
        <v>2465</v>
      </c>
      <c r="B14" s="49" t="s">
        <v>2466</v>
      </c>
      <c r="C14" s="43" t="s">
        <v>1800</v>
      </c>
      <c r="D14" s="44">
        <f>25*1.2</f>
        <v>30</v>
      </c>
      <c r="E14" s="69">
        <v>0</v>
      </c>
      <c r="F14" s="28">
        <f>ROUND(D14*E14,2)</f>
        <v>0</v>
      </c>
      <c r="G14" s="8"/>
    </row>
    <row r="15" spans="1:7" ht="57" x14ac:dyDescent="0.25">
      <c r="A15" s="41" t="s">
        <v>2467</v>
      </c>
      <c r="B15" s="42" t="s">
        <v>2468</v>
      </c>
      <c r="C15" s="43"/>
      <c r="D15" s="44"/>
      <c r="E15" s="209"/>
      <c r="F15" s="210"/>
      <c r="G15" s="8"/>
    </row>
    <row r="16" spans="1:7" ht="18" x14ac:dyDescent="0.25">
      <c r="A16" s="41" t="s">
        <v>1761</v>
      </c>
      <c r="B16" s="42" t="s">
        <v>2469</v>
      </c>
      <c r="C16" s="43" t="s">
        <v>1800</v>
      </c>
      <c r="D16" s="44">
        <f>9*25*1.2</f>
        <v>270</v>
      </c>
      <c r="E16" s="69">
        <v>0</v>
      </c>
      <c r="F16" s="28">
        <f t="shared" ref="F16:F21" si="0">ROUND(D16*E16,2)</f>
        <v>0</v>
      </c>
      <c r="G16" s="8"/>
    </row>
    <row r="17" spans="1:7" ht="18" x14ac:dyDescent="0.25">
      <c r="A17" s="41" t="s">
        <v>1774</v>
      </c>
      <c r="B17" s="42" t="s">
        <v>2470</v>
      </c>
      <c r="C17" s="43" t="s">
        <v>1800</v>
      </c>
      <c r="D17" s="44">
        <f>D16</f>
        <v>270</v>
      </c>
      <c r="E17" s="69">
        <v>0</v>
      </c>
      <c r="F17" s="28">
        <f t="shared" si="0"/>
        <v>0</v>
      </c>
      <c r="G17" s="8"/>
    </row>
    <row r="18" spans="1:7" ht="42.75" x14ac:dyDescent="0.25">
      <c r="A18" s="41" t="s">
        <v>2471</v>
      </c>
      <c r="B18" s="42" t="s">
        <v>2472</v>
      </c>
      <c r="C18" s="43"/>
      <c r="D18" s="44"/>
      <c r="E18" s="69">
        <v>0</v>
      </c>
      <c r="F18" s="28">
        <f t="shared" si="0"/>
        <v>0</v>
      </c>
      <c r="G18" s="8"/>
    </row>
    <row r="19" spans="1:7" ht="18" x14ac:dyDescent="0.25">
      <c r="A19" s="41" t="s">
        <v>1761</v>
      </c>
      <c r="B19" s="42" t="s">
        <v>2473</v>
      </c>
      <c r="C19" s="43" t="s">
        <v>1800</v>
      </c>
      <c r="D19" s="44">
        <f>(10*10+3*25)*1.2</f>
        <v>210</v>
      </c>
      <c r="E19" s="69">
        <v>0</v>
      </c>
      <c r="F19" s="28">
        <f t="shared" si="0"/>
        <v>0</v>
      </c>
      <c r="G19" s="8"/>
    </row>
    <row r="20" spans="1:7" ht="18" x14ac:dyDescent="0.25">
      <c r="A20" s="41" t="s">
        <v>1774</v>
      </c>
      <c r="B20" s="42" t="s">
        <v>2474</v>
      </c>
      <c r="C20" s="43" t="s">
        <v>1800</v>
      </c>
      <c r="D20" s="44">
        <f>D19</f>
        <v>210</v>
      </c>
      <c r="E20" s="69">
        <v>0</v>
      </c>
      <c r="F20" s="28">
        <f t="shared" si="0"/>
        <v>0</v>
      </c>
      <c r="G20" s="8"/>
    </row>
    <row r="21" spans="1:7" ht="57" x14ac:dyDescent="0.25">
      <c r="A21" s="41" t="s">
        <v>2475</v>
      </c>
      <c r="B21" s="42" t="s">
        <v>2476</v>
      </c>
      <c r="C21" s="43" t="s">
        <v>1780</v>
      </c>
      <c r="D21" s="44">
        <f>D7</f>
        <v>516</v>
      </c>
      <c r="E21" s="69">
        <v>0</v>
      </c>
      <c r="F21" s="28">
        <f t="shared" si="0"/>
        <v>0</v>
      </c>
      <c r="G21" s="8"/>
    </row>
    <row r="22" spans="1:7" ht="57" x14ac:dyDescent="0.25">
      <c r="A22" s="41" t="s">
        <v>2477</v>
      </c>
      <c r="B22" s="42" t="s">
        <v>2478</v>
      </c>
      <c r="C22" s="43"/>
      <c r="D22" s="44"/>
      <c r="E22" s="209"/>
      <c r="F22" s="210"/>
      <c r="G22" s="8"/>
    </row>
    <row r="23" spans="1:7" ht="18" x14ac:dyDescent="0.25">
      <c r="A23" s="41" t="s">
        <v>1761</v>
      </c>
      <c r="B23" s="42" t="s">
        <v>2479</v>
      </c>
      <c r="C23" s="43" t="s">
        <v>1800</v>
      </c>
      <c r="D23" s="44">
        <f>D14</f>
        <v>30</v>
      </c>
      <c r="E23" s="69">
        <v>0</v>
      </c>
      <c r="F23" s="28">
        <f>ROUND(D23*E23,2)</f>
        <v>0</v>
      </c>
      <c r="G23" s="8"/>
    </row>
    <row r="24" spans="1:7" ht="18" x14ac:dyDescent="0.25">
      <c r="A24" s="41" t="s">
        <v>1774</v>
      </c>
      <c r="B24" s="42" t="s">
        <v>2480</v>
      </c>
      <c r="C24" s="43" t="s">
        <v>1800</v>
      </c>
      <c r="D24" s="44">
        <f>2*7*1.2</f>
        <v>16.8</v>
      </c>
      <c r="E24" s="69">
        <v>0</v>
      </c>
      <c r="F24" s="28">
        <f>ROUND(D24*E24,2)</f>
        <v>0</v>
      </c>
      <c r="G24" s="8"/>
    </row>
    <row r="25" spans="1:7" ht="18" x14ac:dyDescent="0.25">
      <c r="A25" s="41" t="s">
        <v>1873</v>
      </c>
      <c r="B25" s="42" t="s">
        <v>2481</v>
      </c>
      <c r="C25" s="43" t="s">
        <v>1826</v>
      </c>
      <c r="D25" s="44">
        <v>2</v>
      </c>
      <c r="E25" s="69">
        <v>0</v>
      </c>
      <c r="F25" s="28">
        <f>ROUND(D25*E25,2)</f>
        <v>0</v>
      </c>
      <c r="G25" s="8"/>
    </row>
    <row r="26" spans="1:7" ht="28.5" x14ac:dyDescent="0.25">
      <c r="A26" s="41" t="s">
        <v>2482</v>
      </c>
      <c r="B26" s="42" t="s">
        <v>2483</v>
      </c>
      <c r="C26" s="43"/>
      <c r="D26" s="44"/>
      <c r="E26" s="209"/>
      <c r="F26" s="210"/>
      <c r="G26" s="8"/>
    </row>
    <row r="27" spans="1:7" ht="18" x14ac:dyDescent="0.25">
      <c r="A27" s="41" t="s">
        <v>1761</v>
      </c>
      <c r="B27" s="42" t="s">
        <v>2484</v>
      </c>
      <c r="C27" s="43" t="s">
        <v>1800</v>
      </c>
      <c r="D27" s="44">
        <f>100*1.2</f>
        <v>120</v>
      </c>
      <c r="E27" s="69">
        <v>0</v>
      </c>
      <c r="F27" s="28">
        <f>ROUND(D27*E27,2)</f>
        <v>0</v>
      </c>
      <c r="G27" s="8"/>
    </row>
    <row r="28" spans="1:7" ht="28.5" x14ac:dyDescent="0.25">
      <c r="A28" s="41" t="s">
        <v>2485</v>
      </c>
      <c r="B28" s="42" t="s">
        <v>2486</v>
      </c>
      <c r="C28" s="43"/>
      <c r="D28" s="44"/>
      <c r="E28" s="209"/>
      <c r="F28" s="210"/>
      <c r="G28" s="8"/>
    </row>
    <row r="29" spans="1:7" ht="28.5" x14ac:dyDescent="0.25">
      <c r="A29" s="41" t="s">
        <v>1761</v>
      </c>
      <c r="B29" s="49" t="s">
        <v>2487</v>
      </c>
      <c r="C29" s="43" t="s">
        <v>1800</v>
      </c>
      <c r="D29" s="44">
        <f>D14</f>
        <v>30</v>
      </c>
      <c r="E29" s="69">
        <v>0</v>
      </c>
      <c r="F29" s="28">
        <f>ROUND(D29*E29,2)</f>
        <v>0</v>
      </c>
      <c r="G29" s="8"/>
    </row>
    <row r="30" spans="1:7" ht="28.5" x14ac:dyDescent="0.25">
      <c r="A30" s="41" t="s">
        <v>2488</v>
      </c>
      <c r="B30" s="49" t="s">
        <v>2489</v>
      </c>
      <c r="C30" s="43"/>
      <c r="D30" s="44"/>
      <c r="E30" s="209"/>
      <c r="F30" s="210"/>
      <c r="G30" s="8"/>
    </row>
    <row r="31" spans="1:7" ht="18" x14ac:dyDescent="0.25">
      <c r="A31" s="41" t="s">
        <v>1761</v>
      </c>
      <c r="B31" s="42" t="s">
        <v>2490</v>
      </c>
      <c r="C31" s="43" t="s">
        <v>1826</v>
      </c>
      <c r="D31" s="44">
        <v>2</v>
      </c>
      <c r="E31" s="69">
        <v>0</v>
      </c>
      <c r="F31" s="28">
        <f>ROUND(D31*E31,2)</f>
        <v>0</v>
      </c>
      <c r="G31" s="8"/>
    </row>
    <row r="32" spans="1:7" ht="42.75" x14ac:dyDescent="0.25">
      <c r="A32" s="41" t="s">
        <v>2491</v>
      </c>
      <c r="B32" s="42" t="s">
        <v>2492</v>
      </c>
      <c r="C32" s="43"/>
      <c r="D32" s="44"/>
      <c r="E32" s="209"/>
      <c r="F32" s="210"/>
      <c r="G32" s="8"/>
    </row>
    <row r="33" spans="1:8" ht="18" x14ac:dyDescent="0.25">
      <c r="A33" s="41" t="s">
        <v>1761</v>
      </c>
      <c r="B33" s="42" t="s">
        <v>2493</v>
      </c>
      <c r="C33" s="43"/>
      <c r="D33" s="44"/>
      <c r="E33" s="209"/>
      <c r="F33" s="210"/>
      <c r="G33" s="8"/>
    </row>
    <row r="34" spans="1:8" ht="18" x14ac:dyDescent="0.25">
      <c r="A34" s="41" t="s">
        <v>2494</v>
      </c>
      <c r="B34" s="42" t="s">
        <v>2495</v>
      </c>
      <c r="C34" s="43" t="s">
        <v>1800</v>
      </c>
      <c r="D34" s="44">
        <f>11*1.2</f>
        <v>13.2</v>
      </c>
      <c r="E34" s="69">
        <v>0</v>
      </c>
      <c r="F34" s="28">
        <f>ROUND(D34*E34,2)</f>
        <v>0</v>
      </c>
      <c r="G34" s="8"/>
    </row>
    <row r="35" spans="1:8" ht="18" x14ac:dyDescent="0.25">
      <c r="A35" s="41" t="s">
        <v>2496</v>
      </c>
      <c r="B35" s="42" t="s">
        <v>2497</v>
      </c>
      <c r="C35" s="43" t="s">
        <v>1800</v>
      </c>
      <c r="D35" s="44">
        <f>11*1.2</f>
        <v>13.2</v>
      </c>
      <c r="E35" s="69">
        <v>0</v>
      </c>
      <c r="F35" s="28">
        <f>ROUND(D35*E35,2)</f>
        <v>0</v>
      </c>
      <c r="G35" s="8"/>
    </row>
    <row r="36" spans="1:8" ht="18" x14ac:dyDescent="0.25">
      <c r="A36" s="41" t="s">
        <v>2498</v>
      </c>
      <c r="B36" s="42" t="s">
        <v>2499</v>
      </c>
      <c r="C36" s="43" t="s">
        <v>1800</v>
      </c>
      <c r="D36" s="44">
        <f>4*1.2</f>
        <v>4.8</v>
      </c>
      <c r="E36" s="69">
        <v>0</v>
      </c>
      <c r="F36" s="28">
        <f>ROUND(D36*E36,2)</f>
        <v>0</v>
      </c>
      <c r="G36" s="8"/>
    </row>
    <row r="37" spans="1:8" ht="42.75" x14ac:dyDescent="0.25">
      <c r="A37" s="41" t="s">
        <v>1774</v>
      </c>
      <c r="B37" s="42" t="s">
        <v>2500</v>
      </c>
      <c r="C37" s="43" t="s">
        <v>1780</v>
      </c>
      <c r="D37" s="44">
        <f>(11+11+4)*0.8*1.2</f>
        <v>24.96</v>
      </c>
      <c r="E37" s="69">
        <v>0</v>
      </c>
      <c r="F37" s="28">
        <f>ROUND(D37*E37,2)</f>
        <v>0</v>
      </c>
      <c r="G37" s="8"/>
    </row>
    <row r="38" spans="1:8" ht="18" x14ac:dyDescent="0.25">
      <c r="A38" s="41" t="s">
        <v>1873</v>
      </c>
      <c r="B38" s="42" t="s">
        <v>2501</v>
      </c>
      <c r="C38" s="43"/>
      <c r="D38" s="44"/>
      <c r="E38" s="209"/>
      <c r="F38" s="210"/>
      <c r="G38" s="8"/>
    </row>
    <row r="39" spans="1:8" ht="18" x14ac:dyDescent="0.25">
      <c r="A39" s="41" t="s">
        <v>2358</v>
      </c>
      <c r="B39" s="42" t="s">
        <v>2502</v>
      </c>
      <c r="C39" s="43" t="s">
        <v>1800</v>
      </c>
      <c r="D39" s="44">
        <f>D34</f>
        <v>13.2</v>
      </c>
      <c r="E39" s="68">
        <v>0</v>
      </c>
      <c r="F39" s="45">
        <f>ROUND(D39*E39,2)</f>
        <v>0</v>
      </c>
      <c r="G39" s="8"/>
    </row>
    <row r="40" spans="1:8" ht="18" x14ac:dyDescent="0.25">
      <c r="A40" s="41" t="s">
        <v>2360</v>
      </c>
      <c r="B40" s="42" t="s">
        <v>2503</v>
      </c>
      <c r="C40" s="43" t="s">
        <v>1800</v>
      </c>
      <c r="D40" s="44">
        <f>D35</f>
        <v>13.2</v>
      </c>
      <c r="E40" s="68">
        <v>0</v>
      </c>
      <c r="F40" s="45">
        <f>ROUND(D40*E40,2)</f>
        <v>0</v>
      </c>
      <c r="G40" s="8"/>
    </row>
    <row r="41" spans="1:8" ht="18" x14ac:dyDescent="0.25">
      <c r="A41" s="41" t="s">
        <v>2362</v>
      </c>
      <c r="B41" s="42" t="s">
        <v>2504</v>
      </c>
      <c r="C41" s="43" t="s">
        <v>1800</v>
      </c>
      <c r="D41" s="44">
        <f>D36</f>
        <v>4.8</v>
      </c>
      <c r="E41" s="68">
        <v>0</v>
      </c>
      <c r="F41" s="45">
        <f>ROUND(D41*E41,2)</f>
        <v>0</v>
      </c>
      <c r="G41" s="8"/>
    </row>
    <row r="42" spans="1:8" ht="71.25" x14ac:dyDescent="0.25">
      <c r="A42" s="41" t="s">
        <v>2505</v>
      </c>
      <c r="B42" s="42" t="s">
        <v>2506</v>
      </c>
      <c r="C42" s="43"/>
      <c r="D42" s="44"/>
      <c r="E42" s="209"/>
      <c r="F42" s="210"/>
      <c r="G42" s="8"/>
      <c r="H42" s="235"/>
    </row>
    <row r="43" spans="1:8" ht="42.75" x14ac:dyDescent="0.25">
      <c r="A43" s="41" t="s">
        <v>1761</v>
      </c>
      <c r="B43" s="42" t="s">
        <v>2507</v>
      </c>
      <c r="C43" s="43" t="s">
        <v>1826</v>
      </c>
      <c r="D43" s="44">
        <v>1</v>
      </c>
      <c r="E43" s="69">
        <v>0</v>
      </c>
      <c r="F43" s="28">
        <f>ROUND(D43*E43,2)</f>
        <v>0</v>
      </c>
      <c r="G43" s="8"/>
      <c r="H43" s="235"/>
    </row>
    <row r="44" spans="1:8" ht="42.75" x14ac:dyDescent="0.25">
      <c r="A44" s="41" t="s">
        <v>1774</v>
      </c>
      <c r="B44" s="42" t="s">
        <v>2508</v>
      </c>
      <c r="C44" s="43" t="s">
        <v>1826</v>
      </c>
      <c r="D44" s="44">
        <v>1</v>
      </c>
      <c r="E44" s="69">
        <v>0</v>
      </c>
      <c r="F44" s="28">
        <f>ROUND(D44*E44,2)</f>
        <v>0</v>
      </c>
      <c r="G44" s="8"/>
      <c r="H44" s="235"/>
    </row>
    <row r="45" spans="1:8" ht="43.5" thickBot="1" x14ac:dyDescent="0.3">
      <c r="A45" s="41" t="s">
        <v>1873</v>
      </c>
      <c r="B45" s="49" t="s">
        <v>2509</v>
      </c>
      <c r="C45" s="67" t="s">
        <v>1826</v>
      </c>
      <c r="D45" s="44">
        <v>2</v>
      </c>
      <c r="E45" s="69">
        <v>0</v>
      </c>
      <c r="F45" s="28">
        <f>ROUND(D45*E45,2)</f>
        <v>0</v>
      </c>
      <c r="G45" s="8"/>
      <c r="H45" s="235"/>
    </row>
    <row r="46" spans="1:8" ht="18.75" thickBot="1" x14ac:dyDescent="0.3">
      <c r="A46" s="34"/>
      <c r="B46" s="33"/>
      <c r="C46" s="363" t="s">
        <v>2510</v>
      </c>
      <c r="D46" s="364"/>
      <c r="E46" s="365"/>
      <c r="F46" s="18">
        <f>SUM(F14:F45)</f>
        <v>0</v>
      </c>
      <c r="G46" s="8"/>
    </row>
    <row r="47" spans="1:8" ht="18" x14ac:dyDescent="0.25">
      <c r="A47" s="41" t="s">
        <v>2511</v>
      </c>
      <c r="B47" s="35" t="s">
        <v>2512</v>
      </c>
      <c r="C47" s="43"/>
      <c r="D47" s="44"/>
      <c r="E47" s="209"/>
      <c r="F47" s="210"/>
      <c r="G47" s="8"/>
    </row>
    <row r="48" spans="1:8" ht="18" x14ac:dyDescent="0.25">
      <c r="A48" s="41"/>
      <c r="B48" s="35"/>
      <c r="C48" s="43"/>
      <c r="D48" s="44"/>
      <c r="E48" s="209"/>
      <c r="F48" s="210"/>
      <c r="G48" s="8"/>
    </row>
    <row r="49" spans="1:10" ht="18" x14ac:dyDescent="0.25">
      <c r="A49" s="41"/>
      <c r="B49" s="35" t="s">
        <v>2513</v>
      </c>
      <c r="C49" s="43"/>
      <c r="D49" s="44"/>
      <c r="E49" s="209"/>
      <c r="F49" s="210"/>
      <c r="G49" s="8"/>
    </row>
    <row r="50" spans="1:10" ht="85.5" x14ac:dyDescent="0.25">
      <c r="A50" s="41"/>
      <c r="B50" s="42" t="s">
        <v>2514</v>
      </c>
      <c r="C50" s="43"/>
      <c r="D50" s="44"/>
      <c r="E50" s="209"/>
      <c r="F50" s="210"/>
      <c r="G50" s="8"/>
    </row>
    <row r="51" spans="1:10" ht="18" x14ac:dyDescent="0.25">
      <c r="A51" s="41"/>
      <c r="B51" s="42"/>
      <c r="C51" s="43"/>
      <c r="D51" s="44"/>
      <c r="E51" s="209"/>
      <c r="F51" s="210"/>
      <c r="G51" s="8"/>
    </row>
    <row r="52" spans="1:10" ht="18" x14ac:dyDescent="0.25">
      <c r="A52" s="41"/>
      <c r="B52" s="58" t="s">
        <v>2515</v>
      </c>
      <c r="C52" s="43"/>
      <c r="D52" s="44"/>
      <c r="E52" s="209"/>
      <c r="F52" s="210"/>
      <c r="G52" s="8"/>
    </row>
    <row r="53" spans="1:10" ht="18" x14ac:dyDescent="0.25">
      <c r="A53" s="41" t="s">
        <v>2516</v>
      </c>
      <c r="B53" s="42" t="s">
        <v>2517</v>
      </c>
      <c r="C53" s="43"/>
      <c r="D53" s="44"/>
      <c r="E53" s="209"/>
      <c r="F53" s="210"/>
      <c r="G53" s="8"/>
    </row>
    <row r="54" spans="1:10" ht="57" x14ac:dyDescent="0.25">
      <c r="A54" s="41"/>
      <c r="B54" s="42" t="s">
        <v>2518</v>
      </c>
      <c r="C54" s="43"/>
      <c r="D54" s="44"/>
      <c r="E54" s="209"/>
      <c r="F54" s="210"/>
      <c r="G54" s="8"/>
      <c r="H54" s="235"/>
    </row>
    <row r="55" spans="1:10" ht="357" x14ac:dyDescent="0.25">
      <c r="A55" s="41" t="s">
        <v>1761</v>
      </c>
      <c r="B55" s="42" t="s">
        <v>2519</v>
      </c>
      <c r="C55" s="43" t="s">
        <v>1826</v>
      </c>
      <c r="D55" s="44">
        <v>1</v>
      </c>
      <c r="E55" s="68">
        <v>0</v>
      </c>
      <c r="F55" s="45">
        <f t="shared" ref="F55:F56" si="1">ROUND(D55*E55,2)</f>
        <v>0</v>
      </c>
      <c r="G55" s="8"/>
    </row>
    <row r="56" spans="1:10" ht="328.5" x14ac:dyDescent="0.25">
      <c r="A56" s="286" t="s">
        <v>1774</v>
      </c>
      <c r="B56" s="42" t="s">
        <v>2520</v>
      </c>
      <c r="C56" s="288" t="s">
        <v>1826</v>
      </c>
      <c r="D56" s="290">
        <v>1</v>
      </c>
      <c r="E56" s="292">
        <v>0</v>
      </c>
      <c r="F56" s="294">
        <f t="shared" si="1"/>
        <v>0</v>
      </c>
      <c r="G56" s="8"/>
    </row>
    <row r="57" spans="1:10" ht="72" x14ac:dyDescent="0.25">
      <c r="A57" s="352" t="s">
        <v>1873</v>
      </c>
      <c r="B57" s="42" t="s">
        <v>2521</v>
      </c>
      <c r="C57" s="354" t="s">
        <v>1826</v>
      </c>
      <c r="D57" s="356">
        <v>2</v>
      </c>
      <c r="E57" s="358">
        <v>0</v>
      </c>
      <c r="F57" s="360">
        <f>ROUND(D57*E57,2)</f>
        <v>0</v>
      </c>
      <c r="G57" s="8"/>
    </row>
    <row r="58" spans="1:10" ht="345" customHeight="1" x14ac:dyDescent="0.25">
      <c r="A58" s="353"/>
      <c r="B58" s="66" t="s">
        <v>2522</v>
      </c>
      <c r="C58" s="355"/>
      <c r="D58" s="357"/>
      <c r="E58" s="359"/>
      <c r="F58" s="361"/>
      <c r="G58" s="8"/>
    </row>
    <row r="59" spans="1:10" ht="357" x14ac:dyDescent="0.25">
      <c r="A59" s="287" t="s">
        <v>1875</v>
      </c>
      <c r="B59" s="65" t="s">
        <v>2523</v>
      </c>
      <c r="C59" s="289" t="s">
        <v>1826</v>
      </c>
      <c r="D59" s="291">
        <v>1</v>
      </c>
      <c r="E59" s="293">
        <v>0</v>
      </c>
      <c r="F59" s="295">
        <f t="shared" ref="F59:F60" si="2">ROUND(D59*E59,2)</f>
        <v>0</v>
      </c>
      <c r="G59" s="8"/>
    </row>
    <row r="60" spans="1:10" ht="328.5" x14ac:dyDescent="0.25">
      <c r="A60" s="41" t="s">
        <v>2131</v>
      </c>
      <c r="B60" s="42" t="s">
        <v>2524</v>
      </c>
      <c r="C60" s="43" t="s">
        <v>1826</v>
      </c>
      <c r="D60" s="44">
        <v>1</v>
      </c>
      <c r="E60" s="68">
        <v>0</v>
      </c>
      <c r="F60" s="45">
        <f t="shared" si="2"/>
        <v>0</v>
      </c>
      <c r="G60" s="8"/>
    </row>
    <row r="61" spans="1:10" ht="18" x14ac:dyDescent="0.25">
      <c r="A61" s="41"/>
      <c r="B61" s="42"/>
      <c r="C61" s="43"/>
      <c r="D61" s="44"/>
      <c r="E61" s="209"/>
      <c r="F61" s="210"/>
      <c r="G61" s="8"/>
    </row>
    <row r="62" spans="1:10" ht="18" x14ac:dyDescent="0.25">
      <c r="A62" s="41"/>
      <c r="B62" s="58" t="s">
        <v>2525</v>
      </c>
      <c r="C62" s="43"/>
      <c r="D62" s="44"/>
      <c r="E62" s="209"/>
      <c r="F62" s="210"/>
      <c r="G62" s="8"/>
    </row>
    <row r="63" spans="1:10" ht="18" x14ac:dyDescent="0.25">
      <c r="A63" s="41" t="s">
        <v>2526</v>
      </c>
      <c r="B63" s="49" t="s">
        <v>2517</v>
      </c>
      <c r="C63" s="43"/>
      <c r="D63" s="44"/>
      <c r="E63" s="209"/>
      <c r="F63" s="210"/>
      <c r="G63" s="8"/>
    </row>
    <row r="64" spans="1:10" ht="28.5" x14ac:dyDescent="0.25">
      <c r="A64" s="41"/>
      <c r="B64" s="49" t="s">
        <v>2527</v>
      </c>
      <c r="C64" s="43"/>
      <c r="D64" s="44"/>
      <c r="E64" s="209"/>
      <c r="F64" s="210"/>
      <c r="G64" s="8"/>
      <c r="J64" s="236"/>
    </row>
    <row r="65" spans="1:8" ht="214.5" x14ac:dyDescent="0.25">
      <c r="A65" s="41" t="s">
        <v>1761</v>
      </c>
      <c r="B65" s="49" t="s">
        <v>2528</v>
      </c>
      <c r="C65" s="43" t="s">
        <v>1826</v>
      </c>
      <c r="D65" s="44">
        <v>3</v>
      </c>
      <c r="E65" s="68">
        <v>0</v>
      </c>
      <c r="F65" s="45">
        <f>ROUND(D65*E65,2)</f>
        <v>0</v>
      </c>
      <c r="G65" s="8"/>
    </row>
    <row r="66" spans="1:8" ht="214.5" x14ac:dyDescent="0.25">
      <c r="A66" s="41" t="s">
        <v>1774</v>
      </c>
      <c r="B66" s="49" t="s">
        <v>2529</v>
      </c>
      <c r="C66" s="43" t="s">
        <v>1826</v>
      </c>
      <c r="D66" s="44">
        <v>1</v>
      </c>
      <c r="E66" s="68">
        <v>0</v>
      </c>
      <c r="F66" s="45">
        <f>ROUND(D66*E66,2)</f>
        <v>0</v>
      </c>
      <c r="G66" s="8"/>
    </row>
    <row r="67" spans="1:8" ht="214.5" x14ac:dyDescent="0.25">
      <c r="A67" s="41" t="s">
        <v>1873</v>
      </c>
      <c r="B67" s="49" t="s">
        <v>2530</v>
      </c>
      <c r="C67" s="43" t="s">
        <v>1826</v>
      </c>
      <c r="D67" s="44">
        <v>1</v>
      </c>
      <c r="E67" s="68">
        <v>0</v>
      </c>
      <c r="F67" s="45">
        <f>ROUND(D67*E67,2)</f>
        <v>0</v>
      </c>
      <c r="G67" s="8"/>
    </row>
    <row r="68" spans="1:8" ht="243" x14ac:dyDescent="0.25">
      <c r="A68" s="41" t="s">
        <v>1875</v>
      </c>
      <c r="B68" s="49" t="s">
        <v>2531</v>
      </c>
      <c r="C68" s="43" t="s">
        <v>1826</v>
      </c>
      <c r="D68" s="44">
        <v>1</v>
      </c>
      <c r="E68" s="68">
        <v>0</v>
      </c>
      <c r="F68" s="45">
        <f>ROUND(D68*E68,2)</f>
        <v>0</v>
      </c>
      <c r="G68" s="8"/>
    </row>
    <row r="69" spans="1:8" ht="18" x14ac:dyDescent="0.25">
      <c r="A69" s="41"/>
      <c r="B69" s="42"/>
      <c r="C69" s="43"/>
      <c r="D69" s="44"/>
      <c r="E69" s="209"/>
      <c r="F69" s="210"/>
      <c r="G69" s="8"/>
    </row>
    <row r="70" spans="1:8" ht="18" x14ac:dyDescent="0.25">
      <c r="A70" s="41"/>
      <c r="B70" s="30" t="s">
        <v>2532</v>
      </c>
      <c r="C70" s="43"/>
      <c r="D70" s="44"/>
      <c r="E70" s="209"/>
      <c r="F70" s="210"/>
      <c r="G70" s="8"/>
    </row>
    <row r="71" spans="1:8" ht="18" x14ac:dyDescent="0.25">
      <c r="A71" s="41" t="s">
        <v>2533</v>
      </c>
      <c r="B71" s="49" t="s">
        <v>2517</v>
      </c>
      <c r="C71" s="43"/>
      <c r="D71" s="44"/>
      <c r="E71" s="209"/>
      <c r="F71" s="210"/>
      <c r="G71" s="8"/>
    </row>
    <row r="72" spans="1:8" ht="85.5" x14ac:dyDescent="0.25">
      <c r="A72" s="41"/>
      <c r="B72" s="49" t="s">
        <v>2534</v>
      </c>
      <c r="C72" s="43"/>
      <c r="D72" s="44"/>
      <c r="E72" s="209"/>
      <c r="F72" s="210"/>
      <c r="G72" s="8"/>
      <c r="H72" s="235"/>
    </row>
    <row r="73" spans="1:8" ht="18" x14ac:dyDescent="0.25">
      <c r="A73" s="41"/>
      <c r="B73" s="30"/>
      <c r="C73" s="43"/>
      <c r="D73" s="44"/>
      <c r="E73" s="209"/>
      <c r="F73" s="210"/>
      <c r="G73" s="8"/>
    </row>
    <row r="74" spans="1:8" ht="409.5" x14ac:dyDescent="0.25">
      <c r="A74" s="41" t="s">
        <v>1761</v>
      </c>
      <c r="B74" s="49" t="s">
        <v>2535</v>
      </c>
      <c r="C74" s="43" t="s">
        <v>1826</v>
      </c>
      <c r="D74" s="44">
        <v>2</v>
      </c>
      <c r="E74" s="68">
        <v>0</v>
      </c>
      <c r="F74" s="45">
        <f>ROUND(D74*E74,2)</f>
        <v>0</v>
      </c>
      <c r="G74" s="8"/>
    </row>
    <row r="75" spans="1:8" ht="285.75" x14ac:dyDescent="0.25">
      <c r="A75" s="41" t="s">
        <v>1774</v>
      </c>
      <c r="B75" s="49" t="s">
        <v>2536</v>
      </c>
      <c r="C75" s="43" t="s">
        <v>1826</v>
      </c>
      <c r="D75" s="44">
        <v>1</v>
      </c>
      <c r="E75" s="68">
        <v>0</v>
      </c>
      <c r="F75" s="45">
        <f>ROUND(D75*E75,2)</f>
        <v>0</v>
      </c>
      <c r="G75" s="8"/>
    </row>
    <row r="76" spans="1:8" ht="18" x14ac:dyDescent="0.25">
      <c r="A76" s="41"/>
      <c r="B76" s="42"/>
      <c r="C76" s="43"/>
      <c r="D76" s="44"/>
      <c r="E76" s="209"/>
      <c r="F76" s="210"/>
      <c r="G76" s="8"/>
    </row>
    <row r="77" spans="1:8" ht="18" x14ac:dyDescent="0.25">
      <c r="A77" s="41"/>
      <c r="B77" s="35" t="s">
        <v>2537</v>
      </c>
      <c r="C77" s="43"/>
      <c r="D77" s="44"/>
      <c r="E77" s="209"/>
      <c r="F77" s="210"/>
      <c r="G77" s="237"/>
      <c r="H77" s="238"/>
    </row>
    <row r="78" spans="1:8" ht="18" x14ac:dyDescent="0.25">
      <c r="A78" s="41" t="s">
        <v>2538</v>
      </c>
      <c r="B78" s="42" t="s">
        <v>2517</v>
      </c>
      <c r="C78" s="43"/>
      <c r="D78" s="44"/>
      <c r="E78" s="209"/>
      <c r="F78" s="210"/>
      <c r="G78" s="8"/>
    </row>
    <row r="79" spans="1:8" ht="99.75" x14ac:dyDescent="0.25">
      <c r="A79" s="41"/>
      <c r="B79" s="49" t="s">
        <v>2539</v>
      </c>
      <c r="C79" s="43"/>
      <c r="D79" s="44"/>
      <c r="E79" s="209"/>
      <c r="F79" s="210"/>
      <c r="G79" s="237"/>
      <c r="H79" s="239"/>
    </row>
    <row r="80" spans="1:8" ht="200.25" x14ac:dyDescent="0.25">
      <c r="A80" s="41" t="s">
        <v>1761</v>
      </c>
      <c r="B80" s="49" t="s">
        <v>2540</v>
      </c>
      <c r="C80" s="43" t="s">
        <v>1826</v>
      </c>
      <c r="D80" s="44">
        <v>1</v>
      </c>
      <c r="E80" s="69">
        <v>0</v>
      </c>
      <c r="F80" s="28">
        <f>ROUND(D80*E80,2)</f>
        <v>0</v>
      </c>
      <c r="G80" s="8"/>
    </row>
    <row r="81" spans="1:12" ht="200.25" x14ac:dyDescent="0.25">
      <c r="A81" s="41" t="s">
        <v>1774</v>
      </c>
      <c r="B81" s="42" t="s">
        <v>2541</v>
      </c>
      <c r="C81" s="43" t="s">
        <v>1826</v>
      </c>
      <c r="D81" s="44">
        <v>1</v>
      </c>
      <c r="E81" s="69">
        <v>0</v>
      </c>
      <c r="F81" s="28">
        <f>ROUND(D81*E81,2)</f>
        <v>0</v>
      </c>
      <c r="G81" s="8"/>
    </row>
    <row r="82" spans="1:12" ht="271.5" x14ac:dyDescent="0.25">
      <c r="A82" s="41" t="s">
        <v>1873</v>
      </c>
      <c r="B82" s="49" t="s">
        <v>2542</v>
      </c>
      <c r="C82" s="43" t="s">
        <v>1826</v>
      </c>
      <c r="D82" s="44">
        <v>2</v>
      </c>
      <c r="E82" s="69">
        <v>0</v>
      </c>
      <c r="F82" s="28">
        <f>ROUND(D82*E82,2)</f>
        <v>0</v>
      </c>
      <c r="G82" s="8"/>
    </row>
    <row r="83" spans="1:12" ht="200.25" x14ac:dyDescent="0.25">
      <c r="A83" s="41" t="s">
        <v>1875</v>
      </c>
      <c r="B83" s="49" t="s">
        <v>2543</v>
      </c>
      <c r="C83" s="43" t="s">
        <v>1826</v>
      </c>
      <c r="D83" s="44">
        <v>2</v>
      </c>
      <c r="E83" s="69">
        <v>0</v>
      </c>
      <c r="F83" s="28">
        <f>ROUND(D83*E83,2)</f>
        <v>0</v>
      </c>
      <c r="G83" s="8"/>
    </row>
    <row r="84" spans="1:12" ht="200.25" x14ac:dyDescent="0.25">
      <c r="A84" s="41" t="s">
        <v>2131</v>
      </c>
      <c r="B84" s="49" t="s">
        <v>2544</v>
      </c>
      <c r="C84" s="43" t="s">
        <v>1826</v>
      </c>
      <c r="D84" s="44">
        <v>1</v>
      </c>
      <c r="E84" s="69">
        <v>0</v>
      </c>
      <c r="F84" s="28">
        <f>ROUND(D84*E84,2)</f>
        <v>0</v>
      </c>
      <c r="G84" s="8"/>
    </row>
    <row r="85" spans="1:12" ht="18" x14ac:dyDescent="0.25">
      <c r="A85" s="41"/>
      <c r="B85" s="42"/>
      <c r="C85" s="43"/>
      <c r="D85" s="44"/>
      <c r="E85" s="209"/>
      <c r="F85" s="210"/>
      <c r="G85" s="8"/>
    </row>
    <row r="86" spans="1:12" ht="18" x14ac:dyDescent="0.25">
      <c r="A86" s="41"/>
      <c r="B86" s="58" t="s">
        <v>2545</v>
      </c>
      <c r="C86" s="43"/>
      <c r="D86" s="44"/>
      <c r="E86" s="209"/>
      <c r="F86" s="210"/>
      <c r="G86" s="8"/>
    </row>
    <row r="87" spans="1:12" ht="57" x14ac:dyDescent="0.25">
      <c r="A87" s="41" t="s">
        <v>2546</v>
      </c>
      <c r="B87" s="49" t="s">
        <v>2547</v>
      </c>
      <c r="C87" s="43"/>
      <c r="D87" s="44"/>
      <c r="E87" s="209"/>
      <c r="F87" s="210"/>
      <c r="G87" s="8"/>
    </row>
    <row r="88" spans="1:12" ht="357" x14ac:dyDescent="0.25">
      <c r="A88" s="41" t="s">
        <v>1761</v>
      </c>
      <c r="B88" s="49" t="s">
        <v>2548</v>
      </c>
      <c r="C88" s="43" t="s">
        <v>1826</v>
      </c>
      <c r="D88" s="44">
        <v>1</v>
      </c>
      <c r="E88" s="68">
        <v>0</v>
      </c>
      <c r="F88" s="45">
        <f t="shared" ref="F88" si="3">ROUND(D88*E88,2)</f>
        <v>0</v>
      </c>
      <c r="G88" s="8"/>
    </row>
    <row r="89" spans="1:12" ht="18" x14ac:dyDescent="0.25">
      <c r="A89" s="41"/>
      <c r="B89" s="42"/>
      <c r="C89" s="43"/>
      <c r="D89" s="44"/>
      <c r="E89" s="209"/>
      <c r="F89" s="210"/>
      <c r="G89" s="8"/>
    </row>
    <row r="90" spans="1:12" ht="18" x14ac:dyDescent="0.25">
      <c r="A90" s="41"/>
      <c r="B90" s="35" t="s">
        <v>2549</v>
      </c>
      <c r="C90" s="43"/>
      <c r="D90" s="44"/>
      <c r="E90" s="209"/>
      <c r="F90" s="210"/>
      <c r="G90" s="8"/>
      <c r="H90" s="238"/>
    </row>
    <row r="91" spans="1:12" ht="18" x14ac:dyDescent="0.25">
      <c r="A91" s="41"/>
      <c r="B91" s="42" t="s">
        <v>2550</v>
      </c>
      <c r="C91" s="43"/>
      <c r="D91" s="44"/>
      <c r="E91" s="209"/>
      <c r="F91" s="210"/>
      <c r="G91" s="8"/>
      <c r="H91" s="240"/>
    </row>
    <row r="92" spans="1:12" ht="18" x14ac:dyDescent="0.25">
      <c r="A92" s="41"/>
      <c r="B92" s="53" t="s">
        <v>2551</v>
      </c>
      <c r="C92" s="43"/>
      <c r="D92" s="44"/>
      <c r="E92" s="209"/>
      <c r="F92" s="210"/>
      <c r="G92" s="8"/>
      <c r="H92" s="240"/>
    </row>
    <row r="93" spans="1:12" ht="18" x14ac:dyDescent="0.25">
      <c r="A93" s="41" t="s">
        <v>2552</v>
      </c>
      <c r="B93" s="49" t="s">
        <v>2553</v>
      </c>
      <c r="C93" s="43"/>
      <c r="D93" s="44"/>
      <c r="E93" s="209"/>
      <c r="F93" s="210"/>
      <c r="G93" s="8"/>
      <c r="H93" s="240"/>
    </row>
    <row r="94" spans="1:12" ht="85.5" x14ac:dyDescent="0.25">
      <c r="A94" s="41"/>
      <c r="B94" s="49" t="s">
        <v>2554</v>
      </c>
      <c r="C94" s="43"/>
      <c r="D94" s="44"/>
      <c r="E94" s="209"/>
      <c r="F94" s="210"/>
      <c r="G94" s="8"/>
      <c r="I94" s="236"/>
    </row>
    <row r="95" spans="1:12" ht="314.25" x14ac:dyDescent="0.25">
      <c r="A95" s="41" t="s">
        <v>1761</v>
      </c>
      <c r="B95" s="49" t="s">
        <v>2555</v>
      </c>
      <c r="C95" s="43" t="s">
        <v>1826</v>
      </c>
      <c r="D95" s="44">
        <v>3</v>
      </c>
      <c r="E95" s="69">
        <v>0</v>
      </c>
      <c r="F95" s="28">
        <f>ROUND(D95*E95,2)</f>
        <v>0</v>
      </c>
      <c r="G95" s="8"/>
      <c r="J95" s="236"/>
      <c r="K95" s="203"/>
      <c r="L95" s="203"/>
    </row>
    <row r="96" spans="1:12" ht="300" x14ac:dyDescent="0.25">
      <c r="A96" s="41" t="s">
        <v>1774</v>
      </c>
      <c r="B96" s="49" t="s">
        <v>2556</v>
      </c>
      <c r="C96" s="43" t="s">
        <v>1826</v>
      </c>
      <c r="D96" s="44">
        <v>2</v>
      </c>
      <c r="E96" s="69">
        <v>0</v>
      </c>
      <c r="F96" s="28">
        <f>ROUND(D96*E96,2)</f>
        <v>0</v>
      </c>
      <c r="G96" s="8"/>
    </row>
    <row r="97" spans="1:14" ht="300" x14ac:dyDescent="0.25">
      <c r="A97" s="41" t="s">
        <v>1873</v>
      </c>
      <c r="B97" s="49" t="s">
        <v>2557</v>
      </c>
      <c r="C97" s="43" t="s">
        <v>1826</v>
      </c>
      <c r="D97" s="44">
        <v>1</v>
      </c>
      <c r="E97" s="69">
        <v>0</v>
      </c>
      <c r="F97" s="28">
        <f>ROUND(D97*E97,2)</f>
        <v>0</v>
      </c>
      <c r="G97" s="8"/>
    </row>
    <row r="98" spans="1:14" ht="300" x14ac:dyDescent="0.25">
      <c r="A98" s="41" t="s">
        <v>1875</v>
      </c>
      <c r="B98" s="42" t="s">
        <v>2558</v>
      </c>
      <c r="C98" s="43" t="s">
        <v>1826</v>
      </c>
      <c r="D98" s="44">
        <v>1</v>
      </c>
      <c r="E98" s="69">
        <v>0</v>
      </c>
      <c r="F98" s="28">
        <f>ROUND(D98*E98,2)</f>
        <v>0</v>
      </c>
      <c r="G98" s="8"/>
      <c r="J98" s="241"/>
    </row>
    <row r="99" spans="1:14" ht="314.25" x14ac:dyDescent="0.25">
      <c r="A99" s="41" t="s">
        <v>2131</v>
      </c>
      <c r="B99" s="42" t="s">
        <v>2559</v>
      </c>
      <c r="C99" s="43" t="s">
        <v>1826</v>
      </c>
      <c r="D99" s="44">
        <v>2</v>
      </c>
      <c r="E99" s="69">
        <v>0</v>
      </c>
      <c r="F99" s="28">
        <f>ROUND(D99*E99,2)</f>
        <v>0</v>
      </c>
      <c r="G99" s="8"/>
      <c r="I99" s="362"/>
      <c r="J99" s="362"/>
      <c r="K99" s="362"/>
      <c r="L99" s="362"/>
      <c r="M99" s="362"/>
      <c r="N99" s="362"/>
    </row>
    <row r="100" spans="1:14" ht="18" x14ac:dyDescent="0.25">
      <c r="A100" s="41"/>
      <c r="B100" s="42"/>
      <c r="C100" s="43"/>
      <c r="D100" s="44"/>
      <c r="E100" s="209"/>
      <c r="F100" s="210"/>
      <c r="G100" s="8"/>
    </row>
    <row r="101" spans="1:14" ht="18" x14ac:dyDescent="0.25">
      <c r="A101" s="41"/>
      <c r="B101" s="35" t="s">
        <v>2560</v>
      </c>
      <c r="C101" s="43"/>
      <c r="D101" s="44"/>
      <c r="E101" s="209"/>
      <c r="F101" s="210"/>
      <c r="G101" s="8"/>
      <c r="H101" s="238"/>
    </row>
    <row r="102" spans="1:14" ht="18" x14ac:dyDescent="0.25">
      <c r="A102" s="41" t="s">
        <v>2561</v>
      </c>
      <c r="B102" s="42" t="s">
        <v>2553</v>
      </c>
      <c r="C102" s="43"/>
      <c r="D102" s="44"/>
      <c r="E102" s="209"/>
      <c r="F102" s="210"/>
      <c r="G102" s="8"/>
      <c r="H102" s="240"/>
    </row>
    <row r="103" spans="1:14" ht="85.5" x14ac:dyDescent="0.25">
      <c r="A103" s="41"/>
      <c r="B103" s="49" t="s">
        <v>2562</v>
      </c>
      <c r="C103" s="43"/>
      <c r="D103" s="44"/>
      <c r="E103" s="209"/>
      <c r="F103" s="210"/>
      <c r="G103" s="8"/>
      <c r="J103" s="236"/>
    </row>
    <row r="104" spans="1:14" ht="271.5" x14ac:dyDescent="0.25">
      <c r="A104" s="41" t="s">
        <v>1761</v>
      </c>
      <c r="B104" s="49" t="s">
        <v>2563</v>
      </c>
      <c r="C104" s="43" t="s">
        <v>1826</v>
      </c>
      <c r="D104" s="44">
        <v>1</v>
      </c>
      <c r="E104" s="69">
        <v>0</v>
      </c>
      <c r="F104" s="28">
        <f>ROUND(D104*E104,2)</f>
        <v>0</v>
      </c>
      <c r="G104" s="8"/>
    </row>
    <row r="105" spans="1:14" ht="18" x14ac:dyDescent="0.25">
      <c r="A105" s="41"/>
      <c r="B105" s="42"/>
      <c r="C105" s="43"/>
      <c r="D105" s="44"/>
      <c r="E105" s="209"/>
      <c r="F105" s="210"/>
      <c r="G105" s="8"/>
    </row>
    <row r="106" spans="1:14" ht="18" x14ac:dyDescent="0.25">
      <c r="A106" s="41"/>
      <c r="B106" s="35" t="s">
        <v>2564</v>
      </c>
      <c r="C106" s="43"/>
      <c r="D106" s="44"/>
      <c r="E106" s="209"/>
      <c r="F106" s="210"/>
      <c r="G106" s="8"/>
      <c r="H106" s="242"/>
    </row>
    <row r="107" spans="1:14" ht="71.25" x14ac:dyDescent="0.25">
      <c r="A107" s="41" t="s">
        <v>2565</v>
      </c>
      <c r="B107" s="42" t="s">
        <v>2566</v>
      </c>
      <c r="C107" s="43"/>
      <c r="D107" s="44"/>
      <c r="E107" s="243"/>
      <c r="F107" s="244"/>
      <c r="G107" s="8"/>
    </row>
    <row r="108" spans="1:14" ht="28.5" x14ac:dyDescent="0.25">
      <c r="A108" s="55" t="s">
        <v>1761</v>
      </c>
      <c r="B108" s="42" t="s">
        <v>2567</v>
      </c>
      <c r="C108" s="43" t="s">
        <v>1826</v>
      </c>
      <c r="D108" s="44">
        <f>D96</f>
        <v>2</v>
      </c>
      <c r="E108" s="68">
        <v>0</v>
      </c>
      <c r="F108" s="45">
        <f>ROUND(D108*E108,2)</f>
        <v>0</v>
      </c>
      <c r="G108" s="8"/>
      <c r="I108" s="245"/>
    </row>
    <row r="109" spans="1:14" ht="28.5" x14ac:dyDescent="0.25">
      <c r="A109" s="55" t="s">
        <v>1774</v>
      </c>
      <c r="B109" s="42" t="s">
        <v>2568</v>
      </c>
      <c r="C109" s="43" t="s">
        <v>1826</v>
      </c>
      <c r="D109" s="44">
        <f>D97</f>
        <v>1</v>
      </c>
      <c r="E109" s="68">
        <v>0</v>
      </c>
      <c r="F109" s="45">
        <f>ROUND(D109*E109,2)</f>
        <v>0</v>
      </c>
      <c r="G109" s="8"/>
    </row>
    <row r="110" spans="1:14" ht="18" x14ac:dyDescent="0.25">
      <c r="A110" s="41"/>
      <c r="B110" s="58" t="s">
        <v>2569</v>
      </c>
      <c r="C110" s="43"/>
      <c r="D110" s="44"/>
      <c r="E110" s="243"/>
      <c r="F110" s="244"/>
      <c r="G110" s="8"/>
      <c r="H110" s="242"/>
    </row>
    <row r="111" spans="1:14" ht="71.25" x14ac:dyDescent="0.25">
      <c r="A111" s="41" t="s">
        <v>2570</v>
      </c>
      <c r="B111" s="42" t="s">
        <v>2571</v>
      </c>
      <c r="C111" s="43"/>
      <c r="D111" s="44"/>
      <c r="E111" s="243"/>
      <c r="F111" s="244"/>
      <c r="G111" s="8"/>
    </row>
    <row r="112" spans="1:14" ht="28.5" x14ac:dyDescent="0.25">
      <c r="A112" s="55" t="s">
        <v>1761</v>
      </c>
      <c r="B112" s="42" t="s">
        <v>2572</v>
      </c>
      <c r="C112" s="43" t="s">
        <v>1826</v>
      </c>
      <c r="D112" s="44">
        <f>D99</f>
        <v>2</v>
      </c>
      <c r="E112" s="68">
        <v>0</v>
      </c>
      <c r="F112" s="45">
        <f>ROUND(D112*E112,2)</f>
        <v>0</v>
      </c>
      <c r="G112" s="8"/>
    </row>
    <row r="113" spans="1:8" ht="18" x14ac:dyDescent="0.25">
      <c r="A113" s="55"/>
      <c r="B113" s="42"/>
      <c r="C113" s="43"/>
      <c r="D113" s="44"/>
      <c r="E113" s="243"/>
      <c r="F113" s="244"/>
      <c r="G113" s="8"/>
    </row>
    <row r="114" spans="1:8" ht="18" x14ac:dyDescent="0.25">
      <c r="A114" s="55"/>
      <c r="B114" s="53" t="s">
        <v>2573</v>
      </c>
      <c r="C114" s="43"/>
      <c r="D114" s="44"/>
      <c r="E114" s="243"/>
      <c r="F114" s="244"/>
      <c r="G114" s="8"/>
      <c r="H114" s="238"/>
    </row>
    <row r="115" spans="1:8" ht="42.75" x14ac:dyDescent="0.25">
      <c r="A115" s="41" t="s">
        <v>2574</v>
      </c>
      <c r="B115" s="49" t="s">
        <v>2575</v>
      </c>
      <c r="C115" s="43"/>
      <c r="D115" s="44"/>
      <c r="E115" s="243"/>
      <c r="F115" s="244"/>
      <c r="G115" s="8"/>
    </row>
    <row r="116" spans="1:8" ht="18" x14ac:dyDescent="0.25">
      <c r="A116" s="55" t="s">
        <v>1761</v>
      </c>
      <c r="B116" s="49" t="s">
        <v>2576</v>
      </c>
      <c r="C116" s="43" t="s">
        <v>1826</v>
      </c>
      <c r="D116" s="44">
        <f>D95</f>
        <v>3</v>
      </c>
      <c r="E116" s="69">
        <v>0</v>
      </c>
      <c r="F116" s="28">
        <f>ROUND(D116*E116,2)</f>
        <v>0</v>
      </c>
      <c r="G116" s="8"/>
    </row>
    <row r="117" spans="1:8" ht="18" x14ac:dyDescent="0.25">
      <c r="A117" s="55" t="s">
        <v>1774</v>
      </c>
      <c r="B117" s="49" t="s">
        <v>2577</v>
      </c>
      <c r="C117" s="43" t="s">
        <v>1826</v>
      </c>
      <c r="D117" s="44">
        <f>D108</f>
        <v>2</v>
      </c>
      <c r="E117" s="69">
        <v>0</v>
      </c>
      <c r="F117" s="28">
        <f>ROUND(D117*E117,2)</f>
        <v>0</v>
      </c>
      <c r="G117" s="8"/>
    </row>
    <row r="118" spans="1:8" ht="18" x14ac:dyDescent="0.25">
      <c r="A118" s="55" t="s">
        <v>1873</v>
      </c>
      <c r="B118" s="49" t="s">
        <v>2578</v>
      </c>
      <c r="C118" s="43" t="s">
        <v>1826</v>
      </c>
      <c r="D118" s="44">
        <f>D109</f>
        <v>1</v>
      </c>
      <c r="E118" s="69">
        <v>0</v>
      </c>
      <c r="F118" s="28">
        <f>ROUND(D118*E118,2)</f>
        <v>0</v>
      </c>
      <c r="G118" s="8"/>
    </row>
    <row r="119" spans="1:8" ht="18" x14ac:dyDescent="0.25">
      <c r="A119" s="41" t="s">
        <v>1875</v>
      </c>
      <c r="B119" s="42" t="s">
        <v>2579</v>
      </c>
      <c r="C119" s="43" t="s">
        <v>1826</v>
      </c>
      <c r="D119" s="44">
        <f>D98</f>
        <v>1</v>
      </c>
      <c r="E119" s="69">
        <v>0</v>
      </c>
      <c r="F119" s="28">
        <f>ROUND(D119*E119,2)</f>
        <v>0</v>
      </c>
      <c r="G119" s="8"/>
    </row>
    <row r="120" spans="1:8" ht="18.75" thickBot="1" x14ac:dyDescent="0.3">
      <c r="A120" s="55" t="s">
        <v>2131</v>
      </c>
      <c r="B120" s="49" t="s">
        <v>2580</v>
      </c>
      <c r="C120" s="43" t="s">
        <v>1826</v>
      </c>
      <c r="D120" s="44">
        <f>D112</f>
        <v>2</v>
      </c>
      <c r="E120" s="69">
        <v>0</v>
      </c>
      <c r="F120" s="28">
        <f>ROUND(D120*E120,2)</f>
        <v>0</v>
      </c>
      <c r="G120" s="8"/>
    </row>
    <row r="121" spans="1:8" ht="18.75" thickBot="1" x14ac:dyDescent="0.3">
      <c r="A121" s="34"/>
      <c r="B121" s="62"/>
      <c r="C121" s="363" t="s">
        <v>2581</v>
      </c>
      <c r="D121" s="364"/>
      <c r="E121" s="365"/>
      <c r="F121" s="18">
        <f>SUM(F55:F120)</f>
        <v>0</v>
      </c>
      <c r="G121" s="8"/>
    </row>
    <row r="122" spans="1:8" ht="18" x14ac:dyDescent="0.25">
      <c r="A122" s="41" t="s">
        <v>2582</v>
      </c>
      <c r="B122" s="35" t="s">
        <v>2583</v>
      </c>
      <c r="C122" s="43"/>
      <c r="D122" s="44"/>
      <c r="E122" s="209"/>
      <c r="F122" s="210"/>
      <c r="G122" s="8"/>
    </row>
    <row r="123" spans="1:8" ht="57" x14ac:dyDescent="0.25">
      <c r="A123" s="41"/>
      <c r="B123" s="42" t="s">
        <v>2584</v>
      </c>
      <c r="C123" s="43"/>
      <c r="D123" s="44"/>
      <c r="E123" s="209"/>
      <c r="F123" s="210"/>
      <c r="G123" s="8"/>
    </row>
    <row r="124" spans="1:8" ht="28.5" x14ac:dyDescent="0.25">
      <c r="A124" s="41" t="s">
        <v>2585</v>
      </c>
      <c r="B124" s="42" t="s">
        <v>2586</v>
      </c>
      <c r="C124" s="43"/>
      <c r="D124" s="44"/>
      <c r="E124" s="209"/>
      <c r="F124" s="210"/>
      <c r="G124" s="8"/>
    </row>
    <row r="125" spans="1:8" ht="57" x14ac:dyDescent="0.2">
      <c r="A125" s="41" t="s">
        <v>1761</v>
      </c>
      <c r="B125" s="42" t="s">
        <v>2587</v>
      </c>
      <c r="C125" s="43"/>
      <c r="D125" s="44"/>
      <c r="E125" s="209"/>
      <c r="F125" s="210"/>
    </row>
    <row r="126" spans="1:8" s="56" customFormat="1" ht="18" x14ac:dyDescent="0.25">
      <c r="A126" s="41"/>
      <c r="B126" s="64" t="s">
        <v>2588</v>
      </c>
      <c r="C126" s="43"/>
      <c r="D126" s="44"/>
      <c r="E126" s="209"/>
      <c r="F126" s="210"/>
    </row>
    <row r="127" spans="1:8" s="56" customFormat="1" ht="18" x14ac:dyDescent="0.25">
      <c r="A127" s="41" t="s">
        <v>2494</v>
      </c>
      <c r="B127" s="51" t="s">
        <v>2589</v>
      </c>
      <c r="C127" s="43" t="s">
        <v>1826</v>
      </c>
      <c r="D127" s="44">
        <v>1</v>
      </c>
      <c r="E127" s="69">
        <v>0</v>
      </c>
      <c r="F127" s="28">
        <f t="shared" ref="F127:F134" si="4">ROUND(D127*E127,2)</f>
        <v>0</v>
      </c>
    </row>
    <row r="128" spans="1:8" s="56" customFormat="1" ht="18" x14ac:dyDescent="0.25">
      <c r="A128" s="41" t="s">
        <v>2496</v>
      </c>
      <c r="B128" s="51" t="s">
        <v>2590</v>
      </c>
      <c r="C128" s="43" t="s">
        <v>1826</v>
      </c>
      <c r="D128" s="44">
        <v>1</v>
      </c>
      <c r="E128" s="69">
        <v>0</v>
      </c>
      <c r="F128" s="28">
        <f t="shared" si="4"/>
        <v>0</v>
      </c>
    </row>
    <row r="129" spans="1:7" s="56" customFormat="1" ht="18" x14ac:dyDescent="0.25">
      <c r="A129" s="41"/>
      <c r="B129" s="51" t="s">
        <v>2591</v>
      </c>
      <c r="C129" s="43"/>
      <c r="D129" s="44"/>
      <c r="E129" s="209"/>
      <c r="F129" s="210"/>
    </row>
    <row r="130" spans="1:7" s="56" customFormat="1" ht="18" x14ac:dyDescent="0.25">
      <c r="A130" s="41" t="s">
        <v>2498</v>
      </c>
      <c r="B130" s="51" t="s">
        <v>2592</v>
      </c>
      <c r="C130" s="43" t="s">
        <v>1826</v>
      </c>
      <c r="D130" s="44">
        <v>2</v>
      </c>
      <c r="E130" s="69">
        <v>0</v>
      </c>
      <c r="F130" s="45">
        <f>ROUND(D130*E130,2)</f>
        <v>0</v>
      </c>
    </row>
    <row r="131" spans="1:7" s="56" customFormat="1" ht="57" x14ac:dyDescent="0.25">
      <c r="A131" s="41" t="s">
        <v>1774</v>
      </c>
      <c r="B131" s="51" t="s">
        <v>2593</v>
      </c>
      <c r="C131" s="43"/>
      <c r="D131" s="44"/>
      <c r="E131" s="209"/>
      <c r="F131" s="210"/>
    </row>
    <row r="132" spans="1:7" s="56" customFormat="1" ht="18" x14ac:dyDescent="0.25">
      <c r="A132" s="41" t="s">
        <v>2594</v>
      </c>
      <c r="B132" s="51" t="s">
        <v>2595</v>
      </c>
      <c r="C132" s="43" t="s">
        <v>1826</v>
      </c>
      <c r="D132" s="44">
        <v>2</v>
      </c>
      <c r="E132" s="69">
        <v>0</v>
      </c>
      <c r="F132" s="45">
        <f>ROUND(D132*E132,2)</f>
        <v>0</v>
      </c>
    </row>
    <row r="133" spans="1:7" ht="99.75" x14ac:dyDescent="0.2">
      <c r="A133" s="41" t="s">
        <v>1873</v>
      </c>
      <c r="B133" s="42" t="s">
        <v>2596</v>
      </c>
      <c r="C133" s="43" t="s">
        <v>1826</v>
      </c>
      <c r="D133" s="44">
        <v>2</v>
      </c>
      <c r="E133" s="69">
        <v>0</v>
      </c>
      <c r="F133" s="28">
        <f t="shared" si="4"/>
        <v>0</v>
      </c>
    </row>
    <row r="134" spans="1:7" ht="43.5" thickBot="1" x14ac:dyDescent="0.25">
      <c r="A134" s="41" t="s">
        <v>2597</v>
      </c>
      <c r="B134" s="42" t="s">
        <v>2598</v>
      </c>
      <c r="C134" s="43" t="s">
        <v>1800</v>
      </c>
      <c r="D134" s="246">
        <v>2</v>
      </c>
      <c r="E134" s="69">
        <v>0</v>
      </c>
      <c r="F134" s="28">
        <f t="shared" si="4"/>
        <v>0</v>
      </c>
    </row>
    <row r="135" spans="1:7" ht="30.75" customHeight="1" thickBot="1" x14ac:dyDescent="0.3">
      <c r="A135" s="34"/>
      <c r="B135" s="33"/>
      <c r="C135" s="363" t="s">
        <v>2599</v>
      </c>
      <c r="D135" s="364"/>
      <c r="E135" s="365"/>
      <c r="F135" s="18">
        <f>SUM(F127:F134)</f>
        <v>0</v>
      </c>
      <c r="G135" s="8"/>
    </row>
    <row r="136" spans="1:7" ht="15" x14ac:dyDescent="0.2">
      <c r="A136" s="41" t="s">
        <v>2600</v>
      </c>
      <c r="B136" s="35" t="s">
        <v>2601</v>
      </c>
      <c r="C136" s="43"/>
      <c r="D136" s="44"/>
      <c r="E136" s="209"/>
      <c r="F136" s="210"/>
    </row>
    <row r="137" spans="1:7" ht="100.5" thickBot="1" x14ac:dyDescent="0.25">
      <c r="A137" s="41" t="s">
        <v>1761</v>
      </c>
      <c r="B137" s="42" t="s">
        <v>2602</v>
      </c>
      <c r="C137" s="43" t="s">
        <v>1780</v>
      </c>
      <c r="D137" s="44">
        <f>(50+30+30+32)*1.2</f>
        <v>170.4</v>
      </c>
      <c r="E137" s="69">
        <v>0</v>
      </c>
      <c r="F137" s="28">
        <f>ROUND(D137*E137,2)</f>
        <v>0</v>
      </c>
    </row>
    <row r="138" spans="1:7" ht="18.75" thickBot="1" x14ac:dyDescent="0.3">
      <c r="A138" s="34"/>
      <c r="B138" s="33"/>
      <c r="C138" s="363" t="s">
        <v>2603</v>
      </c>
      <c r="D138" s="364"/>
      <c r="E138" s="365"/>
      <c r="F138" s="18">
        <f>SUM(F137)</f>
        <v>0</v>
      </c>
      <c r="G138" s="8"/>
    </row>
    <row r="139" spans="1:7" ht="15" x14ac:dyDescent="0.2">
      <c r="A139" s="41" t="s">
        <v>2604</v>
      </c>
      <c r="B139" s="35" t="s">
        <v>2605</v>
      </c>
      <c r="C139" s="43"/>
      <c r="D139" s="44"/>
      <c r="E139" s="209"/>
      <c r="F139" s="210"/>
    </row>
    <row r="140" spans="1:7" ht="28.5" x14ac:dyDescent="0.2">
      <c r="A140" s="41" t="s">
        <v>2606</v>
      </c>
      <c r="B140" s="49" t="s">
        <v>2607</v>
      </c>
      <c r="C140" s="43"/>
      <c r="D140" s="44"/>
      <c r="E140" s="209"/>
      <c r="F140" s="210"/>
    </row>
    <row r="141" spans="1:7" s="56" customFormat="1" ht="18" x14ac:dyDescent="0.25">
      <c r="A141" s="41" t="s">
        <v>1761</v>
      </c>
      <c r="B141" s="49" t="s">
        <v>2608</v>
      </c>
      <c r="C141" s="43" t="s">
        <v>1826</v>
      </c>
      <c r="D141" s="44">
        <v>3</v>
      </c>
      <c r="E141" s="69">
        <v>0</v>
      </c>
      <c r="F141" s="28">
        <f t="shared" ref="F141:F153" si="5">ROUND(D141*E141,2)</f>
        <v>0</v>
      </c>
      <c r="G141" s="63"/>
    </row>
    <row r="142" spans="1:7" s="56" customFormat="1" ht="18" x14ac:dyDescent="0.25">
      <c r="A142" s="41" t="s">
        <v>1774</v>
      </c>
      <c r="B142" s="49" t="s">
        <v>2609</v>
      </c>
      <c r="C142" s="43" t="s">
        <v>1826</v>
      </c>
      <c r="D142" s="44">
        <v>2</v>
      </c>
      <c r="E142" s="69">
        <v>0</v>
      </c>
      <c r="F142" s="28">
        <f t="shared" si="5"/>
        <v>0</v>
      </c>
      <c r="G142" s="63"/>
    </row>
    <row r="143" spans="1:7" s="56" customFormat="1" ht="18" x14ac:dyDescent="0.25">
      <c r="A143" s="41" t="s">
        <v>1873</v>
      </c>
      <c r="B143" s="49" t="s">
        <v>2610</v>
      </c>
      <c r="C143" s="43" t="s">
        <v>1826</v>
      </c>
      <c r="D143" s="44">
        <v>1</v>
      </c>
      <c r="E143" s="69">
        <v>0</v>
      </c>
      <c r="F143" s="28">
        <f t="shared" si="5"/>
        <v>0</v>
      </c>
      <c r="G143" s="63"/>
    </row>
    <row r="144" spans="1:7" s="56" customFormat="1" ht="18" x14ac:dyDescent="0.25">
      <c r="A144" s="41" t="s">
        <v>1875</v>
      </c>
      <c r="B144" s="49" t="s">
        <v>2611</v>
      </c>
      <c r="C144" s="43" t="s">
        <v>1826</v>
      </c>
      <c r="D144" s="44">
        <v>1</v>
      </c>
      <c r="E144" s="69">
        <v>0</v>
      </c>
      <c r="F144" s="28">
        <f t="shared" si="5"/>
        <v>0</v>
      </c>
      <c r="G144" s="63"/>
    </row>
    <row r="145" spans="1:7" s="56" customFormat="1" ht="18" x14ac:dyDescent="0.25">
      <c r="A145" s="41" t="s">
        <v>2131</v>
      </c>
      <c r="B145" s="49" t="s">
        <v>2612</v>
      </c>
      <c r="C145" s="43" t="s">
        <v>1826</v>
      </c>
      <c r="D145" s="44">
        <v>1</v>
      </c>
      <c r="E145" s="69">
        <v>0</v>
      </c>
      <c r="F145" s="28">
        <f>ROUND(D145*E145,2)</f>
        <v>0</v>
      </c>
      <c r="G145" s="63"/>
    </row>
    <row r="146" spans="1:7" s="56" customFormat="1" ht="18" x14ac:dyDescent="0.25">
      <c r="A146" s="41" t="s">
        <v>2133</v>
      </c>
      <c r="B146" s="49" t="s">
        <v>2613</v>
      </c>
      <c r="C146" s="43" t="s">
        <v>1826</v>
      </c>
      <c r="D146" s="44">
        <v>2</v>
      </c>
      <c r="E146" s="69">
        <v>0</v>
      </c>
      <c r="F146" s="28">
        <f t="shared" si="5"/>
        <v>0</v>
      </c>
      <c r="G146" s="63"/>
    </row>
    <row r="147" spans="1:7" s="56" customFormat="1" ht="42.75" x14ac:dyDescent="0.25">
      <c r="A147" s="41" t="s">
        <v>2614</v>
      </c>
      <c r="B147" s="49" t="s">
        <v>2615</v>
      </c>
      <c r="C147" s="43"/>
      <c r="D147" s="44"/>
      <c r="E147" s="209"/>
      <c r="F147" s="210"/>
    </row>
    <row r="148" spans="1:7" s="56" customFormat="1" ht="18" x14ac:dyDescent="0.25">
      <c r="A148" s="41" t="s">
        <v>1761</v>
      </c>
      <c r="B148" s="49" t="s">
        <v>2616</v>
      </c>
      <c r="C148" s="43" t="s">
        <v>1826</v>
      </c>
      <c r="D148" s="44">
        <f>D141</f>
        <v>3</v>
      </c>
      <c r="E148" s="69">
        <v>0</v>
      </c>
      <c r="F148" s="28">
        <f>ROUND(D148*E148,2)</f>
        <v>0</v>
      </c>
      <c r="G148" s="63"/>
    </row>
    <row r="149" spans="1:7" s="56" customFormat="1" ht="18" x14ac:dyDescent="0.25">
      <c r="A149" s="41" t="s">
        <v>1774</v>
      </c>
      <c r="B149" s="49" t="s">
        <v>2617</v>
      </c>
      <c r="C149" s="43" t="s">
        <v>1826</v>
      </c>
      <c r="D149" s="44">
        <f>D142</f>
        <v>2</v>
      </c>
      <c r="E149" s="69">
        <v>0</v>
      </c>
      <c r="F149" s="28">
        <f>ROUND(D149*E149,2)</f>
        <v>0</v>
      </c>
      <c r="G149" s="63"/>
    </row>
    <row r="150" spans="1:7" s="56" customFormat="1" ht="18" x14ac:dyDescent="0.25">
      <c r="A150" s="41" t="s">
        <v>1873</v>
      </c>
      <c r="B150" s="49" t="s">
        <v>2618</v>
      </c>
      <c r="C150" s="43" t="s">
        <v>1826</v>
      </c>
      <c r="D150" s="44">
        <f>D143</f>
        <v>1</v>
      </c>
      <c r="E150" s="69">
        <v>0</v>
      </c>
      <c r="F150" s="28">
        <f>ROUND(D150*E150,2)</f>
        <v>0</v>
      </c>
      <c r="G150" s="63"/>
    </row>
    <row r="151" spans="1:7" s="56" customFormat="1" ht="18" x14ac:dyDescent="0.25">
      <c r="A151" s="41" t="s">
        <v>1875</v>
      </c>
      <c r="B151" s="49" t="s">
        <v>2619</v>
      </c>
      <c r="C151" s="43" t="s">
        <v>1826</v>
      </c>
      <c r="D151" s="44">
        <f>D144</f>
        <v>1</v>
      </c>
      <c r="E151" s="69">
        <v>0</v>
      </c>
      <c r="F151" s="28">
        <f>ROUND(D151*E151,2)</f>
        <v>0</v>
      </c>
      <c r="G151" s="63"/>
    </row>
    <row r="152" spans="1:7" s="56" customFormat="1" ht="18" x14ac:dyDescent="0.25">
      <c r="A152" s="41" t="s">
        <v>2131</v>
      </c>
      <c r="B152" s="49" t="s">
        <v>2620</v>
      </c>
      <c r="C152" s="43" t="s">
        <v>1826</v>
      </c>
      <c r="D152" s="44">
        <f>D146</f>
        <v>2</v>
      </c>
      <c r="E152" s="69">
        <v>0</v>
      </c>
      <c r="F152" s="28">
        <f>ROUND(D152*E152,2)</f>
        <v>0</v>
      </c>
      <c r="G152" s="63"/>
    </row>
    <row r="153" spans="1:7" ht="43.5" thickBot="1" x14ac:dyDescent="0.25">
      <c r="A153" s="41" t="s">
        <v>2621</v>
      </c>
      <c r="B153" s="49" t="s">
        <v>2622</v>
      </c>
      <c r="C153" s="43" t="s">
        <v>1780</v>
      </c>
      <c r="D153" s="44">
        <f>((2+4)+7)*1.2</f>
        <v>15.6</v>
      </c>
      <c r="E153" s="69">
        <v>0</v>
      </c>
      <c r="F153" s="28">
        <f t="shared" si="5"/>
        <v>0</v>
      </c>
    </row>
    <row r="154" spans="1:7" ht="18.75" thickBot="1" x14ac:dyDescent="0.3">
      <c r="A154" s="34"/>
      <c r="B154" s="33"/>
      <c r="C154" s="363" t="s">
        <v>2623</v>
      </c>
      <c r="D154" s="364"/>
      <c r="E154" s="365"/>
      <c r="F154" s="18">
        <f>SUM(F141:F153)</f>
        <v>0</v>
      </c>
      <c r="G154" s="8"/>
    </row>
    <row r="155" spans="1:7" ht="15" x14ac:dyDescent="0.2">
      <c r="A155" s="41" t="s">
        <v>2624</v>
      </c>
      <c r="B155" s="30" t="s">
        <v>2625</v>
      </c>
      <c r="C155" s="43"/>
      <c r="D155" s="44"/>
      <c r="E155" s="209"/>
      <c r="F155" s="210"/>
    </row>
    <row r="156" spans="1:7" ht="99.75" x14ac:dyDescent="0.2">
      <c r="A156" s="41"/>
      <c r="B156" s="49" t="s">
        <v>2626</v>
      </c>
      <c r="C156" s="43"/>
      <c r="D156" s="44"/>
      <c r="E156" s="209"/>
      <c r="F156" s="210"/>
    </row>
    <row r="157" spans="1:7" ht="99.75" x14ac:dyDescent="0.2">
      <c r="A157" s="41" t="s">
        <v>2627</v>
      </c>
      <c r="B157" s="49" t="s">
        <v>2628</v>
      </c>
      <c r="C157" s="43"/>
      <c r="D157" s="44"/>
      <c r="E157" s="209"/>
      <c r="F157" s="210"/>
    </row>
    <row r="158" spans="1:7" s="56" customFormat="1" ht="18" x14ac:dyDescent="0.25">
      <c r="A158" s="55" t="s">
        <v>1761</v>
      </c>
      <c r="B158" s="49" t="s">
        <v>2629</v>
      </c>
      <c r="C158" s="43" t="s">
        <v>1780</v>
      </c>
      <c r="D158" s="44">
        <f>(50+13+7+13+8)*1.2</f>
        <v>109.2</v>
      </c>
      <c r="E158" s="69">
        <v>0</v>
      </c>
      <c r="F158" s="28">
        <f>ROUND(D158*E158,2)</f>
        <v>0</v>
      </c>
    </row>
    <row r="159" spans="1:7" s="56" customFormat="1" ht="18" customHeight="1" x14ac:dyDescent="0.25">
      <c r="A159" s="55" t="s">
        <v>1774</v>
      </c>
      <c r="B159" s="49" t="s">
        <v>2630</v>
      </c>
      <c r="C159" s="43" t="s">
        <v>1800</v>
      </c>
      <c r="D159" s="44">
        <f>(50+15+10+16+15)*1.2</f>
        <v>127.19999999999999</v>
      </c>
      <c r="E159" s="69">
        <v>0</v>
      </c>
      <c r="F159" s="28">
        <f t="shared" ref="F159:F176" si="6">ROUND(D159*E159,2)</f>
        <v>0</v>
      </c>
    </row>
    <row r="160" spans="1:7" s="56" customFormat="1" ht="71.25" x14ac:dyDescent="0.25">
      <c r="A160" s="55" t="s">
        <v>2631</v>
      </c>
      <c r="B160" s="49" t="s">
        <v>2632</v>
      </c>
      <c r="C160" s="43"/>
      <c r="D160" s="44"/>
      <c r="E160" s="209"/>
      <c r="F160" s="210"/>
    </row>
    <row r="161" spans="1:6" s="56" customFormat="1" ht="28.5" x14ac:dyDescent="0.25">
      <c r="A161" s="55" t="s">
        <v>1761</v>
      </c>
      <c r="B161" s="49" t="s">
        <v>2633</v>
      </c>
      <c r="C161" s="43" t="s">
        <v>1780</v>
      </c>
      <c r="D161" s="44">
        <f>(11+5.5)*2.6*1.2</f>
        <v>51.48</v>
      </c>
      <c r="E161" s="69">
        <v>0</v>
      </c>
      <c r="F161" s="28">
        <f t="shared" si="6"/>
        <v>0</v>
      </c>
    </row>
    <row r="162" spans="1:6" s="56" customFormat="1" ht="18" x14ac:dyDescent="0.25">
      <c r="A162" s="55" t="s">
        <v>1774</v>
      </c>
      <c r="B162" s="49" t="s">
        <v>2634</v>
      </c>
      <c r="C162" s="43" t="s">
        <v>1780</v>
      </c>
      <c r="D162" s="246">
        <f>2*(0.6+1.2)*0.3*1.2</f>
        <v>1.2959999999999998</v>
      </c>
      <c r="E162" s="69">
        <v>0</v>
      </c>
      <c r="F162" s="28">
        <f>ROUND(D162*E162,2)</f>
        <v>0</v>
      </c>
    </row>
    <row r="163" spans="1:6" s="56" customFormat="1" ht="18" x14ac:dyDescent="0.25">
      <c r="A163" s="55" t="s">
        <v>2635</v>
      </c>
      <c r="B163" s="49" t="s">
        <v>2636</v>
      </c>
      <c r="C163" s="43" t="s">
        <v>1800</v>
      </c>
      <c r="D163" s="44">
        <v>5</v>
      </c>
      <c r="E163" s="69">
        <v>0</v>
      </c>
      <c r="F163" s="28">
        <f t="shared" si="6"/>
        <v>0</v>
      </c>
    </row>
    <row r="164" spans="1:6" s="56" customFormat="1" ht="28.5" x14ac:dyDescent="0.25">
      <c r="A164" s="55" t="s">
        <v>2637</v>
      </c>
      <c r="B164" s="49" t="s">
        <v>2638</v>
      </c>
      <c r="C164" s="43" t="s">
        <v>1800</v>
      </c>
      <c r="D164" s="44">
        <v>5</v>
      </c>
      <c r="E164" s="69">
        <v>0</v>
      </c>
      <c r="F164" s="28">
        <f t="shared" si="6"/>
        <v>0</v>
      </c>
    </row>
    <row r="165" spans="1:6" s="56" customFormat="1" ht="42.75" x14ac:dyDescent="0.25">
      <c r="A165" s="55" t="s">
        <v>2639</v>
      </c>
      <c r="B165" s="49" t="s">
        <v>2640</v>
      </c>
      <c r="C165" s="43" t="s">
        <v>1800</v>
      </c>
      <c r="D165" s="44">
        <f>40*1.2</f>
        <v>48</v>
      </c>
      <c r="E165" s="69">
        <v>0</v>
      </c>
      <c r="F165" s="28">
        <f t="shared" si="6"/>
        <v>0</v>
      </c>
    </row>
    <row r="166" spans="1:6" s="56" customFormat="1" ht="75.75" customHeight="1" x14ac:dyDescent="0.25">
      <c r="A166" s="55" t="s">
        <v>2641</v>
      </c>
      <c r="B166" s="49" t="s">
        <v>2642</v>
      </c>
      <c r="C166" s="43"/>
      <c r="D166" s="44"/>
      <c r="E166" s="209"/>
      <c r="F166" s="210"/>
    </row>
    <row r="167" spans="1:6" s="56" customFormat="1" ht="18" x14ac:dyDescent="0.25">
      <c r="A167" s="55" t="s">
        <v>1761</v>
      </c>
      <c r="B167" s="49" t="s">
        <v>2643</v>
      </c>
      <c r="C167" s="43" t="s">
        <v>1780</v>
      </c>
      <c r="D167" s="44">
        <f>16*1.2</f>
        <v>19.2</v>
      </c>
      <c r="E167" s="69">
        <v>0</v>
      </c>
      <c r="F167" s="28">
        <f>ROUND(D167*E167,2)</f>
        <v>0</v>
      </c>
    </row>
    <row r="168" spans="1:6" s="56" customFormat="1" ht="18" x14ac:dyDescent="0.25">
      <c r="A168" s="55" t="s">
        <v>1774</v>
      </c>
      <c r="B168" s="49" t="s">
        <v>2644</v>
      </c>
      <c r="C168" s="43" t="s">
        <v>1780</v>
      </c>
      <c r="D168" s="44">
        <f>19*2.6*1.2</f>
        <v>59.279999999999994</v>
      </c>
      <c r="E168" s="69">
        <v>0</v>
      </c>
      <c r="F168" s="28">
        <f t="shared" si="6"/>
        <v>0</v>
      </c>
    </row>
    <row r="169" spans="1:6" s="56" customFormat="1" ht="28.5" x14ac:dyDescent="0.25">
      <c r="A169" s="55" t="s">
        <v>1873</v>
      </c>
      <c r="B169" s="49" t="s">
        <v>2645</v>
      </c>
      <c r="C169" s="43" t="s">
        <v>1800</v>
      </c>
      <c r="D169" s="44">
        <v>5</v>
      </c>
      <c r="E169" s="69">
        <v>0</v>
      </c>
      <c r="F169" s="28">
        <f t="shared" si="6"/>
        <v>0</v>
      </c>
    </row>
    <row r="170" spans="1:6" s="56" customFormat="1" ht="18" x14ac:dyDescent="0.25">
      <c r="A170" s="55" t="s">
        <v>1774</v>
      </c>
      <c r="B170" s="49" t="s">
        <v>2634</v>
      </c>
      <c r="C170" s="43" t="s">
        <v>1780</v>
      </c>
      <c r="D170" s="246">
        <f>2*(0.8+0.8)*0.3*1.2</f>
        <v>1.1519999999999999</v>
      </c>
      <c r="E170" s="69">
        <v>0</v>
      </c>
      <c r="F170" s="28">
        <f t="shared" si="6"/>
        <v>0</v>
      </c>
    </row>
    <row r="171" spans="1:6" s="56" customFormat="1" ht="114" x14ac:dyDescent="0.25">
      <c r="A171" s="55" t="s">
        <v>2646</v>
      </c>
      <c r="B171" s="49" t="s">
        <v>2647</v>
      </c>
      <c r="C171" s="43"/>
      <c r="D171" s="44"/>
      <c r="E171" s="209"/>
      <c r="F171" s="210"/>
    </row>
    <row r="172" spans="1:6" s="56" customFormat="1" ht="18" x14ac:dyDescent="0.25">
      <c r="A172" s="55" t="s">
        <v>1761</v>
      </c>
      <c r="B172" s="49" t="s">
        <v>2648</v>
      </c>
      <c r="C172" s="43" t="s">
        <v>1800</v>
      </c>
      <c r="D172" s="44">
        <f>16*1.15*1.2</f>
        <v>22.08</v>
      </c>
      <c r="E172" s="69">
        <v>0</v>
      </c>
      <c r="F172" s="28">
        <f t="shared" si="6"/>
        <v>0</v>
      </c>
    </row>
    <row r="173" spans="1:6" ht="57" x14ac:dyDescent="0.2">
      <c r="A173" s="55" t="s">
        <v>1774</v>
      </c>
      <c r="B173" s="49" t="s">
        <v>2649</v>
      </c>
      <c r="C173" s="43" t="s">
        <v>1826</v>
      </c>
      <c r="D173" s="44">
        <v>16</v>
      </c>
      <c r="E173" s="69">
        <v>0</v>
      </c>
      <c r="F173" s="28">
        <f>ROUND(D173*E173,2)</f>
        <v>0</v>
      </c>
    </row>
    <row r="174" spans="1:6" s="56" customFormat="1" ht="18" x14ac:dyDescent="0.25">
      <c r="A174" s="55" t="s">
        <v>1873</v>
      </c>
      <c r="B174" s="49" t="s">
        <v>2650</v>
      </c>
      <c r="C174" s="43" t="s">
        <v>1800</v>
      </c>
      <c r="D174" s="44">
        <f>D172</f>
        <v>22.08</v>
      </c>
      <c r="E174" s="69">
        <v>0</v>
      </c>
      <c r="F174" s="28">
        <f t="shared" si="6"/>
        <v>0</v>
      </c>
    </row>
    <row r="175" spans="1:6" s="56" customFormat="1" ht="18" x14ac:dyDescent="0.25">
      <c r="A175" s="55" t="s">
        <v>1761</v>
      </c>
      <c r="B175" s="49" t="s">
        <v>2651</v>
      </c>
      <c r="C175" s="43" t="s">
        <v>1800</v>
      </c>
      <c r="D175" s="44">
        <f>16*(0.28+0.175)*1.3*1.2</f>
        <v>11.3568</v>
      </c>
      <c r="E175" s="69">
        <v>0</v>
      </c>
      <c r="F175" s="28">
        <f t="shared" si="6"/>
        <v>0</v>
      </c>
    </row>
    <row r="176" spans="1:6" s="56" customFormat="1" ht="18.75" thickBot="1" x14ac:dyDescent="0.3">
      <c r="A176" s="55" t="s">
        <v>2652</v>
      </c>
      <c r="B176" s="49" t="s">
        <v>2653</v>
      </c>
      <c r="C176" s="43" t="s">
        <v>1800</v>
      </c>
      <c r="D176" s="44">
        <f>(50+15+10+16+15)*1.2</f>
        <v>127.19999999999999</v>
      </c>
      <c r="E176" s="69">
        <v>0</v>
      </c>
      <c r="F176" s="28">
        <f t="shared" si="6"/>
        <v>0</v>
      </c>
    </row>
    <row r="177" spans="1:7" ht="29.25" customHeight="1" thickBot="1" x14ac:dyDescent="0.3">
      <c r="A177" s="34"/>
      <c r="B177" s="33"/>
      <c r="C177" s="363" t="s">
        <v>2654</v>
      </c>
      <c r="D177" s="364"/>
      <c r="E177" s="365"/>
      <c r="F177" s="18">
        <f>SUM(F158:F176)</f>
        <v>0</v>
      </c>
      <c r="G177" s="8"/>
    </row>
    <row r="178" spans="1:7" ht="15" x14ac:dyDescent="0.2">
      <c r="A178" s="41" t="s">
        <v>2655</v>
      </c>
      <c r="B178" s="35" t="s">
        <v>2656</v>
      </c>
      <c r="C178" s="43"/>
      <c r="D178" s="44"/>
      <c r="E178" s="209"/>
      <c r="F178" s="210"/>
    </row>
    <row r="179" spans="1:7" ht="71.25" x14ac:dyDescent="0.2">
      <c r="A179" s="41" t="s">
        <v>2657</v>
      </c>
      <c r="B179" s="49" t="s">
        <v>2658</v>
      </c>
      <c r="C179" s="43" t="s">
        <v>1780</v>
      </c>
      <c r="D179" s="44">
        <f>20*1.2</f>
        <v>24</v>
      </c>
      <c r="E179" s="69">
        <v>0</v>
      </c>
      <c r="F179" s="28">
        <f>ROUND(D179*E179,2)</f>
        <v>0</v>
      </c>
    </row>
    <row r="180" spans="1:7" ht="42.75" x14ac:dyDescent="0.2">
      <c r="A180" s="41" t="s">
        <v>2659</v>
      </c>
      <c r="B180" s="49" t="s">
        <v>2660</v>
      </c>
      <c r="C180" s="43"/>
      <c r="D180" s="44"/>
      <c r="E180" s="209"/>
      <c r="F180" s="210"/>
    </row>
    <row r="181" spans="1:7" ht="57" x14ac:dyDescent="0.2">
      <c r="A181" s="41" t="s">
        <v>1761</v>
      </c>
      <c r="B181" s="49" t="s">
        <v>2661</v>
      </c>
      <c r="C181" s="43" t="s">
        <v>1780</v>
      </c>
      <c r="D181" s="44">
        <f>3*2.6*1.2</f>
        <v>9.3600000000000012</v>
      </c>
      <c r="E181" s="69">
        <v>0</v>
      </c>
      <c r="F181" s="28">
        <f>ROUND(D181*E181,2)</f>
        <v>0</v>
      </c>
    </row>
    <row r="182" spans="1:7" ht="28.5" x14ac:dyDescent="0.2">
      <c r="A182" s="41" t="s">
        <v>2662</v>
      </c>
      <c r="B182" s="49" t="s">
        <v>2663</v>
      </c>
      <c r="C182" s="43" t="s">
        <v>1780</v>
      </c>
      <c r="D182" s="44">
        <f>D181*2</f>
        <v>18.720000000000002</v>
      </c>
      <c r="E182" s="69">
        <v>0</v>
      </c>
      <c r="F182" s="28">
        <f>ROUND(D182*E182,2)</f>
        <v>0</v>
      </c>
    </row>
    <row r="183" spans="1:7" ht="29.25" thickBot="1" x14ac:dyDescent="0.25">
      <c r="A183" s="41" t="s">
        <v>2664</v>
      </c>
      <c r="B183" s="49" t="s">
        <v>2665</v>
      </c>
      <c r="C183" s="43" t="s">
        <v>1826</v>
      </c>
      <c r="D183" s="44">
        <v>1</v>
      </c>
      <c r="E183" s="69">
        <v>0</v>
      </c>
      <c r="F183" s="28">
        <f>ROUND(D183*E183,2)</f>
        <v>0</v>
      </c>
    </row>
    <row r="184" spans="1:7" ht="27" customHeight="1" thickBot="1" x14ac:dyDescent="0.3">
      <c r="A184" s="34"/>
      <c r="B184" s="33"/>
      <c r="C184" s="363" t="s">
        <v>2666</v>
      </c>
      <c r="D184" s="364"/>
      <c r="E184" s="365"/>
      <c r="F184" s="18">
        <f>SUM(F179:F183)</f>
        <v>0</v>
      </c>
      <c r="G184" s="8"/>
    </row>
    <row r="185" spans="1:7" ht="15" x14ac:dyDescent="0.2">
      <c r="A185" s="41" t="s">
        <v>2667</v>
      </c>
      <c r="B185" s="35" t="s">
        <v>2668</v>
      </c>
      <c r="C185" s="43"/>
      <c r="D185" s="44"/>
      <c r="E185" s="209"/>
      <c r="F185" s="210"/>
    </row>
    <row r="186" spans="1:7" ht="128.25" x14ac:dyDescent="0.2">
      <c r="A186" s="41" t="s">
        <v>2669</v>
      </c>
      <c r="B186" s="49" t="s">
        <v>2670</v>
      </c>
      <c r="C186" s="43"/>
      <c r="D186" s="44"/>
      <c r="E186" s="209"/>
      <c r="F186" s="210"/>
    </row>
    <row r="187" spans="1:7" ht="14.25" x14ac:dyDescent="0.2">
      <c r="A187" s="41" t="s">
        <v>1761</v>
      </c>
      <c r="B187" s="49" t="s">
        <v>2671</v>
      </c>
      <c r="C187" s="43" t="s">
        <v>1780</v>
      </c>
      <c r="D187" s="44">
        <f>'3.1'!D54+(40*3+30*3+50*1+50*2+15*2)*1.2</f>
        <v>1477.8</v>
      </c>
      <c r="E187" s="69">
        <v>0</v>
      </c>
      <c r="F187" s="28">
        <f t="shared" ref="F187:F192" si="7">ROUND(D187*E187,2)</f>
        <v>0</v>
      </c>
    </row>
    <row r="188" spans="1:7" ht="14.25" x14ac:dyDescent="0.2">
      <c r="A188" s="41" t="s">
        <v>1774</v>
      </c>
      <c r="B188" s="49" t="s">
        <v>2672</v>
      </c>
      <c r="C188" s="43" t="s">
        <v>1780</v>
      </c>
      <c r="D188" s="44">
        <f>(175+100)*1.2</f>
        <v>330</v>
      </c>
      <c r="E188" s="69">
        <v>0</v>
      </c>
      <c r="F188" s="28">
        <f t="shared" si="7"/>
        <v>0</v>
      </c>
    </row>
    <row r="189" spans="1:7" ht="14.25" x14ac:dyDescent="0.2">
      <c r="A189" s="41" t="s">
        <v>1873</v>
      </c>
      <c r="B189" s="49" t="s">
        <v>2673</v>
      </c>
      <c r="C189" s="43" t="s">
        <v>1780</v>
      </c>
      <c r="D189" s="44">
        <v>20</v>
      </c>
      <c r="E189" s="69">
        <v>0</v>
      </c>
      <c r="F189" s="28">
        <f t="shared" si="7"/>
        <v>0</v>
      </c>
    </row>
    <row r="190" spans="1:7" ht="156.75" x14ac:dyDescent="0.2">
      <c r="A190" s="41" t="s">
        <v>2674</v>
      </c>
      <c r="B190" s="49" t="s">
        <v>2675</v>
      </c>
      <c r="C190" s="43" t="s">
        <v>1780</v>
      </c>
      <c r="D190" s="44">
        <f>(50*2+50*2+15*4)*1.2</f>
        <v>312</v>
      </c>
      <c r="E190" s="69">
        <v>0</v>
      </c>
      <c r="F190" s="28">
        <f t="shared" si="7"/>
        <v>0</v>
      </c>
    </row>
    <row r="191" spans="1:7" ht="42.75" x14ac:dyDescent="0.2">
      <c r="A191" s="41" t="s">
        <v>2676</v>
      </c>
      <c r="B191" s="49" t="s">
        <v>2677</v>
      </c>
      <c r="C191" s="43" t="s">
        <v>1773</v>
      </c>
      <c r="D191" s="44">
        <v>200</v>
      </c>
      <c r="E191" s="69">
        <v>0</v>
      </c>
      <c r="F191" s="28">
        <f t="shared" si="7"/>
        <v>0</v>
      </c>
    </row>
    <row r="192" spans="1:7" ht="86.25" thickBot="1" x14ac:dyDescent="0.25">
      <c r="A192" s="41" t="s">
        <v>2678</v>
      </c>
      <c r="B192" s="49" t="s">
        <v>2679</v>
      </c>
      <c r="C192" s="43" t="s">
        <v>1773</v>
      </c>
      <c r="D192" s="44">
        <f>D191</f>
        <v>200</v>
      </c>
      <c r="E192" s="69">
        <v>0</v>
      </c>
      <c r="F192" s="28">
        <f t="shared" si="7"/>
        <v>0</v>
      </c>
    </row>
    <row r="193" spans="1:7" ht="30.75" customHeight="1" thickBot="1" x14ac:dyDescent="0.3">
      <c r="A193" s="34"/>
      <c r="B193" s="33"/>
      <c r="C193" s="363" t="s">
        <v>2680</v>
      </c>
      <c r="D193" s="364"/>
      <c r="E193" s="365"/>
      <c r="F193" s="18">
        <f>SUM(F187:F192)</f>
        <v>0</v>
      </c>
      <c r="G193" s="8"/>
    </row>
    <row r="194" spans="1:7" ht="15" x14ac:dyDescent="0.2">
      <c r="A194" s="41" t="s">
        <v>2681</v>
      </c>
      <c r="B194" s="35" t="s">
        <v>1248</v>
      </c>
      <c r="C194" s="43"/>
      <c r="D194" s="44"/>
      <c r="E194" s="209"/>
      <c r="F194" s="210"/>
    </row>
    <row r="195" spans="1:7" ht="228" x14ac:dyDescent="0.2">
      <c r="A195" s="41" t="s">
        <v>2682</v>
      </c>
      <c r="B195" s="49" t="s">
        <v>2683</v>
      </c>
      <c r="C195" s="43" t="s">
        <v>1780</v>
      </c>
      <c r="D195" s="44">
        <f>175*2*1.2</f>
        <v>420</v>
      </c>
      <c r="E195" s="69">
        <v>0</v>
      </c>
      <c r="F195" s="28">
        <f>ROUND(D195*E195,2)</f>
        <v>0</v>
      </c>
    </row>
    <row r="196" spans="1:7" ht="15" x14ac:dyDescent="0.2">
      <c r="A196" s="41"/>
      <c r="B196" s="42"/>
      <c r="C196" s="43"/>
      <c r="D196" s="44"/>
      <c r="E196" s="209"/>
      <c r="F196" s="210"/>
    </row>
    <row r="197" spans="1:7" ht="15" x14ac:dyDescent="0.2">
      <c r="A197" s="41"/>
      <c r="B197" s="35" t="s">
        <v>2684</v>
      </c>
      <c r="C197" s="43"/>
      <c r="D197" s="44"/>
      <c r="E197" s="209"/>
      <c r="F197" s="210"/>
    </row>
    <row r="198" spans="1:7" ht="99.75" x14ac:dyDescent="0.2">
      <c r="A198" s="41" t="s">
        <v>2685</v>
      </c>
      <c r="B198" s="49" t="s">
        <v>2686</v>
      </c>
      <c r="C198" s="43" t="s">
        <v>1780</v>
      </c>
      <c r="D198" s="44">
        <f>(60+30+23+90+0.35*(23+54))*1.2</f>
        <v>275.94</v>
      </c>
      <c r="E198" s="69">
        <v>0</v>
      </c>
      <c r="F198" s="28">
        <f>ROUND(D198*E198,2)</f>
        <v>0</v>
      </c>
    </row>
    <row r="199" spans="1:7" ht="270.75" x14ac:dyDescent="0.2">
      <c r="A199" s="41" t="s">
        <v>2687</v>
      </c>
      <c r="B199" s="49" t="s">
        <v>2688</v>
      </c>
      <c r="C199" s="43" t="s">
        <v>1780</v>
      </c>
      <c r="D199" s="44">
        <f>(60+30+23)*1.2</f>
        <v>135.6</v>
      </c>
      <c r="E199" s="69">
        <v>0</v>
      </c>
      <c r="F199" s="28">
        <f>ROUND(D199*E199,2)</f>
        <v>0</v>
      </c>
    </row>
    <row r="200" spans="1:7" ht="28.5" x14ac:dyDescent="0.2">
      <c r="A200" s="41" t="s">
        <v>2689</v>
      </c>
      <c r="B200" s="49" t="s">
        <v>2690</v>
      </c>
      <c r="C200" s="43" t="s">
        <v>1800</v>
      </c>
      <c r="D200" s="44">
        <f>(23+55+22)*1.2</f>
        <v>120</v>
      </c>
      <c r="E200" s="69">
        <v>0</v>
      </c>
      <c r="F200" s="28">
        <f>ROUND(D200*E200,2)</f>
        <v>0</v>
      </c>
    </row>
    <row r="201" spans="1:7" ht="15" x14ac:dyDescent="0.2">
      <c r="A201" s="41"/>
      <c r="B201" s="30" t="s">
        <v>2691</v>
      </c>
      <c r="C201" s="43"/>
      <c r="D201" s="44"/>
      <c r="E201" s="209"/>
      <c r="F201" s="210"/>
    </row>
    <row r="202" spans="1:7" ht="42.75" x14ac:dyDescent="0.2">
      <c r="A202" s="41" t="s">
        <v>2692</v>
      </c>
      <c r="B202" s="49" t="s">
        <v>2693</v>
      </c>
      <c r="C202" s="43" t="s">
        <v>1780</v>
      </c>
      <c r="D202" s="44">
        <f>(90+4*10*0.35)*1.2</f>
        <v>124.8</v>
      </c>
      <c r="E202" s="69">
        <v>0</v>
      </c>
      <c r="F202" s="28">
        <f>ROUND(D202*E202,2)</f>
        <v>0</v>
      </c>
    </row>
    <row r="203" spans="1:7" ht="114" x14ac:dyDescent="0.2">
      <c r="A203" s="41" t="s">
        <v>2694</v>
      </c>
      <c r="B203" s="49" t="s">
        <v>2695</v>
      </c>
      <c r="C203" s="43" t="s">
        <v>1780</v>
      </c>
      <c r="D203" s="44">
        <f>90*1.2</f>
        <v>108</v>
      </c>
      <c r="E203" s="69">
        <v>0</v>
      </c>
      <c r="F203" s="28">
        <f>ROUND(D203*E203,2)</f>
        <v>0</v>
      </c>
    </row>
    <row r="204" spans="1:7" ht="15" x14ac:dyDescent="0.2">
      <c r="A204" s="41"/>
      <c r="B204" s="30" t="s">
        <v>2696</v>
      </c>
      <c r="C204" s="43"/>
      <c r="D204" s="44"/>
      <c r="E204" s="209"/>
      <c r="F204" s="210"/>
    </row>
    <row r="205" spans="1:7" ht="28.5" x14ac:dyDescent="0.2">
      <c r="A205" s="41" t="s">
        <v>2697</v>
      </c>
      <c r="B205" s="49" t="s">
        <v>2698</v>
      </c>
      <c r="C205" s="43" t="s">
        <v>1800</v>
      </c>
      <c r="D205" s="44">
        <f>(45+40)*1.2</f>
        <v>102</v>
      </c>
      <c r="E205" s="69">
        <v>0</v>
      </c>
      <c r="F205" s="28">
        <f>ROUND(D205*E205,2)</f>
        <v>0</v>
      </c>
    </row>
    <row r="206" spans="1:7" ht="114" x14ac:dyDescent="0.2">
      <c r="A206" s="41" t="s">
        <v>2699</v>
      </c>
      <c r="B206" s="49" t="s">
        <v>2700</v>
      </c>
      <c r="C206" s="43" t="s">
        <v>1780</v>
      </c>
      <c r="D206" s="44">
        <f>D195</f>
        <v>420</v>
      </c>
      <c r="E206" s="69">
        <v>0</v>
      </c>
      <c r="F206" s="28">
        <f>ROUND(D206*E206,2)</f>
        <v>0</v>
      </c>
    </row>
    <row r="207" spans="1:7" ht="15" x14ac:dyDescent="0.2">
      <c r="A207" s="41"/>
      <c r="B207" s="30" t="s">
        <v>2701</v>
      </c>
      <c r="C207" s="43"/>
      <c r="D207" s="44"/>
      <c r="E207" s="209"/>
      <c r="F207" s="210"/>
    </row>
    <row r="208" spans="1:7" ht="42.75" x14ac:dyDescent="0.2">
      <c r="A208" s="41" t="s">
        <v>2702</v>
      </c>
      <c r="B208" s="49" t="s">
        <v>2703</v>
      </c>
      <c r="C208" s="43"/>
      <c r="D208" s="44"/>
      <c r="E208" s="209"/>
      <c r="F208" s="210"/>
    </row>
    <row r="209" spans="1:8" ht="42.75" x14ac:dyDescent="0.2">
      <c r="A209" s="41" t="s">
        <v>1761</v>
      </c>
      <c r="B209" s="49" t="s">
        <v>2704</v>
      </c>
      <c r="C209" s="43" t="s">
        <v>1826</v>
      </c>
      <c r="D209" s="44">
        <v>1</v>
      </c>
      <c r="E209" s="69">
        <v>0</v>
      </c>
      <c r="F209" s="28">
        <f>ROUND(D209*E209,2)</f>
        <v>0</v>
      </c>
    </row>
    <row r="210" spans="1:8" ht="74.25" customHeight="1" x14ac:dyDescent="0.2">
      <c r="A210" s="41" t="s">
        <v>1774</v>
      </c>
      <c r="B210" s="49" t="s">
        <v>2705</v>
      </c>
      <c r="C210" s="43" t="s">
        <v>1826</v>
      </c>
      <c r="D210" s="44">
        <v>1</v>
      </c>
      <c r="E210" s="69">
        <v>0</v>
      </c>
      <c r="F210" s="28">
        <f>ROUND(D210*E210,2)</f>
        <v>0</v>
      </c>
    </row>
    <row r="211" spans="1:8" ht="59.25" customHeight="1" x14ac:dyDescent="0.2">
      <c r="A211" s="41" t="s">
        <v>1873</v>
      </c>
      <c r="B211" s="49" t="s">
        <v>2706</v>
      </c>
      <c r="C211" s="43" t="s">
        <v>1826</v>
      </c>
      <c r="D211" s="44">
        <v>1</v>
      </c>
      <c r="E211" s="69">
        <v>0</v>
      </c>
      <c r="F211" s="28">
        <f>ROUND(D211*E211,2)</f>
        <v>0</v>
      </c>
    </row>
    <row r="212" spans="1:8" ht="100.5" thickBot="1" x14ac:dyDescent="0.3">
      <c r="A212" s="41" t="s">
        <v>2707</v>
      </c>
      <c r="B212" s="49" t="s">
        <v>2708</v>
      </c>
      <c r="C212" s="43" t="s">
        <v>1780</v>
      </c>
      <c r="D212" s="44">
        <f>D202</f>
        <v>124.8</v>
      </c>
      <c r="E212" s="69">
        <v>0</v>
      </c>
      <c r="F212" s="28">
        <f>ROUND(D212*E212,2)</f>
        <v>0</v>
      </c>
      <c r="H212" s="247"/>
    </row>
    <row r="213" spans="1:8" ht="18.75" thickBot="1" x14ac:dyDescent="0.3">
      <c r="A213" s="34"/>
      <c r="B213" s="33"/>
      <c r="C213" s="363" t="s">
        <v>2709</v>
      </c>
      <c r="D213" s="364"/>
      <c r="E213" s="365"/>
      <c r="F213" s="18">
        <f>SUM(F195:F212)</f>
        <v>0</v>
      </c>
      <c r="G213" s="8"/>
    </row>
    <row r="214" spans="1:8" ht="15" x14ac:dyDescent="0.2">
      <c r="A214" s="41" t="s">
        <v>2710</v>
      </c>
      <c r="B214" s="35" t="s">
        <v>2711</v>
      </c>
      <c r="C214" s="43"/>
      <c r="D214" s="44"/>
      <c r="E214" s="209"/>
      <c r="F214" s="210"/>
    </row>
    <row r="215" spans="1:8" ht="42.75" x14ac:dyDescent="0.25">
      <c r="A215" s="41" t="s">
        <v>2712</v>
      </c>
      <c r="B215" s="49" t="s">
        <v>2713</v>
      </c>
      <c r="C215" s="43" t="s">
        <v>1826</v>
      </c>
      <c r="D215" s="44">
        <v>10</v>
      </c>
      <c r="E215" s="69">
        <v>0</v>
      </c>
      <c r="F215" s="28">
        <f>ROUND(D215*E215,2)</f>
        <v>0</v>
      </c>
      <c r="H215" s="245"/>
    </row>
    <row r="216" spans="1:8" ht="86.25" thickBot="1" x14ac:dyDescent="0.3">
      <c r="A216" s="41" t="s">
        <v>2714</v>
      </c>
      <c r="B216" s="49" t="s">
        <v>2715</v>
      </c>
      <c r="C216" s="43" t="s">
        <v>1826</v>
      </c>
      <c r="D216" s="44">
        <f>D215</f>
        <v>10</v>
      </c>
      <c r="E216" s="69">
        <v>0</v>
      </c>
      <c r="F216" s="28">
        <f>ROUND(D216*E216,2)</f>
        <v>0</v>
      </c>
      <c r="H216" s="245"/>
    </row>
    <row r="217" spans="1:8" ht="18.75" thickBot="1" x14ac:dyDescent="0.3">
      <c r="A217" s="34"/>
      <c r="B217" s="33"/>
      <c r="C217" s="363" t="s">
        <v>2716</v>
      </c>
      <c r="D217" s="364"/>
      <c r="E217" s="365"/>
      <c r="F217" s="18">
        <f>SUM(F215:F216)</f>
        <v>0</v>
      </c>
      <c r="G217" s="8"/>
    </row>
    <row r="218" spans="1:8" ht="18.75" thickBot="1" x14ac:dyDescent="0.3">
      <c r="A218" s="47"/>
      <c r="B218" s="248"/>
      <c r="C218" s="233"/>
      <c r="D218" s="234"/>
      <c r="E218" s="243"/>
      <c r="F218" s="244"/>
      <c r="G218" s="8"/>
    </row>
    <row r="219" spans="1:8" ht="18.75" thickBot="1" x14ac:dyDescent="0.3">
      <c r="A219" s="271"/>
      <c r="B219" s="272"/>
      <c r="C219" s="363" t="s">
        <v>2717</v>
      </c>
      <c r="D219" s="364"/>
      <c r="E219" s="365"/>
      <c r="F219" s="46">
        <f>F10+F46+F121+F135+F138+F154+F177+F184+F193+F213+F217</f>
        <v>0</v>
      </c>
      <c r="G219" s="8"/>
    </row>
    <row r="220" spans="1:8" x14ac:dyDescent="0.2">
      <c r="A220" s="275"/>
      <c r="B220" s="78"/>
      <c r="C220" s="189"/>
      <c r="D220" s="249"/>
      <c r="E220" s="229"/>
      <c r="F220" s="187"/>
    </row>
    <row r="221" spans="1:8" x14ac:dyDescent="0.2">
      <c r="A221" s="275"/>
      <c r="B221" s="78"/>
      <c r="C221" s="189"/>
      <c r="D221" s="249"/>
      <c r="E221" s="229"/>
      <c r="F221" s="187"/>
    </row>
    <row r="222" spans="1:8" x14ac:dyDescent="0.2">
      <c r="A222" s="275"/>
      <c r="B222" s="78"/>
      <c r="C222" s="189"/>
      <c r="D222" s="249"/>
      <c r="E222" s="229"/>
      <c r="F222" s="187"/>
    </row>
    <row r="223" spans="1:8" x14ac:dyDescent="0.2">
      <c r="A223" s="275"/>
      <c r="B223" s="78"/>
      <c r="C223" s="189"/>
      <c r="D223" s="249"/>
      <c r="E223" s="229"/>
      <c r="F223" s="187"/>
    </row>
    <row r="224" spans="1:8" x14ac:dyDescent="0.2">
      <c r="A224" s="275"/>
      <c r="B224" s="78"/>
      <c r="C224" s="189"/>
      <c r="D224" s="249"/>
      <c r="E224" s="229"/>
      <c r="F224" s="187"/>
    </row>
    <row r="225" spans="1:6" x14ac:dyDescent="0.2">
      <c r="A225" s="275"/>
      <c r="B225" s="78"/>
      <c r="C225" s="189"/>
      <c r="D225" s="249"/>
      <c r="E225" s="229"/>
      <c r="F225" s="187"/>
    </row>
    <row r="226" spans="1:6" x14ac:dyDescent="0.2">
      <c r="A226" s="275"/>
      <c r="B226" s="78"/>
      <c r="C226" s="189"/>
      <c r="D226" s="249"/>
      <c r="E226" s="229"/>
      <c r="F226" s="187"/>
    </row>
    <row r="227" spans="1:6" x14ac:dyDescent="0.2">
      <c r="A227" s="275"/>
      <c r="B227" s="78"/>
      <c r="C227" s="189"/>
      <c r="D227" s="249"/>
      <c r="E227" s="229"/>
      <c r="F227" s="187"/>
    </row>
    <row r="228" spans="1:6" x14ac:dyDescent="0.2">
      <c r="A228" s="275"/>
      <c r="B228" s="78"/>
      <c r="C228" s="189"/>
      <c r="D228" s="249"/>
      <c r="E228" s="229"/>
      <c r="F228" s="187"/>
    </row>
    <row r="229" spans="1:6" x14ac:dyDescent="0.2">
      <c r="A229" s="275"/>
      <c r="B229" s="78"/>
      <c r="C229" s="189"/>
      <c r="D229" s="249"/>
      <c r="E229" s="229"/>
      <c r="F229" s="187"/>
    </row>
    <row r="230" spans="1:6" x14ac:dyDescent="0.2">
      <c r="A230" s="275"/>
      <c r="B230" s="78"/>
      <c r="C230" s="189"/>
      <c r="D230" s="249"/>
      <c r="E230" s="229"/>
      <c r="F230" s="187"/>
    </row>
    <row r="231" spans="1:6" x14ac:dyDescent="0.2">
      <c r="A231" s="275"/>
      <c r="B231" s="78"/>
      <c r="C231" s="189"/>
      <c r="D231" s="249"/>
      <c r="E231" s="229"/>
      <c r="F231" s="187"/>
    </row>
    <row r="232" spans="1:6" x14ac:dyDescent="0.2">
      <c r="A232" s="275"/>
      <c r="B232" s="78"/>
      <c r="C232" s="189"/>
      <c r="D232" s="249"/>
      <c r="E232" s="229"/>
      <c r="F232" s="187"/>
    </row>
    <row r="233" spans="1:6" x14ac:dyDescent="0.2">
      <c r="A233" s="275"/>
      <c r="B233" s="78"/>
      <c r="C233" s="189"/>
      <c r="D233" s="249"/>
      <c r="E233" s="229"/>
      <c r="F233" s="187"/>
    </row>
    <row r="234" spans="1:6" x14ac:dyDescent="0.2">
      <c r="A234" s="275"/>
      <c r="B234" s="78"/>
      <c r="C234" s="189"/>
      <c r="D234" s="249"/>
      <c r="E234" s="229"/>
      <c r="F234" s="187"/>
    </row>
    <row r="235" spans="1:6" x14ac:dyDescent="0.2">
      <c r="A235" s="275"/>
      <c r="B235" s="78"/>
      <c r="C235" s="189"/>
      <c r="D235" s="249"/>
      <c r="E235" s="229"/>
      <c r="F235" s="187"/>
    </row>
    <row r="236" spans="1:6" x14ac:dyDescent="0.2">
      <c r="A236" s="275"/>
      <c r="B236" s="78"/>
      <c r="C236" s="189"/>
      <c r="D236" s="249"/>
      <c r="E236" s="229"/>
      <c r="F236" s="187"/>
    </row>
    <row r="237" spans="1:6" x14ac:dyDescent="0.2">
      <c r="A237" s="275"/>
      <c r="B237" s="78"/>
      <c r="C237" s="189"/>
      <c r="D237" s="249"/>
      <c r="E237" s="229"/>
      <c r="F237" s="187"/>
    </row>
    <row r="238" spans="1:6" x14ac:dyDescent="0.2">
      <c r="A238" s="275"/>
      <c r="B238" s="78"/>
      <c r="C238" s="189"/>
      <c r="D238" s="249"/>
      <c r="E238" s="229"/>
      <c r="F238" s="187"/>
    </row>
    <row r="239" spans="1:6" x14ac:dyDescent="0.2">
      <c r="A239" s="275"/>
      <c r="B239" s="78"/>
      <c r="C239" s="189"/>
      <c r="D239" s="249"/>
      <c r="E239" s="229"/>
      <c r="F239" s="187"/>
    </row>
    <row r="240" spans="1:6" x14ac:dyDescent="0.2">
      <c r="A240" s="275"/>
      <c r="B240" s="78"/>
      <c r="C240" s="189"/>
      <c r="D240" s="249"/>
      <c r="E240" s="229"/>
      <c r="F240" s="187"/>
    </row>
    <row r="241" spans="1:6" x14ac:dyDescent="0.2">
      <c r="A241" s="275"/>
      <c r="B241" s="78"/>
      <c r="C241" s="189"/>
      <c r="D241" s="249"/>
      <c r="E241" s="229"/>
      <c r="F241" s="187"/>
    </row>
    <row r="242" spans="1:6" x14ac:dyDescent="0.2">
      <c r="A242" s="275"/>
      <c r="B242" s="78"/>
      <c r="C242" s="189"/>
      <c r="D242" s="249"/>
      <c r="E242" s="229"/>
      <c r="F242" s="187"/>
    </row>
    <row r="243" spans="1:6" x14ac:dyDescent="0.2">
      <c r="A243" s="275"/>
      <c r="B243" s="78"/>
      <c r="C243" s="189"/>
      <c r="D243" s="249"/>
      <c r="E243" s="229"/>
      <c r="F243" s="187"/>
    </row>
    <row r="244" spans="1:6" x14ac:dyDescent="0.2">
      <c r="A244" s="275"/>
      <c r="B244" s="78"/>
      <c r="C244" s="189"/>
      <c r="D244" s="249"/>
      <c r="E244" s="229"/>
      <c r="F244" s="187"/>
    </row>
    <row r="245" spans="1:6" x14ac:dyDescent="0.2">
      <c r="A245" s="275"/>
      <c r="B245" s="78"/>
      <c r="C245" s="189"/>
      <c r="D245" s="249"/>
      <c r="E245" s="229"/>
      <c r="F245" s="187"/>
    </row>
    <row r="246" spans="1:6" x14ac:dyDescent="0.2">
      <c r="A246" s="275"/>
      <c r="B246" s="78"/>
      <c r="C246" s="189"/>
      <c r="D246" s="249"/>
      <c r="E246" s="229"/>
      <c r="F246" s="187"/>
    </row>
    <row r="247" spans="1:6" x14ac:dyDescent="0.2">
      <c r="A247" s="275"/>
      <c r="B247" s="78"/>
      <c r="C247" s="189"/>
      <c r="D247" s="249"/>
      <c r="E247" s="229"/>
      <c r="F247" s="187"/>
    </row>
    <row r="248" spans="1:6" x14ac:dyDescent="0.2">
      <c r="A248" s="275"/>
      <c r="B248" s="78"/>
      <c r="C248" s="189"/>
      <c r="D248" s="249"/>
      <c r="E248" s="229"/>
      <c r="F248" s="187"/>
    </row>
    <row r="249" spans="1:6" x14ac:dyDescent="0.2">
      <c r="A249" s="275"/>
      <c r="B249" s="78"/>
      <c r="C249" s="189"/>
      <c r="D249" s="249"/>
      <c r="E249" s="229"/>
      <c r="F249" s="187"/>
    </row>
    <row r="250" spans="1:6" x14ac:dyDescent="0.2">
      <c r="A250" s="275"/>
      <c r="B250" s="78"/>
      <c r="C250" s="189"/>
      <c r="D250" s="249"/>
      <c r="E250" s="229"/>
      <c r="F250" s="187"/>
    </row>
    <row r="251" spans="1:6" x14ac:dyDescent="0.2">
      <c r="A251" s="275"/>
      <c r="B251" s="78"/>
      <c r="C251" s="189"/>
      <c r="D251" s="249"/>
      <c r="E251" s="229"/>
      <c r="F251" s="187"/>
    </row>
    <row r="252" spans="1:6" x14ac:dyDescent="0.2">
      <c r="A252" s="275"/>
      <c r="B252" s="78"/>
      <c r="C252" s="189"/>
      <c r="D252" s="249"/>
      <c r="E252" s="229"/>
      <c r="F252" s="187"/>
    </row>
    <row r="253" spans="1:6" x14ac:dyDescent="0.2">
      <c r="A253" s="275"/>
      <c r="B253" s="78"/>
      <c r="C253" s="189"/>
      <c r="D253" s="249"/>
      <c r="E253" s="229"/>
      <c r="F253" s="187"/>
    </row>
    <row r="254" spans="1:6" x14ac:dyDescent="0.2">
      <c r="A254" s="275"/>
      <c r="B254" s="78"/>
      <c r="C254" s="189"/>
      <c r="D254" s="249"/>
      <c r="E254" s="229"/>
      <c r="F254" s="187"/>
    </row>
    <row r="255" spans="1:6" x14ac:dyDescent="0.2">
      <c r="A255" s="275"/>
      <c r="B255" s="78"/>
      <c r="C255" s="189"/>
      <c r="D255" s="249"/>
      <c r="E255" s="229"/>
      <c r="F255" s="187"/>
    </row>
    <row r="256" spans="1:6" x14ac:dyDescent="0.2">
      <c r="A256" s="275"/>
      <c r="B256" s="78"/>
      <c r="C256" s="189"/>
      <c r="D256" s="249"/>
      <c r="E256" s="229"/>
      <c r="F256" s="187"/>
    </row>
    <row r="257" spans="1:6" x14ac:dyDescent="0.2">
      <c r="A257" s="275"/>
      <c r="B257" s="78"/>
      <c r="C257" s="189"/>
      <c r="D257" s="249"/>
      <c r="E257" s="229"/>
      <c r="F257" s="187"/>
    </row>
    <row r="258" spans="1:6" x14ac:dyDescent="0.2">
      <c r="A258" s="275"/>
      <c r="B258" s="78"/>
      <c r="C258" s="189"/>
      <c r="D258" s="249"/>
      <c r="E258" s="229"/>
      <c r="F258" s="187"/>
    </row>
    <row r="259" spans="1:6" x14ac:dyDescent="0.2">
      <c r="A259" s="275"/>
      <c r="B259" s="78"/>
      <c r="C259" s="189"/>
      <c r="D259" s="249"/>
      <c r="E259" s="229"/>
      <c r="F259" s="187"/>
    </row>
    <row r="260" spans="1:6" x14ac:dyDescent="0.2">
      <c r="A260" s="275"/>
      <c r="B260" s="78"/>
      <c r="C260" s="189"/>
      <c r="D260" s="249"/>
      <c r="E260" s="229"/>
      <c r="F260" s="187"/>
    </row>
    <row r="261" spans="1:6" x14ac:dyDescent="0.2">
      <c r="A261" s="275"/>
      <c r="B261" s="78"/>
      <c r="C261" s="189"/>
      <c r="D261" s="249"/>
      <c r="E261" s="229"/>
      <c r="F261" s="187"/>
    </row>
    <row r="262" spans="1:6" x14ac:dyDescent="0.2">
      <c r="A262" s="275"/>
      <c r="B262" s="78"/>
      <c r="C262" s="189"/>
      <c r="D262" s="249"/>
      <c r="E262" s="229"/>
      <c r="F262" s="187"/>
    </row>
    <row r="263" spans="1:6" x14ac:dyDescent="0.2">
      <c r="A263" s="275"/>
      <c r="B263" s="78"/>
      <c r="C263" s="189"/>
      <c r="D263" s="249"/>
      <c r="E263" s="229"/>
      <c r="F263" s="187"/>
    </row>
    <row r="264" spans="1:6" x14ac:dyDescent="0.2">
      <c r="A264" s="275"/>
      <c r="B264" s="78"/>
      <c r="C264" s="189"/>
      <c r="D264" s="249"/>
      <c r="E264" s="229"/>
      <c r="F264" s="187"/>
    </row>
    <row r="265" spans="1:6" x14ac:dyDescent="0.2">
      <c r="A265" s="275"/>
      <c r="B265" s="78"/>
      <c r="C265" s="189"/>
      <c r="D265" s="249"/>
      <c r="E265" s="229"/>
      <c r="F265" s="187"/>
    </row>
    <row r="266" spans="1:6" x14ac:dyDescent="0.2">
      <c r="A266" s="275"/>
      <c r="B266" s="78"/>
      <c r="C266" s="189"/>
      <c r="D266" s="249"/>
      <c r="E266" s="229"/>
      <c r="F266" s="187"/>
    </row>
    <row r="267" spans="1:6" x14ac:dyDescent="0.2">
      <c r="A267" s="275"/>
      <c r="B267" s="78"/>
      <c r="C267" s="189"/>
      <c r="D267" s="249"/>
      <c r="E267" s="229"/>
      <c r="F267" s="187"/>
    </row>
    <row r="268" spans="1:6" x14ac:dyDescent="0.2">
      <c r="A268" s="275"/>
      <c r="B268" s="78"/>
      <c r="C268" s="189"/>
      <c r="D268" s="249"/>
      <c r="E268" s="229"/>
      <c r="F268" s="187"/>
    </row>
    <row r="269" spans="1:6" x14ac:dyDescent="0.2">
      <c r="A269" s="275"/>
      <c r="B269" s="78"/>
      <c r="C269" s="189"/>
      <c r="D269" s="249"/>
      <c r="E269" s="229"/>
      <c r="F269" s="187"/>
    </row>
    <row r="270" spans="1:6" x14ac:dyDescent="0.2">
      <c r="A270" s="275"/>
      <c r="B270" s="78"/>
      <c r="C270" s="189"/>
      <c r="D270" s="249"/>
      <c r="E270" s="229"/>
      <c r="F270" s="187"/>
    </row>
    <row r="271" spans="1:6" x14ac:dyDescent="0.2">
      <c r="A271" s="275"/>
      <c r="B271" s="78"/>
      <c r="C271" s="189"/>
      <c r="D271" s="249"/>
      <c r="E271" s="229"/>
      <c r="F271" s="187"/>
    </row>
    <row r="272" spans="1:6" x14ac:dyDescent="0.2">
      <c r="A272" s="275"/>
      <c r="B272" s="78"/>
      <c r="C272" s="189"/>
      <c r="D272" s="249"/>
      <c r="E272" s="229"/>
      <c r="F272" s="187"/>
    </row>
    <row r="273" spans="1:6" x14ac:dyDescent="0.2">
      <c r="A273" s="275"/>
      <c r="B273" s="78"/>
      <c r="C273" s="189"/>
      <c r="D273" s="249"/>
      <c r="E273" s="229"/>
      <c r="F273" s="187"/>
    </row>
    <row r="274" spans="1:6" x14ac:dyDescent="0.2">
      <c r="A274" s="275"/>
      <c r="B274" s="78"/>
      <c r="C274" s="189"/>
      <c r="D274" s="249"/>
      <c r="E274" s="229"/>
      <c r="F274" s="187"/>
    </row>
    <row r="275" spans="1:6" x14ac:dyDescent="0.2">
      <c r="A275" s="275"/>
      <c r="B275" s="78"/>
      <c r="C275" s="189"/>
      <c r="D275" s="249"/>
      <c r="E275" s="229"/>
      <c r="F275" s="187"/>
    </row>
    <row r="276" spans="1:6" x14ac:dyDescent="0.2">
      <c r="A276" s="275"/>
      <c r="B276" s="78"/>
      <c r="C276" s="189"/>
      <c r="D276" s="249"/>
      <c r="E276" s="229"/>
      <c r="F276" s="187"/>
    </row>
    <row r="277" spans="1:6" x14ac:dyDescent="0.2">
      <c r="A277" s="275"/>
      <c r="B277" s="78"/>
      <c r="C277" s="189"/>
      <c r="D277" s="249"/>
      <c r="E277" s="229"/>
      <c r="F277" s="187"/>
    </row>
    <row r="278" spans="1:6" x14ac:dyDescent="0.2">
      <c r="A278" s="275"/>
      <c r="B278" s="78"/>
      <c r="C278" s="189"/>
      <c r="D278" s="249"/>
      <c r="E278" s="229"/>
      <c r="F278" s="187"/>
    </row>
    <row r="279" spans="1:6" x14ac:dyDescent="0.2">
      <c r="A279" s="275"/>
      <c r="B279" s="78"/>
      <c r="C279" s="189"/>
      <c r="D279" s="249"/>
      <c r="E279" s="229"/>
      <c r="F279" s="187"/>
    </row>
    <row r="280" spans="1:6" x14ac:dyDescent="0.2">
      <c r="A280" s="275"/>
      <c r="B280" s="78"/>
      <c r="C280" s="189"/>
      <c r="D280" s="249"/>
      <c r="E280" s="229"/>
      <c r="F280" s="187"/>
    </row>
    <row r="281" spans="1:6" x14ac:dyDescent="0.2">
      <c r="A281" s="275"/>
      <c r="B281" s="78"/>
      <c r="C281" s="189"/>
      <c r="D281" s="249"/>
      <c r="E281" s="229"/>
      <c r="F281" s="187"/>
    </row>
    <row r="282" spans="1:6" x14ac:dyDescent="0.2">
      <c r="A282" s="275"/>
      <c r="B282" s="78"/>
      <c r="C282" s="189"/>
      <c r="D282" s="249"/>
      <c r="E282" s="229"/>
      <c r="F282" s="187"/>
    </row>
    <row r="283" spans="1:6" x14ac:dyDescent="0.2">
      <c r="A283" s="275"/>
      <c r="B283" s="78"/>
      <c r="C283" s="189"/>
      <c r="D283" s="249"/>
      <c r="E283" s="229"/>
      <c r="F283" s="187"/>
    </row>
    <row r="284" spans="1:6" x14ac:dyDescent="0.2">
      <c r="A284" s="275"/>
      <c r="B284" s="78"/>
      <c r="C284" s="189"/>
      <c r="D284" s="249"/>
      <c r="E284" s="229"/>
      <c r="F284" s="187"/>
    </row>
    <row r="285" spans="1:6" x14ac:dyDescent="0.2">
      <c r="A285" s="275"/>
      <c r="B285" s="78"/>
      <c r="C285" s="189"/>
      <c r="D285" s="249"/>
      <c r="E285" s="229"/>
      <c r="F285" s="187"/>
    </row>
    <row r="286" spans="1:6" x14ac:dyDescent="0.2">
      <c r="A286" s="275"/>
      <c r="B286" s="78"/>
      <c r="C286" s="189"/>
      <c r="D286" s="249"/>
      <c r="E286" s="229"/>
      <c r="F286" s="187"/>
    </row>
    <row r="287" spans="1:6" x14ac:dyDescent="0.2">
      <c r="A287" s="275"/>
      <c r="B287" s="78"/>
      <c r="C287" s="189"/>
      <c r="D287" s="249"/>
      <c r="E287" s="229"/>
      <c r="F287" s="187"/>
    </row>
    <row r="288" spans="1:6" x14ac:dyDescent="0.2">
      <c r="A288" s="275"/>
      <c r="B288" s="78"/>
      <c r="C288" s="189"/>
      <c r="D288" s="249"/>
      <c r="E288" s="229"/>
      <c r="F288" s="187"/>
    </row>
    <row r="289" spans="1:6" x14ac:dyDescent="0.2">
      <c r="A289" s="275"/>
      <c r="B289" s="78"/>
      <c r="C289" s="189"/>
      <c r="D289" s="249"/>
      <c r="E289" s="229"/>
      <c r="F289" s="187"/>
    </row>
    <row r="290" spans="1:6" x14ac:dyDescent="0.2">
      <c r="A290" s="275"/>
      <c r="B290" s="78"/>
      <c r="C290" s="189"/>
      <c r="D290" s="249"/>
      <c r="E290" s="229"/>
      <c r="F290" s="187"/>
    </row>
    <row r="291" spans="1:6" x14ac:dyDescent="0.2">
      <c r="A291" s="275"/>
      <c r="B291" s="78"/>
      <c r="C291" s="189"/>
      <c r="D291" s="249"/>
      <c r="E291" s="229"/>
      <c r="F291" s="187"/>
    </row>
    <row r="292" spans="1:6" x14ac:dyDescent="0.2">
      <c r="A292" s="275"/>
      <c r="B292" s="78"/>
      <c r="C292" s="189"/>
      <c r="D292" s="249"/>
      <c r="E292" s="229"/>
      <c r="F292" s="187"/>
    </row>
    <row r="293" spans="1:6" x14ac:dyDescent="0.2">
      <c r="A293" s="275"/>
      <c r="B293" s="78"/>
      <c r="C293" s="189"/>
      <c r="D293" s="249"/>
      <c r="E293" s="229"/>
      <c r="F293" s="187"/>
    </row>
    <row r="294" spans="1:6" x14ac:dyDescent="0.2">
      <c r="A294" s="275"/>
      <c r="B294" s="78"/>
      <c r="C294" s="189"/>
      <c r="D294" s="249"/>
      <c r="E294" s="229"/>
      <c r="F294" s="187"/>
    </row>
    <row r="295" spans="1:6" x14ac:dyDescent="0.2">
      <c r="A295" s="275"/>
      <c r="B295" s="78"/>
      <c r="C295" s="189"/>
      <c r="D295" s="249"/>
      <c r="E295" s="229"/>
      <c r="F295" s="187"/>
    </row>
    <row r="296" spans="1:6" x14ac:dyDescent="0.2">
      <c r="A296" s="275"/>
      <c r="B296" s="78"/>
      <c r="C296" s="189"/>
      <c r="D296" s="249"/>
      <c r="E296" s="229"/>
      <c r="F296" s="187"/>
    </row>
    <row r="297" spans="1:6" x14ac:dyDescent="0.2">
      <c r="A297" s="275"/>
      <c r="B297" s="78"/>
      <c r="C297" s="189"/>
      <c r="D297" s="249"/>
      <c r="E297" s="229"/>
      <c r="F297" s="187"/>
    </row>
    <row r="298" spans="1:6" x14ac:dyDescent="0.2">
      <c r="A298" s="275"/>
      <c r="B298" s="78"/>
      <c r="C298" s="189"/>
      <c r="D298" s="249"/>
      <c r="E298" s="229"/>
      <c r="F298" s="187"/>
    </row>
    <row r="299" spans="1:6" x14ac:dyDescent="0.2">
      <c r="A299" s="275"/>
      <c r="B299" s="78"/>
      <c r="C299" s="189"/>
      <c r="D299" s="249"/>
      <c r="E299" s="229"/>
      <c r="F299" s="187"/>
    </row>
    <row r="300" spans="1:6" x14ac:dyDescent="0.2">
      <c r="A300" s="275"/>
      <c r="B300" s="78"/>
      <c r="C300" s="189"/>
      <c r="D300" s="249"/>
      <c r="E300" s="229"/>
      <c r="F300" s="187"/>
    </row>
    <row r="301" spans="1:6" x14ac:dyDescent="0.2">
      <c r="A301" s="275"/>
      <c r="B301" s="78"/>
      <c r="C301" s="189"/>
      <c r="D301" s="249"/>
      <c r="E301" s="229"/>
      <c r="F301" s="187"/>
    </row>
    <row r="302" spans="1:6" x14ac:dyDescent="0.2">
      <c r="A302" s="275"/>
      <c r="B302" s="78"/>
      <c r="C302" s="189"/>
      <c r="D302" s="249"/>
      <c r="E302" s="229"/>
      <c r="F302" s="187"/>
    </row>
    <row r="303" spans="1:6" x14ac:dyDescent="0.2">
      <c r="A303" s="275"/>
      <c r="B303" s="78"/>
      <c r="C303" s="189"/>
      <c r="D303" s="249"/>
      <c r="E303" s="229"/>
      <c r="F303" s="187"/>
    </row>
    <row r="304" spans="1:6" x14ac:dyDescent="0.2">
      <c r="A304" s="275"/>
      <c r="B304" s="78"/>
      <c r="C304" s="189"/>
      <c r="D304" s="249"/>
      <c r="E304" s="229"/>
      <c r="F304" s="187"/>
    </row>
    <row r="305" spans="1:6" x14ac:dyDescent="0.2">
      <c r="A305" s="275"/>
      <c r="B305" s="78"/>
      <c r="C305" s="189"/>
      <c r="D305" s="249"/>
      <c r="E305" s="229"/>
      <c r="F305" s="187"/>
    </row>
    <row r="306" spans="1:6" x14ac:dyDescent="0.2">
      <c r="A306" s="275"/>
      <c r="B306" s="78"/>
      <c r="C306" s="189"/>
      <c r="D306" s="249"/>
      <c r="E306" s="229"/>
      <c r="F306" s="187"/>
    </row>
    <row r="307" spans="1:6" x14ac:dyDescent="0.2">
      <c r="A307" s="275"/>
      <c r="B307" s="78"/>
      <c r="C307" s="189"/>
      <c r="D307" s="249"/>
      <c r="E307" s="229"/>
      <c r="F307" s="187"/>
    </row>
    <row r="308" spans="1:6" x14ac:dyDescent="0.2">
      <c r="A308" s="275"/>
      <c r="B308" s="78"/>
      <c r="C308" s="189"/>
      <c r="D308" s="249"/>
      <c r="E308" s="229"/>
      <c r="F308" s="187"/>
    </row>
    <row r="309" spans="1:6" x14ac:dyDescent="0.2">
      <c r="A309" s="275"/>
      <c r="B309" s="78"/>
      <c r="C309" s="189"/>
      <c r="D309" s="249"/>
      <c r="E309" s="229"/>
      <c r="F309" s="187"/>
    </row>
    <row r="310" spans="1:6" x14ac:dyDescent="0.2">
      <c r="A310" s="275"/>
      <c r="B310" s="78"/>
      <c r="C310" s="189"/>
      <c r="D310" s="249"/>
      <c r="E310" s="229"/>
      <c r="F310" s="187"/>
    </row>
    <row r="311" spans="1:6" x14ac:dyDescent="0.2">
      <c r="A311" s="275"/>
      <c r="B311" s="78"/>
      <c r="C311" s="189"/>
      <c r="D311" s="249"/>
      <c r="E311" s="229"/>
      <c r="F311" s="187"/>
    </row>
    <row r="312" spans="1:6" x14ac:dyDescent="0.2">
      <c r="A312" s="275"/>
      <c r="B312" s="78"/>
      <c r="C312" s="189"/>
      <c r="D312" s="249"/>
      <c r="E312" s="229"/>
      <c r="F312" s="187"/>
    </row>
    <row r="313" spans="1:6" x14ac:dyDescent="0.2">
      <c r="A313" s="275"/>
      <c r="B313" s="78"/>
      <c r="C313" s="189"/>
      <c r="D313" s="249"/>
      <c r="E313" s="229"/>
      <c r="F313" s="187"/>
    </row>
    <row r="314" spans="1:6" x14ac:dyDescent="0.2">
      <c r="A314" s="275"/>
      <c r="B314" s="78"/>
      <c r="C314" s="189"/>
      <c r="D314" s="249"/>
      <c r="E314" s="229"/>
      <c r="F314" s="187"/>
    </row>
    <row r="315" spans="1:6" x14ac:dyDescent="0.2">
      <c r="A315" s="275"/>
      <c r="B315" s="78"/>
      <c r="C315" s="189"/>
      <c r="D315" s="249"/>
      <c r="E315" s="229"/>
      <c r="F315" s="187"/>
    </row>
    <row r="316" spans="1:6" x14ac:dyDescent="0.2">
      <c r="A316" s="275"/>
      <c r="B316" s="78"/>
      <c r="C316" s="189"/>
      <c r="D316" s="249"/>
      <c r="E316" s="229"/>
      <c r="F316" s="187"/>
    </row>
    <row r="317" spans="1:6" x14ac:dyDescent="0.2">
      <c r="A317" s="275"/>
      <c r="B317" s="78"/>
      <c r="C317" s="189"/>
      <c r="D317" s="249"/>
      <c r="E317" s="229"/>
      <c r="F317" s="187"/>
    </row>
    <row r="318" spans="1:6" x14ac:dyDescent="0.2">
      <c r="A318" s="275"/>
      <c r="B318" s="78"/>
      <c r="C318" s="189"/>
      <c r="D318" s="249"/>
      <c r="E318" s="229"/>
      <c r="F318" s="187"/>
    </row>
    <row r="319" spans="1:6" x14ac:dyDescent="0.2">
      <c r="A319" s="275"/>
      <c r="B319" s="78"/>
      <c r="C319" s="189"/>
      <c r="D319" s="249"/>
      <c r="E319" s="229"/>
      <c r="F319" s="187"/>
    </row>
    <row r="320" spans="1:6" x14ac:dyDescent="0.2">
      <c r="A320" s="275"/>
      <c r="B320" s="78"/>
      <c r="C320" s="189"/>
      <c r="D320" s="249"/>
      <c r="E320" s="229"/>
      <c r="F320" s="187"/>
    </row>
    <row r="321" spans="1:6" x14ac:dyDescent="0.2">
      <c r="A321" s="275"/>
      <c r="B321" s="78"/>
      <c r="C321" s="189"/>
      <c r="D321" s="249"/>
      <c r="E321" s="229"/>
      <c r="F321" s="187"/>
    </row>
    <row r="322" spans="1:6" x14ac:dyDescent="0.2">
      <c r="A322" s="275"/>
      <c r="B322" s="78"/>
      <c r="C322" s="189"/>
      <c r="D322" s="249"/>
      <c r="E322" s="229"/>
      <c r="F322" s="187"/>
    </row>
    <row r="323" spans="1:6" x14ac:dyDescent="0.2">
      <c r="A323" s="275"/>
      <c r="B323" s="78"/>
      <c r="C323" s="189"/>
      <c r="D323" s="249"/>
      <c r="E323" s="229"/>
      <c r="F323" s="187"/>
    </row>
    <row r="324" spans="1:6" x14ac:dyDescent="0.2">
      <c r="A324" s="275"/>
      <c r="B324" s="78"/>
      <c r="C324" s="189"/>
      <c r="D324" s="249"/>
      <c r="E324" s="229"/>
      <c r="F324" s="187"/>
    </row>
    <row r="325" spans="1:6" x14ac:dyDescent="0.2">
      <c r="A325" s="275"/>
      <c r="B325" s="78"/>
      <c r="C325" s="189"/>
      <c r="D325" s="249"/>
      <c r="E325" s="229"/>
      <c r="F325" s="187"/>
    </row>
    <row r="326" spans="1:6" x14ac:dyDescent="0.2">
      <c r="A326" s="275"/>
      <c r="B326" s="78"/>
      <c r="C326" s="189"/>
      <c r="D326" s="249"/>
      <c r="E326" s="229"/>
      <c r="F326" s="187"/>
    </row>
    <row r="327" spans="1:6" x14ac:dyDescent="0.2">
      <c r="A327" s="275"/>
      <c r="B327" s="78"/>
      <c r="C327" s="189"/>
      <c r="D327" s="249"/>
      <c r="E327" s="229"/>
      <c r="F327" s="187"/>
    </row>
    <row r="328" spans="1:6" x14ac:dyDescent="0.2">
      <c r="A328" s="275"/>
      <c r="B328" s="78"/>
      <c r="C328" s="189"/>
      <c r="D328" s="249"/>
      <c r="E328" s="229"/>
      <c r="F328" s="187"/>
    </row>
    <row r="329" spans="1:6" x14ac:dyDescent="0.2">
      <c r="A329" s="275"/>
      <c r="B329" s="78"/>
      <c r="C329" s="189"/>
      <c r="D329" s="249"/>
      <c r="E329" s="229"/>
      <c r="F329" s="187"/>
    </row>
    <row r="330" spans="1:6" x14ac:dyDescent="0.2">
      <c r="A330" s="275"/>
      <c r="B330" s="78"/>
      <c r="C330" s="189"/>
      <c r="D330" s="249"/>
      <c r="E330" s="229"/>
      <c r="F330" s="187"/>
    </row>
    <row r="331" spans="1:6" x14ac:dyDescent="0.2">
      <c r="A331" s="275"/>
      <c r="B331" s="78"/>
      <c r="C331" s="189"/>
      <c r="D331" s="249"/>
      <c r="E331" s="229"/>
      <c r="F331" s="187"/>
    </row>
    <row r="332" spans="1:6" x14ac:dyDescent="0.2">
      <c r="A332" s="275"/>
      <c r="B332" s="78"/>
      <c r="C332" s="189"/>
      <c r="D332" s="249"/>
      <c r="E332" s="229"/>
      <c r="F332" s="187"/>
    </row>
    <row r="333" spans="1:6" x14ac:dyDescent="0.2">
      <c r="A333" s="275"/>
      <c r="B333" s="78"/>
      <c r="C333" s="189"/>
      <c r="D333" s="249"/>
      <c r="E333" s="229"/>
      <c r="F333" s="187"/>
    </row>
    <row r="334" spans="1:6" x14ac:dyDescent="0.2">
      <c r="A334" s="275"/>
      <c r="B334" s="78"/>
      <c r="C334" s="189"/>
      <c r="D334" s="249"/>
      <c r="E334" s="229"/>
      <c r="F334" s="187"/>
    </row>
    <row r="335" spans="1:6" x14ac:dyDescent="0.2">
      <c r="A335" s="275"/>
      <c r="B335" s="78"/>
      <c r="C335" s="189"/>
      <c r="D335" s="249"/>
      <c r="E335" s="229"/>
      <c r="F335" s="187"/>
    </row>
    <row r="336" spans="1:6" x14ac:dyDescent="0.2">
      <c r="A336" s="275"/>
      <c r="B336" s="78"/>
      <c r="C336" s="189"/>
      <c r="D336" s="249"/>
      <c r="E336" s="229"/>
      <c r="F336" s="187"/>
    </row>
    <row r="337" spans="1:6" x14ac:dyDescent="0.2">
      <c r="A337" s="275"/>
      <c r="B337" s="78"/>
      <c r="C337" s="189"/>
      <c r="D337" s="249"/>
      <c r="E337" s="229"/>
      <c r="F337" s="187"/>
    </row>
    <row r="338" spans="1:6" x14ac:dyDescent="0.2">
      <c r="A338" s="275"/>
      <c r="B338" s="78"/>
      <c r="C338" s="189"/>
      <c r="D338" s="249"/>
      <c r="E338" s="229"/>
      <c r="F338" s="187"/>
    </row>
    <row r="339" spans="1:6" x14ac:dyDescent="0.2">
      <c r="A339" s="275"/>
      <c r="B339" s="78"/>
      <c r="C339" s="189"/>
      <c r="D339" s="249"/>
      <c r="E339" s="229"/>
      <c r="F339" s="187"/>
    </row>
    <row r="340" spans="1:6" x14ac:dyDescent="0.2">
      <c r="A340" s="275"/>
      <c r="B340" s="78"/>
      <c r="C340" s="189"/>
      <c r="D340" s="249"/>
      <c r="E340" s="229"/>
      <c r="F340" s="187"/>
    </row>
    <row r="341" spans="1:6" x14ac:dyDescent="0.2">
      <c r="A341" s="275"/>
      <c r="B341" s="78"/>
      <c r="C341" s="189"/>
      <c r="D341" s="249"/>
      <c r="E341" s="229"/>
      <c r="F341" s="187"/>
    </row>
    <row r="342" spans="1:6" x14ac:dyDescent="0.2">
      <c r="A342" s="275"/>
      <c r="B342" s="78"/>
      <c r="C342" s="189"/>
      <c r="D342" s="249"/>
      <c r="E342" s="229"/>
      <c r="F342" s="187"/>
    </row>
    <row r="343" spans="1:6" x14ac:dyDescent="0.2">
      <c r="A343" s="275"/>
      <c r="B343" s="78"/>
      <c r="C343" s="189"/>
      <c r="D343" s="249"/>
      <c r="E343" s="229"/>
      <c r="F343" s="187"/>
    </row>
    <row r="344" spans="1:6" x14ac:dyDescent="0.2">
      <c r="A344" s="275"/>
      <c r="B344" s="78"/>
      <c r="C344" s="189"/>
      <c r="D344" s="249"/>
      <c r="E344" s="229"/>
      <c r="F344" s="187"/>
    </row>
    <row r="345" spans="1:6" x14ac:dyDescent="0.2">
      <c r="A345" s="275"/>
      <c r="B345" s="78"/>
      <c r="C345" s="189"/>
      <c r="D345" s="249"/>
      <c r="E345" s="229"/>
      <c r="F345" s="187"/>
    </row>
    <row r="346" spans="1:6" x14ac:dyDescent="0.2">
      <c r="A346" s="275"/>
      <c r="B346" s="78"/>
      <c r="C346" s="189"/>
      <c r="D346" s="249"/>
      <c r="E346" s="229"/>
      <c r="F346" s="187"/>
    </row>
    <row r="347" spans="1:6" x14ac:dyDescent="0.2">
      <c r="A347" s="275"/>
      <c r="B347" s="78"/>
      <c r="C347" s="189"/>
      <c r="D347" s="249"/>
      <c r="E347" s="229"/>
      <c r="F347" s="187"/>
    </row>
    <row r="348" spans="1:6" x14ac:dyDescent="0.2">
      <c r="A348" s="275"/>
      <c r="B348" s="78"/>
      <c r="C348" s="189"/>
      <c r="D348" s="249"/>
      <c r="E348" s="229"/>
      <c r="F348" s="187"/>
    </row>
    <row r="349" spans="1:6" x14ac:dyDescent="0.2">
      <c r="A349" s="275"/>
      <c r="B349" s="78"/>
      <c r="C349" s="189"/>
      <c r="D349" s="249"/>
      <c r="E349" s="229"/>
      <c r="F349" s="187"/>
    </row>
    <row r="350" spans="1:6" x14ac:dyDescent="0.2">
      <c r="A350" s="275"/>
      <c r="B350" s="78"/>
      <c r="C350" s="189"/>
      <c r="D350" s="249"/>
      <c r="E350" s="229"/>
      <c r="F350" s="187"/>
    </row>
    <row r="351" spans="1:6" x14ac:dyDescent="0.2">
      <c r="A351" s="275"/>
      <c r="B351" s="78"/>
      <c r="C351" s="189"/>
      <c r="D351" s="249"/>
      <c r="E351" s="229"/>
      <c r="F351" s="187"/>
    </row>
    <row r="352" spans="1:6" x14ac:dyDescent="0.2">
      <c r="A352" s="275"/>
      <c r="B352" s="78"/>
      <c r="C352" s="189"/>
      <c r="D352" s="249"/>
      <c r="E352" s="229"/>
      <c r="F352" s="187"/>
    </row>
    <row r="353" spans="1:6" x14ac:dyDescent="0.2">
      <c r="A353" s="275"/>
      <c r="B353" s="78"/>
      <c r="C353" s="189"/>
      <c r="D353" s="249"/>
      <c r="E353" s="229"/>
      <c r="F353" s="187"/>
    </row>
    <row r="354" spans="1:6" x14ac:dyDescent="0.2">
      <c r="A354" s="275"/>
      <c r="B354" s="78"/>
      <c r="C354" s="189"/>
      <c r="D354" s="249"/>
      <c r="E354" s="229"/>
      <c r="F354" s="187"/>
    </row>
    <row r="355" spans="1:6" x14ac:dyDescent="0.2">
      <c r="A355" s="275"/>
      <c r="B355" s="78"/>
      <c r="C355" s="189"/>
      <c r="D355" s="249"/>
      <c r="E355" s="229"/>
      <c r="F355" s="187"/>
    </row>
    <row r="356" spans="1:6" x14ac:dyDescent="0.2">
      <c r="A356" s="275"/>
      <c r="B356" s="78"/>
      <c r="C356" s="189"/>
      <c r="D356" s="249"/>
      <c r="E356" s="229"/>
      <c r="F356" s="187"/>
    </row>
    <row r="357" spans="1:6" x14ac:dyDescent="0.2">
      <c r="A357" s="275"/>
      <c r="B357" s="78"/>
      <c r="C357" s="189"/>
      <c r="D357" s="249"/>
      <c r="E357" s="229"/>
      <c r="F357" s="187"/>
    </row>
    <row r="358" spans="1:6" x14ac:dyDescent="0.2">
      <c r="A358" s="275"/>
      <c r="B358" s="78"/>
      <c r="C358" s="189"/>
      <c r="D358" s="249"/>
      <c r="E358" s="229"/>
      <c r="F358" s="187"/>
    </row>
    <row r="359" spans="1:6" x14ac:dyDescent="0.2">
      <c r="A359" s="275"/>
      <c r="B359" s="78"/>
      <c r="C359" s="189"/>
      <c r="D359" s="249"/>
      <c r="E359" s="229"/>
      <c r="F359" s="187"/>
    </row>
    <row r="360" spans="1:6" x14ac:dyDescent="0.2">
      <c r="A360" s="275"/>
      <c r="B360" s="78"/>
      <c r="C360" s="189"/>
      <c r="D360" s="249"/>
      <c r="E360" s="229"/>
      <c r="F360" s="187"/>
    </row>
    <row r="361" spans="1:6" x14ac:dyDescent="0.2">
      <c r="A361" s="275"/>
      <c r="B361" s="78"/>
      <c r="C361" s="189"/>
      <c r="D361" s="249"/>
      <c r="E361" s="229"/>
      <c r="F361" s="187"/>
    </row>
    <row r="362" spans="1:6" x14ac:dyDescent="0.2">
      <c r="A362" s="275"/>
      <c r="B362" s="78"/>
      <c r="C362" s="189"/>
      <c r="D362" s="249"/>
      <c r="E362" s="229"/>
      <c r="F362" s="187"/>
    </row>
    <row r="363" spans="1:6" x14ac:dyDescent="0.2">
      <c r="A363" s="275"/>
      <c r="B363" s="78"/>
      <c r="C363" s="189"/>
      <c r="D363" s="249"/>
      <c r="E363" s="229"/>
      <c r="F363" s="187"/>
    </row>
    <row r="364" spans="1:6" x14ac:dyDescent="0.2">
      <c r="A364" s="275"/>
      <c r="B364" s="78"/>
      <c r="C364" s="189"/>
      <c r="D364" s="249"/>
      <c r="E364" s="229"/>
      <c r="F364" s="187"/>
    </row>
    <row r="365" spans="1:6" x14ac:dyDescent="0.2">
      <c r="A365" s="275"/>
      <c r="B365" s="78"/>
      <c r="C365" s="189"/>
      <c r="D365" s="249"/>
      <c r="E365" s="229"/>
      <c r="F365" s="187"/>
    </row>
    <row r="366" spans="1:6" x14ac:dyDescent="0.2">
      <c r="A366" s="275"/>
      <c r="B366" s="78"/>
      <c r="C366" s="189"/>
      <c r="D366" s="249"/>
      <c r="E366" s="229"/>
      <c r="F366" s="187"/>
    </row>
    <row r="367" spans="1:6" x14ac:dyDescent="0.2">
      <c r="A367" s="275"/>
      <c r="B367" s="78"/>
      <c r="C367" s="189"/>
      <c r="D367" s="249"/>
      <c r="E367" s="229"/>
      <c r="F367" s="187"/>
    </row>
    <row r="368" spans="1:6" x14ac:dyDescent="0.2">
      <c r="A368" s="275"/>
      <c r="B368" s="78"/>
      <c r="C368" s="189"/>
      <c r="D368" s="249"/>
      <c r="E368" s="229"/>
      <c r="F368" s="187"/>
    </row>
    <row r="369" spans="1:6" x14ac:dyDescent="0.2">
      <c r="A369" s="275"/>
      <c r="B369" s="78"/>
      <c r="C369" s="189"/>
      <c r="D369" s="249"/>
      <c r="E369" s="229"/>
      <c r="F369" s="187"/>
    </row>
    <row r="370" spans="1:6" x14ac:dyDescent="0.2">
      <c r="A370" s="275"/>
      <c r="B370" s="78"/>
      <c r="C370" s="189"/>
      <c r="D370" s="249"/>
      <c r="E370" s="229"/>
      <c r="F370" s="187"/>
    </row>
    <row r="371" spans="1:6" x14ac:dyDescent="0.2">
      <c r="A371" s="275"/>
      <c r="B371" s="78"/>
      <c r="C371" s="189"/>
      <c r="D371" s="249"/>
      <c r="E371" s="229"/>
      <c r="F371" s="187"/>
    </row>
    <row r="372" spans="1:6" x14ac:dyDescent="0.2">
      <c r="A372" s="275"/>
      <c r="B372" s="78"/>
      <c r="C372" s="189"/>
      <c r="D372" s="249"/>
      <c r="E372" s="229"/>
      <c r="F372" s="187"/>
    </row>
    <row r="373" spans="1:6" x14ac:dyDescent="0.2">
      <c r="A373" s="275"/>
      <c r="B373" s="78"/>
      <c r="C373" s="189"/>
      <c r="D373" s="249"/>
      <c r="E373" s="229"/>
      <c r="F373" s="187"/>
    </row>
    <row r="374" spans="1:6" x14ac:dyDescent="0.2">
      <c r="A374" s="275"/>
      <c r="B374" s="78"/>
      <c r="C374" s="189"/>
      <c r="D374" s="249"/>
      <c r="E374" s="229"/>
      <c r="F374" s="187"/>
    </row>
    <row r="375" spans="1:6" x14ac:dyDescent="0.2">
      <c r="A375" s="275"/>
      <c r="B375" s="78"/>
      <c r="C375" s="189"/>
      <c r="D375" s="249"/>
      <c r="E375" s="229"/>
      <c r="F375" s="187"/>
    </row>
    <row r="376" spans="1:6" x14ac:dyDescent="0.2">
      <c r="A376" s="275"/>
      <c r="B376" s="78"/>
      <c r="C376" s="189"/>
      <c r="D376" s="249"/>
      <c r="E376" s="229"/>
      <c r="F376" s="187"/>
    </row>
    <row r="377" spans="1:6" x14ac:dyDescent="0.2">
      <c r="A377" s="275"/>
      <c r="B377" s="78"/>
      <c r="C377" s="189"/>
      <c r="D377" s="249"/>
      <c r="E377" s="229"/>
      <c r="F377" s="187"/>
    </row>
    <row r="378" spans="1:6" x14ac:dyDescent="0.2">
      <c r="A378" s="275"/>
      <c r="B378" s="78"/>
      <c r="C378" s="189"/>
      <c r="D378" s="249"/>
      <c r="E378" s="229"/>
      <c r="F378" s="187"/>
    </row>
    <row r="379" spans="1:6" x14ac:dyDescent="0.2">
      <c r="A379" s="275"/>
      <c r="B379" s="78"/>
      <c r="C379" s="189"/>
      <c r="D379" s="249"/>
      <c r="E379" s="229"/>
      <c r="F379" s="187"/>
    </row>
    <row r="380" spans="1:6" x14ac:dyDescent="0.2">
      <c r="A380" s="275"/>
      <c r="B380" s="78"/>
      <c r="C380" s="189"/>
      <c r="D380" s="249"/>
      <c r="E380" s="229"/>
      <c r="F380" s="187"/>
    </row>
    <row r="381" spans="1:6" x14ac:dyDescent="0.2">
      <c r="A381" s="275"/>
      <c r="B381" s="78"/>
      <c r="C381" s="189"/>
      <c r="D381" s="249"/>
      <c r="E381" s="229"/>
      <c r="F381" s="187"/>
    </row>
    <row r="382" spans="1:6" x14ac:dyDescent="0.2">
      <c r="A382" s="275"/>
      <c r="B382" s="78"/>
      <c r="C382" s="189"/>
      <c r="D382" s="249"/>
      <c r="E382" s="229"/>
      <c r="F382" s="187"/>
    </row>
    <row r="383" spans="1:6" x14ac:dyDescent="0.2">
      <c r="A383" s="275"/>
      <c r="B383" s="78"/>
      <c r="C383" s="189"/>
      <c r="D383" s="249"/>
      <c r="E383" s="229"/>
      <c r="F383" s="187"/>
    </row>
    <row r="384" spans="1:6" x14ac:dyDescent="0.2">
      <c r="A384" s="275"/>
      <c r="B384" s="78"/>
      <c r="C384" s="189"/>
      <c r="D384" s="249"/>
      <c r="E384" s="229"/>
      <c r="F384" s="187"/>
    </row>
    <row r="385" spans="1:6" x14ac:dyDescent="0.2">
      <c r="A385" s="275"/>
      <c r="B385" s="78"/>
      <c r="C385" s="189"/>
      <c r="D385" s="249"/>
      <c r="E385" s="229"/>
      <c r="F385" s="187"/>
    </row>
    <row r="386" spans="1:6" x14ac:dyDescent="0.2">
      <c r="A386" s="275"/>
      <c r="B386" s="78"/>
      <c r="C386" s="189"/>
      <c r="D386" s="249"/>
      <c r="E386" s="229"/>
      <c r="F386" s="187"/>
    </row>
    <row r="387" spans="1:6" x14ac:dyDescent="0.2">
      <c r="A387" s="275"/>
      <c r="B387" s="78"/>
      <c r="C387" s="189"/>
      <c r="D387" s="249"/>
      <c r="E387" s="229"/>
      <c r="F387" s="187"/>
    </row>
    <row r="388" spans="1:6" x14ac:dyDescent="0.2">
      <c r="A388" s="275"/>
      <c r="B388" s="78"/>
      <c r="C388" s="189"/>
      <c r="D388" s="249"/>
      <c r="E388" s="229"/>
      <c r="F388" s="187"/>
    </row>
    <row r="389" spans="1:6" x14ac:dyDescent="0.2">
      <c r="A389" s="275"/>
      <c r="B389" s="78"/>
      <c r="C389" s="189"/>
      <c r="D389" s="249"/>
      <c r="E389" s="229"/>
      <c r="F389" s="187"/>
    </row>
    <row r="390" spans="1:6" x14ac:dyDescent="0.2">
      <c r="A390" s="275"/>
      <c r="B390" s="78"/>
      <c r="C390" s="189"/>
      <c r="D390" s="249"/>
      <c r="E390" s="229"/>
      <c r="F390" s="187"/>
    </row>
    <row r="391" spans="1:6" x14ac:dyDescent="0.2">
      <c r="A391" s="275"/>
      <c r="B391" s="78"/>
      <c r="C391" s="189"/>
      <c r="D391" s="249"/>
      <c r="E391" s="229"/>
      <c r="F391" s="187"/>
    </row>
    <row r="392" spans="1:6" x14ac:dyDescent="0.2">
      <c r="A392" s="275"/>
      <c r="B392" s="78"/>
      <c r="C392" s="189"/>
      <c r="D392" s="249"/>
      <c r="E392" s="229"/>
      <c r="F392" s="187"/>
    </row>
    <row r="393" spans="1:6" x14ac:dyDescent="0.2">
      <c r="A393" s="275"/>
      <c r="B393" s="78"/>
      <c r="C393" s="189"/>
      <c r="D393" s="249"/>
      <c r="E393" s="229"/>
      <c r="F393" s="187"/>
    </row>
    <row r="394" spans="1:6" x14ac:dyDescent="0.2">
      <c r="A394" s="275"/>
      <c r="B394" s="78"/>
      <c r="C394" s="189"/>
      <c r="D394" s="249"/>
      <c r="E394" s="229"/>
      <c r="F394" s="187"/>
    </row>
    <row r="395" spans="1:6" x14ac:dyDescent="0.2">
      <c r="A395" s="275"/>
      <c r="B395" s="78"/>
      <c r="C395" s="189"/>
      <c r="D395" s="249"/>
      <c r="E395" s="229"/>
      <c r="F395" s="187"/>
    </row>
    <row r="396" spans="1:6" x14ac:dyDescent="0.2">
      <c r="A396" s="275"/>
      <c r="B396" s="78"/>
      <c r="C396" s="189"/>
      <c r="D396" s="249"/>
      <c r="E396" s="229"/>
      <c r="F396" s="187"/>
    </row>
    <row r="397" spans="1:6" x14ac:dyDescent="0.2">
      <c r="A397" s="275"/>
      <c r="B397" s="78"/>
      <c r="C397" s="189"/>
      <c r="D397" s="249"/>
      <c r="E397" s="229"/>
      <c r="F397" s="187"/>
    </row>
    <row r="398" spans="1:6" x14ac:dyDescent="0.2">
      <c r="A398" s="275"/>
      <c r="B398" s="78"/>
      <c r="C398" s="189"/>
      <c r="D398" s="249"/>
      <c r="E398" s="229"/>
      <c r="F398" s="187"/>
    </row>
    <row r="399" spans="1:6" x14ac:dyDescent="0.2">
      <c r="A399" s="275"/>
      <c r="B399" s="78"/>
      <c r="C399" s="189"/>
      <c r="D399" s="249"/>
      <c r="E399" s="229"/>
      <c r="F399" s="187"/>
    </row>
    <row r="400" spans="1:6" x14ac:dyDescent="0.2">
      <c r="A400" s="275"/>
      <c r="B400" s="78"/>
      <c r="C400" s="189"/>
      <c r="D400" s="249"/>
      <c r="E400" s="229"/>
      <c r="F400" s="187"/>
    </row>
    <row r="401" spans="1:6" x14ac:dyDescent="0.2">
      <c r="A401" s="275"/>
      <c r="B401" s="78"/>
      <c r="C401" s="189"/>
      <c r="D401" s="249"/>
      <c r="E401" s="229"/>
      <c r="F401" s="187"/>
    </row>
    <row r="402" spans="1:6" x14ac:dyDescent="0.2">
      <c r="A402" s="275"/>
      <c r="B402" s="78"/>
      <c r="C402" s="189"/>
      <c r="D402" s="249"/>
      <c r="E402" s="229"/>
      <c r="F402" s="187"/>
    </row>
    <row r="403" spans="1:6" x14ac:dyDescent="0.2">
      <c r="A403" s="275"/>
      <c r="B403" s="78"/>
      <c r="C403" s="189"/>
      <c r="D403" s="249"/>
      <c r="E403" s="229"/>
      <c r="F403" s="187"/>
    </row>
    <row r="404" spans="1:6" x14ac:dyDescent="0.2">
      <c r="A404" s="275"/>
      <c r="B404" s="78"/>
      <c r="C404" s="189"/>
      <c r="D404" s="249"/>
      <c r="E404" s="229"/>
      <c r="F404" s="187"/>
    </row>
    <row r="405" spans="1:6" x14ac:dyDescent="0.2">
      <c r="A405" s="275"/>
      <c r="B405" s="78"/>
      <c r="C405" s="189"/>
      <c r="D405" s="249"/>
      <c r="E405" s="229"/>
      <c r="F405" s="187"/>
    </row>
    <row r="406" spans="1:6" x14ac:dyDescent="0.2">
      <c r="A406" s="275"/>
      <c r="B406" s="78"/>
      <c r="C406" s="189"/>
      <c r="D406" s="249"/>
      <c r="E406" s="229"/>
      <c r="F406" s="187"/>
    </row>
    <row r="407" spans="1:6" x14ac:dyDescent="0.2">
      <c r="A407" s="275"/>
      <c r="B407" s="78"/>
      <c r="C407" s="189"/>
      <c r="D407" s="249"/>
      <c r="E407" s="229"/>
      <c r="F407" s="187"/>
    </row>
    <row r="408" spans="1:6" x14ac:dyDescent="0.2">
      <c r="A408" s="275"/>
      <c r="B408" s="78"/>
      <c r="C408" s="189"/>
      <c r="D408" s="249"/>
      <c r="E408" s="229"/>
      <c r="F408" s="187"/>
    </row>
    <row r="409" spans="1:6" x14ac:dyDescent="0.2">
      <c r="A409" s="275"/>
      <c r="B409" s="78"/>
      <c r="C409" s="189"/>
      <c r="D409" s="249"/>
      <c r="E409" s="229"/>
      <c r="F409" s="187"/>
    </row>
    <row r="410" spans="1:6" x14ac:dyDescent="0.2">
      <c r="A410" s="275"/>
      <c r="B410" s="78"/>
      <c r="C410" s="189"/>
      <c r="D410" s="249"/>
      <c r="E410" s="229"/>
      <c r="F410" s="187"/>
    </row>
    <row r="411" spans="1:6" x14ac:dyDescent="0.2">
      <c r="A411" s="275"/>
      <c r="B411" s="78"/>
      <c r="C411" s="189"/>
      <c r="D411" s="249"/>
      <c r="E411" s="229"/>
      <c r="F411" s="187"/>
    </row>
    <row r="412" spans="1:6" x14ac:dyDescent="0.2">
      <c r="A412" s="275"/>
      <c r="B412" s="78"/>
      <c r="C412" s="189"/>
      <c r="D412" s="249"/>
      <c r="E412" s="229"/>
      <c r="F412" s="187"/>
    </row>
    <row r="413" spans="1:6" x14ac:dyDescent="0.2">
      <c r="A413" s="275"/>
      <c r="B413" s="78"/>
      <c r="C413" s="189"/>
      <c r="D413" s="249"/>
      <c r="E413" s="229"/>
      <c r="F413" s="187"/>
    </row>
    <row r="414" spans="1:6" x14ac:dyDescent="0.2">
      <c r="A414" s="275"/>
      <c r="B414" s="78"/>
      <c r="C414" s="189"/>
      <c r="D414" s="249"/>
      <c r="E414" s="229"/>
      <c r="F414" s="187"/>
    </row>
    <row r="415" spans="1:6" x14ac:dyDescent="0.2">
      <c r="A415" s="275"/>
      <c r="B415" s="78"/>
      <c r="C415" s="189"/>
      <c r="D415" s="249"/>
      <c r="E415" s="229"/>
      <c r="F415" s="187"/>
    </row>
    <row r="416" spans="1:6" x14ac:dyDescent="0.2">
      <c r="A416" s="275"/>
      <c r="B416" s="78"/>
      <c r="C416" s="189"/>
      <c r="D416" s="249"/>
      <c r="E416" s="229"/>
      <c r="F416" s="187"/>
    </row>
    <row r="417" spans="1:6" x14ac:dyDescent="0.2">
      <c r="A417" s="275"/>
      <c r="B417" s="78"/>
      <c r="C417" s="189"/>
      <c r="D417" s="249"/>
      <c r="E417" s="229"/>
      <c r="F417" s="187"/>
    </row>
    <row r="418" spans="1:6" x14ac:dyDescent="0.2">
      <c r="A418" s="275"/>
      <c r="B418" s="78"/>
      <c r="C418" s="189"/>
      <c r="D418" s="249"/>
      <c r="E418" s="229"/>
      <c r="F418" s="187"/>
    </row>
    <row r="419" spans="1:6" x14ac:dyDescent="0.2">
      <c r="A419" s="275"/>
      <c r="B419" s="78"/>
      <c r="C419" s="189"/>
      <c r="D419" s="249"/>
      <c r="E419" s="229"/>
      <c r="F419" s="187"/>
    </row>
    <row r="420" spans="1:6" x14ac:dyDescent="0.2">
      <c r="A420" s="275"/>
      <c r="B420" s="78"/>
      <c r="C420" s="189"/>
      <c r="D420" s="249"/>
      <c r="E420" s="229"/>
      <c r="F420" s="187"/>
    </row>
    <row r="421" spans="1:6" x14ac:dyDescent="0.2">
      <c r="A421" s="275"/>
      <c r="B421" s="78"/>
      <c r="C421" s="189"/>
      <c r="D421" s="249"/>
      <c r="E421" s="229"/>
      <c r="F421" s="187"/>
    </row>
    <row r="422" spans="1:6" x14ac:dyDescent="0.2">
      <c r="A422" s="275"/>
      <c r="B422" s="78"/>
      <c r="C422" s="189"/>
      <c r="D422" s="249"/>
      <c r="E422" s="229"/>
      <c r="F422" s="187"/>
    </row>
    <row r="423" spans="1:6" x14ac:dyDescent="0.2">
      <c r="A423" s="275"/>
      <c r="B423" s="78"/>
      <c r="C423" s="189"/>
      <c r="D423" s="249"/>
      <c r="E423" s="229"/>
      <c r="F423" s="187"/>
    </row>
    <row r="424" spans="1:6" x14ac:dyDescent="0.2">
      <c r="A424" s="275"/>
      <c r="B424" s="78"/>
      <c r="C424" s="189"/>
      <c r="D424" s="249"/>
      <c r="E424" s="229"/>
      <c r="F424" s="187"/>
    </row>
    <row r="425" spans="1:6" x14ac:dyDescent="0.2">
      <c r="A425" s="275"/>
      <c r="B425" s="78"/>
      <c r="C425" s="189"/>
      <c r="D425" s="249"/>
      <c r="E425" s="229"/>
      <c r="F425" s="187"/>
    </row>
    <row r="426" spans="1:6" x14ac:dyDescent="0.2">
      <c r="A426" s="275"/>
      <c r="B426" s="78"/>
      <c r="C426" s="189"/>
      <c r="D426" s="249"/>
      <c r="E426" s="229"/>
      <c r="F426" s="187"/>
    </row>
    <row r="427" spans="1:6" x14ac:dyDescent="0.2">
      <c r="A427" s="275"/>
      <c r="B427" s="78"/>
      <c r="C427" s="189"/>
      <c r="D427" s="249"/>
      <c r="E427" s="229"/>
      <c r="F427" s="187"/>
    </row>
    <row r="428" spans="1:6" x14ac:dyDescent="0.2">
      <c r="A428" s="275"/>
      <c r="B428" s="78"/>
      <c r="C428" s="189"/>
      <c r="D428" s="249"/>
      <c r="E428" s="229"/>
      <c r="F428" s="187"/>
    </row>
    <row r="429" spans="1:6" x14ac:dyDescent="0.2">
      <c r="A429" s="275"/>
      <c r="B429" s="78"/>
      <c r="C429" s="189"/>
      <c r="D429" s="249"/>
      <c r="E429" s="229"/>
      <c r="F429" s="187"/>
    </row>
    <row r="430" spans="1:6" x14ac:dyDescent="0.2">
      <c r="A430" s="275"/>
      <c r="B430" s="78"/>
      <c r="C430" s="189"/>
      <c r="D430" s="249"/>
      <c r="E430" s="229"/>
      <c r="F430" s="187"/>
    </row>
    <row r="431" spans="1:6" x14ac:dyDescent="0.2">
      <c r="A431" s="275"/>
      <c r="B431" s="78"/>
      <c r="C431" s="189"/>
      <c r="D431" s="249"/>
      <c r="E431" s="229"/>
      <c r="F431" s="187"/>
    </row>
    <row r="432" spans="1:6" x14ac:dyDescent="0.2">
      <c r="A432" s="275"/>
      <c r="B432" s="78"/>
      <c r="C432" s="189"/>
      <c r="D432" s="249"/>
      <c r="E432" s="229"/>
      <c r="F432" s="187"/>
    </row>
    <row r="433" spans="1:6" x14ac:dyDescent="0.2">
      <c r="A433" s="275"/>
      <c r="B433" s="78"/>
      <c r="C433" s="189"/>
      <c r="D433" s="249"/>
      <c r="E433" s="229"/>
      <c r="F433" s="187"/>
    </row>
    <row r="434" spans="1:6" x14ac:dyDescent="0.2">
      <c r="A434" s="275"/>
      <c r="B434" s="78"/>
      <c r="C434" s="189"/>
      <c r="D434" s="249"/>
      <c r="E434" s="229"/>
      <c r="F434" s="187"/>
    </row>
    <row r="435" spans="1:6" x14ac:dyDescent="0.2">
      <c r="A435" s="275"/>
      <c r="B435" s="78"/>
      <c r="C435" s="189"/>
      <c r="D435" s="249"/>
      <c r="E435" s="229"/>
      <c r="F435" s="187"/>
    </row>
    <row r="436" spans="1:6" x14ac:dyDescent="0.2">
      <c r="A436" s="275"/>
      <c r="B436" s="78"/>
      <c r="C436" s="189"/>
      <c r="D436" s="249"/>
      <c r="E436" s="229"/>
      <c r="F436" s="187"/>
    </row>
    <row r="437" spans="1:6" x14ac:dyDescent="0.2">
      <c r="A437" s="275"/>
      <c r="B437" s="78"/>
      <c r="C437" s="189"/>
      <c r="D437" s="249"/>
      <c r="E437" s="229"/>
      <c r="F437" s="187"/>
    </row>
    <row r="438" spans="1:6" x14ac:dyDescent="0.2">
      <c r="A438" s="275"/>
      <c r="B438" s="78"/>
      <c r="C438" s="189"/>
      <c r="D438" s="249"/>
      <c r="E438" s="229"/>
      <c r="F438" s="187"/>
    </row>
    <row r="439" spans="1:6" x14ac:dyDescent="0.2">
      <c r="A439" s="275"/>
      <c r="B439" s="78"/>
      <c r="C439" s="189"/>
      <c r="D439" s="249"/>
      <c r="E439" s="229"/>
      <c r="F439" s="187"/>
    </row>
    <row r="440" spans="1:6" x14ac:dyDescent="0.2">
      <c r="A440" s="275"/>
      <c r="B440" s="78"/>
      <c r="C440" s="189"/>
      <c r="D440" s="249"/>
      <c r="E440" s="229"/>
      <c r="F440" s="187"/>
    </row>
    <row r="441" spans="1:6" x14ac:dyDescent="0.2">
      <c r="A441" s="275"/>
      <c r="B441" s="78"/>
      <c r="C441" s="189"/>
      <c r="D441" s="249"/>
      <c r="E441" s="229"/>
      <c r="F441" s="187"/>
    </row>
    <row r="442" spans="1:6" x14ac:dyDescent="0.2">
      <c r="A442" s="275"/>
      <c r="B442" s="78"/>
      <c r="C442" s="189"/>
      <c r="D442" s="249"/>
      <c r="E442" s="229"/>
      <c r="F442" s="187"/>
    </row>
    <row r="443" spans="1:6" x14ac:dyDescent="0.2">
      <c r="A443" s="275"/>
      <c r="B443" s="78"/>
      <c r="C443" s="189"/>
      <c r="D443" s="249"/>
      <c r="E443" s="229"/>
      <c r="F443" s="187"/>
    </row>
    <row r="444" spans="1:6" x14ac:dyDescent="0.2">
      <c r="A444" s="275"/>
      <c r="B444" s="78"/>
      <c r="C444" s="189"/>
      <c r="D444" s="249"/>
      <c r="E444" s="229"/>
      <c r="F444" s="187"/>
    </row>
    <row r="445" spans="1:6" x14ac:dyDescent="0.2">
      <c r="A445" s="275"/>
      <c r="B445" s="78"/>
      <c r="C445" s="189"/>
      <c r="D445" s="249"/>
      <c r="E445" s="229"/>
      <c r="F445" s="187"/>
    </row>
    <row r="446" spans="1:6" x14ac:dyDescent="0.2">
      <c r="A446" s="275"/>
      <c r="B446" s="78"/>
      <c r="C446" s="189"/>
      <c r="D446" s="249"/>
      <c r="E446" s="229"/>
      <c r="F446" s="187"/>
    </row>
    <row r="447" spans="1:6" x14ac:dyDescent="0.2">
      <c r="A447" s="275"/>
      <c r="B447" s="78"/>
      <c r="C447" s="189"/>
      <c r="D447" s="249"/>
      <c r="E447" s="229"/>
      <c r="F447" s="187"/>
    </row>
    <row r="448" spans="1:6" x14ac:dyDescent="0.2">
      <c r="A448" s="275"/>
      <c r="B448" s="78"/>
      <c r="C448" s="189"/>
      <c r="D448" s="249"/>
      <c r="E448" s="229"/>
      <c r="F448" s="187"/>
    </row>
    <row r="449" spans="1:6" x14ac:dyDescent="0.2">
      <c r="A449" s="275"/>
      <c r="B449" s="78"/>
      <c r="C449" s="189"/>
      <c r="D449" s="249"/>
      <c r="E449" s="229"/>
      <c r="F449" s="187"/>
    </row>
    <row r="450" spans="1:6" x14ac:dyDescent="0.2">
      <c r="A450" s="275"/>
      <c r="B450" s="78"/>
      <c r="C450" s="189"/>
      <c r="D450" s="249"/>
      <c r="E450" s="229"/>
      <c r="F450" s="187"/>
    </row>
    <row r="451" spans="1:6" x14ac:dyDescent="0.2">
      <c r="A451" s="275"/>
      <c r="B451" s="78"/>
      <c r="C451" s="189"/>
      <c r="D451" s="249"/>
      <c r="E451" s="229"/>
      <c r="F451" s="187"/>
    </row>
    <row r="452" spans="1:6" x14ac:dyDescent="0.2">
      <c r="A452" s="275"/>
      <c r="B452" s="78"/>
      <c r="C452" s="189"/>
      <c r="D452" s="249"/>
      <c r="E452" s="229"/>
      <c r="F452" s="187"/>
    </row>
    <row r="453" spans="1:6" x14ac:dyDescent="0.2">
      <c r="A453" s="275"/>
      <c r="B453" s="78"/>
      <c r="C453" s="189"/>
      <c r="D453" s="249"/>
      <c r="E453" s="229"/>
      <c r="F453" s="187"/>
    </row>
    <row r="454" spans="1:6" x14ac:dyDescent="0.2">
      <c r="A454" s="275"/>
      <c r="B454" s="78"/>
      <c r="C454" s="189"/>
      <c r="D454" s="249"/>
      <c r="E454" s="229"/>
      <c r="F454" s="187"/>
    </row>
    <row r="455" spans="1:6" x14ac:dyDescent="0.2">
      <c r="A455" s="275"/>
      <c r="B455" s="78"/>
      <c r="C455" s="189"/>
      <c r="D455" s="249"/>
      <c r="E455" s="229"/>
      <c r="F455" s="187"/>
    </row>
    <row r="456" spans="1:6" x14ac:dyDescent="0.2">
      <c r="A456" s="275"/>
      <c r="B456" s="78"/>
      <c r="C456" s="189"/>
      <c r="D456" s="249"/>
      <c r="E456" s="229"/>
      <c r="F456" s="187"/>
    </row>
    <row r="457" spans="1:6" x14ac:dyDescent="0.2">
      <c r="A457" s="275"/>
      <c r="B457" s="78"/>
      <c r="C457" s="189"/>
      <c r="D457" s="249"/>
      <c r="E457" s="229"/>
      <c r="F457" s="187"/>
    </row>
    <row r="458" spans="1:6" x14ac:dyDescent="0.2">
      <c r="A458" s="275"/>
      <c r="B458" s="78"/>
      <c r="C458" s="189"/>
      <c r="D458" s="249"/>
      <c r="E458" s="229"/>
      <c r="F458" s="187"/>
    </row>
    <row r="459" spans="1:6" x14ac:dyDescent="0.2">
      <c r="A459" s="275"/>
      <c r="B459" s="78"/>
      <c r="C459" s="189"/>
      <c r="D459" s="249"/>
      <c r="E459" s="229"/>
      <c r="F459" s="187"/>
    </row>
    <row r="460" spans="1:6" x14ac:dyDescent="0.2">
      <c r="A460" s="275"/>
      <c r="B460" s="78"/>
      <c r="C460" s="189"/>
      <c r="D460" s="249"/>
      <c r="E460" s="229"/>
      <c r="F460" s="187"/>
    </row>
    <row r="461" spans="1:6" x14ac:dyDescent="0.2">
      <c r="A461" s="275"/>
      <c r="B461" s="78"/>
      <c r="C461" s="189"/>
      <c r="D461" s="249"/>
      <c r="E461" s="229"/>
      <c r="F461" s="187"/>
    </row>
    <row r="462" spans="1:6" x14ac:dyDescent="0.2">
      <c r="A462" s="275"/>
      <c r="B462" s="78"/>
      <c r="C462" s="189"/>
      <c r="D462" s="249"/>
      <c r="E462" s="229"/>
      <c r="F462" s="187"/>
    </row>
    <row r="463" spans="1:6" x14ac:dyDescent="0.2">
      <c r="A463" s="275"/>
      <c r="B463" s="78"/>
      <c r="C463" s="189"/>
      <c r="D463" s="249"/>
      <c r="E463" s="229"/>
      <c r="F463" s="187"/>
    </row>
    <row r="464" spans="1:6" x14ac:dyDescent="0.2">
      <c r="A464" s="275"/>
      <c r="B464" s="78"/>
      <c r="C464" s="189"/>
      <c r="D464" s="249"/>
      <c r="E464" s="229"/>
      <c r="F464" s="187"/>
    </row>
    <row r="465" spans="1:6" x14ac:dyDescent="0.2">
      <c r="A465" s="275"/>
      <c r="B465" s="78"/>
      <c r="C465" s="189"/>
      <c r="D465" s="249"/>
      <c r="E465" s="229"/>
      <c r="F465" s="187"/>
    </row>
    <row r="466" spans="1:6" x14ac:dyDescent="0.2">
      <c r="A466" s="275"/>
      <c r="B466" s="78"/>
      <c r="C466" s="189"/>
      <c r="D466" s="249"/>
      <c r="E466" s="229"/>
      <c r="F466" s="187"/>
    </row>
    <row r="467" spans="1:6" x14ac:dyDescent="0.2">
      <c r="A467" s="275"/>
      <c r="B467" s="78"/>
      <c r="C467" s="189"/>
      <c r="D467" s="249"/>
      <c r="E467" s="229"/>
      <c r="F467" s="187"/>
    </row>
    <row r="468" spans="1:6" x14ac:dyDescent="0.2">
      <c r="A468" s="275"/>
      <c r="B468" s="78"/>
      <c r="C468" s="189"/>
      <c r="D468" s="249"/>
      <c r="E468" s="229"/>
      <c r="F468" s="187"/>
    </row>
    <row r="469" spans="1:6" x14ac:dyDescent="0.2">
      <c r="A469" s="275"/>
      <c r="B469" s="78"/>
      <c r="C469" s="189"/>
      <c r="D469" s="249"/>
      <c r="E469" s="229"/>
      <c r="F469" s="187"/>
    </row>
    <row r="470" spans="1:6" x14ac:dyDescent="0.2">
      <c r="A470" s="275"/>
      <c r="B470" s="78"/>
      <c r="C470" s="189"/>
      <c r="D470" s="249"/>
      <c r="E470" s="229"/>
      <c r="F470" s="187"/>
    </row>
    <row r="471" spans="1:6" x14ac:dyDescent="0.2">
      <c r="A471" s="275"/>
      <c r="B471" s="78"/>
      <c r="C471" s="189"/>
      <c r="D471" s="249"/>
      <c r="E471" s="229"/>
      <c r="F471" s="187"/>
    </row>
    <row r="472" spans="1:6" x14ac:dyDescent="0.2">
      <c r="A472" s="275"/>
      <c r="B472" s="78"/>
      <c r="C472" s="189"/>
      <c r="D472" s="249"/>
      <c r="E472" s="229"/>
      <c r="F472" s="187"/>
    </row>
    <row r="473" spans="1:6" x14ac:dyDescent="0.2">
      <c r="A473" s="275"/>
      <c r="B473" s="78"/>
      <c r="C473" s="189"/>
      <c r="D473" s="249"/>
      <c r="E473" s="229"/>
      <c r="F473" s="187"/>
    </row>
    <row r="474" spans="1:6" x14ac:dyDescent="0.2">
      <c r="A474" s="275"/>
      <c r="B474" s="78"/>
      <c r="C474" s="189"/>
      <c r="D474" s="249"/>
      <c r="E474" s="229"/>
      <c r="F474" s="187"/>
    </row>
    <row r="475" spans="1:6" x14ac:dyDescent="0.2">
      <c r="A475" s="275"/>
      <c r="B475" s="78"/>
      <c r="C475" s="189"/>
      <c r="D475" s="249"/>
      <c r="E475" s="229"/>
      <c r="F475" s="187"/>
    </row>
    <row r="476" spans="1:6" x14ac:dyDescent="0.2">
      <c r="A476" s="275"/>
      <c r="B476" s="78"/>
      <c r="C476" s="189"/>
      <c r="D476" s="249"/>
      <c r="E476" s="229"/>
      <c r="F476" s="187"/>
    </row>
    <row r="477" spans="1:6" x14ac:dyDescent="0.2">
      <c r="A477" s="275"/>
      <c r="B477" s="78"/>
      <c r="C477" s="189"/>
      <c r="D477" s="249"/>
      <c r="E477" s="229"/>
      <c r="F477" s="187"/>
    </row>
    <row r="478" spans="1:6" x14ac:dyDescent="0.2">
      <c r="A478" s="275"/>
      <c r="B478" s="78"/>
      <c r="C478" s="189"/>
      <c r="D478" s="249"/>
      <c r="E478" s="229"/>
      <c r="F478" s="187"/>
    </row>
    <row r="479" spans="1:6" x14ac:dyDescent="0.2">
      <c r="A479" s="275"/>
      <c r="B479" s="78"/>
      <c r="C479" s="189"/>
      <c r="D479" s="249"/>
      <c r="E479" s="229"/>
      <c r="F479" s="187"/>
    </row>
    <row r="480" spans="1:6" x14ac:dyDescent="0.2">
      <c r="A480" s="275"/>
      <c r="B480" s="78"/>
      <c r="C480" s="189"/>
      <c r="D480" s="249"/>
      <c r="E480" s="229"/>
      <c r="F480" s="187"/>
    </row>
    <row r="481" spans="1:6" x14ac:dyDescent="0.2">
      <c r="A481" s="275"/>
      <c r="B481" s="78"/>
      <c r="C481" s="189"/>
      <c r="D481" s="249"/>
      <c r="E481" s="229"/>
      <c r="F481" s="187"/>
    </row>
    <row r="482" spans="1:6" x14ac:dyDescent="0.2">
      <c r="A482" s="275"/>
      <c r="B482" s="78"/>
      <c r="C482" s="189"/>
      <c r="D482" s="249"/>
      <c r="E482" s="229"/>
      <c r="F482" s="187"/>
    </row>
    <row r="483" spans="1:6" x14ac:dyDescent="0.2">
      <c r="A483" s="275"/>
      <c r="B483" s="78"/>
      <c r="C483" s="189"/>
      <c r="D483" s="249"/>
      <c r="E483" s="229"/>
      <c r="F483" s="187"/>
    </row>
    <row r="484" spans="1:6" x14ac:dyDescent="0.2">
      <c r="A484" s="275"/>
      <c r="B484" s="78"/>
      <c r="C484" s="189"/>
      <c r="D484" s="249"/>
      <c r="E484" s="229"/>
      <c r="F484" s="187"/>
    </row>
    <row r="485" spans="1:6" x14ac:dyDescent="0.2">
      <c r="A485" s="275"/>
      <c r="B485" s="78"/>
      <c r="C485" s="189"/>
      <c r="D485" s="249"/>
      <c r="E485" s="229"/>
      <c r="F485" s="187"/>
    </row>
    <row r="486" spans="1:6" x14ac:dyDescent="0.2">
      <c r="A486" s="275"/>
      <c r="B486" s="78"/>
      <c r="C486" s="189"/>
      <c r="D486" s="249"/>
      <c r="E486" s="229"/>
      <c r="F486" s="187"/>
    </row>
    <row r="487" spans="1:6" x14ac:dyDescent="0.2">
      <c r="A487" s="275"/>
      <c r="B487" s="78"/>
      <c r="C487" s="189"/>
      <c r="D487" s="249"/>
      <c r="E487" s="229"/>
      <c r="F487" s="187"/>
    </row>
    <row r="488" spans="1:6" x14ac:dyDescent="0.2">
      <c r="A488" s="275"/>
      <c r="B488" s="78"/>
      <c r="C488" s="189"/>
      <c r="D488" s="249"/>
      <c r="E488" s="229"/>
      <c r="F488" s="187"/>
    </row>
    <row r="489" spans="1:6" x14ac:dyDescent="0.2">
      <c r="A489" s="275"/>
      <c r="B489" s="78"/>
      <c r="C489" s="189"/>
      <c r="D489" s="249"/>
      <c r="E489" s="229"/>
      <c r="F489" s="187"/>
    </row>
    <row r="490" spans="1:6" x14ac:dyDescent="0.2">
      <c r="A490" s="275"/>
      <c r="B490" s="78"/>
      <c r="C490" s="189"/>
      <c r="D490" s="249"/>
      <c r="E490" s="229"/>
      <c r="F490" s="187"/>
    </row>
    <row r="491" spans="1:6" x14ac:dyDescent="0.2">
      <c r="A491" s="275"/>
      <c r="B491" s="78"/>
      <c r="C491" s="189"/>
      <c r="D491" s="249"/>
      <c r="E491" s="229"/>
      <c r="F491" s="187"/>
    </row>
    <row r="492" spans="1:6" x14ac:dyDescent="0.2">
      <c r="A492" s="275"/>
      <c r="B492" s="78"/>
      <c r="C492" s="189"/>
      <c r="D492" s="249"/>
      <c r="E492" s="229"/>
      <c r="F492" s="187"/>
    </row>
    <row r="493" spans="1:6" x14ac:dyDescent="0.2">
      <c r="A493" s="275"/>
      <c r="B493" s="78"/>
      <c r="C493" s="189"/>
      <c r="D493" s="249"/>
      <c r="E493" s="229"/>
      <c r="F493" s="187"/>
    </row>
    <row r="494" spans="1:6" x14ac:dyDescent="0.2">
      <c r="A494" s="275"/>
      <c r="B494" s="78"/>
      <c r="C494" s="189"/>
      <c r="D494" s="249"/>
      <c r="E494" s="229"/>
      <c r="F494" s="187"/>
    </row>
    <row r="495" spans="1:6" x14ac:dyDescent="0.2">
      <c r="A495" s="275"/>
      <c r="B495" s="78"/>
      <c r="C495" s="189"/>
      <c r="D495" s="249"/>
      <c r="E495" s="229"/>
      <c r="F495" s="187"/>
    </row>
    <row r="496" spans="1:6" x14ac:dyDescent="0.2">
      <c r="A496" s="275"/>
      <c r="B496" s="78"/>
      <c r="C496" s="189"/>
      <c r="D496" s="249"/>
      <c r="E496" s="229"/>
      <c r="F496" s="187"/>
    </row>
    <row r="497" spans="1:6" x14ac:dyDescent="0.2">
      <c r="A497" s="275"/>
      <c r="B497" s="78"/>
      <c r="C497" s="189"/>
      <c r="D497" s="249"/>
      <c r="E497" s="229"/>
      <c r="F497" s="187"/>
    </row>
    <row r="498" spans="1:6" x14ac:dyDescent="0.2">
      <c r="A498" s="275"/>
      <c r="B498" s="78"/>
      <c r="C498" s="189"/>
      <c r="D498" s="249"/>
      <c r="E498" s="229"/>
      <c r="F498" s="187"/>
    </row>
    <row r="499" spans="1:6" x14ac:dyDescent="0.2">
      <c r="A499" s="275"/>
      <c r="B499" s="78"/>
      <c r="C499" s="189"/>
      <c r="D499" s="249"/>
      <c r="E499" s="229"/>
      <c r="F499" s="187"/>
    </row>
    <row r="500" spans="1:6" x14ac:dyDescent="0.2">
      <c r="A500" s="275"/>
      <c r="B500" s="78"/>
      <c r="C500" s="189"/>
      <c r="D500" s="249"/>
      <c r="E500" s="229"/>
      <c r="F500" s="187"/>
    </row>
    <row r="501" spans="1:6" x14ac:dyDescent="0.2">
      <c r="A501" s="275"/>
      <c r="B501" s="78"/>
      <c r="C501" s="189"/>
      <c r="D501" s="249"/>
      <c r="E501" s="229"/>
      <c r="F501" s="187"/>
    </row>
    <row r="502" spans="1:6" x14ac:dyDescent="0.2">
      <c r="A502" s="275"/>
      <c r="B502" s="78"/>
      <c r="C502" s="189"/>
      <c r="D502" s="249"/>
      <c r="E502" s="229"/>
      <c r="F502" s="187"/>
    </row>
    <row r="503" spans="1:6" x14ac:dyDescent="0.2">
      <c r="A503" s="275"/>
      <c r="B503" s="78"/>
      <c r="C503" s="189"/>
      <c r="D503" s="249"/>
      <c r="E503" s="229"/>
      <c r="F503" s="187"/>
    </row>
    <row r="504" spans="1:6" x14ac:dyDescent="0.2">
      <c r="A504" s="275"/>
      <c r="B504" s="78"/>
      <c r="C504" s="189"/>
      <c r="D504" s="249"/>
      <c r="E504" s="229"/>
      <c r="F504" s="187"/>
    </row>
    <row r="505" spans="1:6" x14ac:dyDescent="0.2">
      <c r="A505" s="275"/>
      <c r="B505" s="78"/>
      <c r="C505" s="189"/>
      <c r="D505" s="249"/>
      <c r="E505" s="229"/>
      <c r="F505" s="187"/>
    </row>
    <row r="506" spans="1:6" x14ac:dyDescent="0.2">
      <c r="A506" s="275"/>
      <c r="B506" s="78"/>
      <c r="C506" s="189"/>
      <c r="D506" s="249"/>
      <c r="E506" s="229"/>
      <c r="F506" s="187"/>
    </row>
    <row r="507" spans="1:6" x14ac:dyDescent="0.2">
      <c r="A507" s="275"/>
      <c r="B507" s="78"/>
      <c r="C507" s="189"/>
      <c r="D507" s="249"/>
      <c r="E507" s="229"/>
      <c r="F507" s="187"/>
    </row>
    <row r="508" spans="1:6" x14ac:dyDescent="0.2">
      <c r="A508" s="275"/>
      <c r="B508" s="78"/>
      <c r="C508" s="189"/>
      <c r="D508" s="249"/>
      <c r="E508" s="229"/>
      <c r="F508" s="187"/>
    </row>
    <row r="509" spans="1:6" x14ac:dyDescent="0.2">
      <c r="A509" s="275"/>
      <c r="B509" s="78"/>
      <c r="C509" s="189"/>
      <c r="D509" s="249"/>
      <c r="E509" s="229"/>
      <c r="F509" s="187"/>
    </row>
    <row r="510" spans="1:6" x14ac:dyDescent="0.2">
      <c r="A510" s="275"/>
      <c r="B510" s="78"/>
      <c r="C510" s="189"/>
      <c r="D510" s="249"/>
      <c r="E510" s="229"/>
      <c r="F510" s="187"/>
    </row>
    <row r="511" spans="1:6" x14ac:dyDescent="0.2">
      <c r="A511" s="275"/>
      <c r="B511" s="78"/>
      <c r="C511" s="189"/>
      <c r="D511" s="249"/>
      <c r="E511" s="229"/>
      <c r="F511" s="187"/>
    </row>
    <row r="512" spans="1:6" x14ac:dyDescent="0.2">
      <c r="A512" s="275"/>
      <c r="B512" s="78"/>
      <c r="C512" s="189"/>
      <c r="D512" s="249"/>
      <c r="E512" s="229"/>
      <c r="F512" s="187"/>
    </row>
    <row r="513" spans="1:6" x14ac:dyDescent="0.2">
      <c r="A513" s="275"/>
      <c r="B513" s="78"/>
      <c r="C513" s="189"/>
      <c r="D513" s="249"/>
      <c r="E513" s="229"/>
      <c r="F513" s="187"/>
    </row>
    <row r="514" spans="1:6" x14ac:dyDescent="0.2">
      <c r="A514" s="275"/>
      <c r="B514" s="78"/>
      <c r="C514" s="189"/>
      <c r="D514" s="249"/>
      <c r="E514" s="229"/>
      <c r="F514" s="187"/>
    </row>
    <row r="515" spans="1:6" x14ac:dyDescent="0.2">
      <c r="A515" s="275"/>
      <c r="B515" s="78"/>
      <c r="C515" s="189"/>
      <c r="D515" s="249"/>
      <c r="E515" s="229"/>
      <c r="F515" s="187"/>
    </row>
    <row r="516" spans="1:6" x14ac:dyDescent="0.2">
      <c r="A516" s="275"/>
      <c r="B516" s="78"/>
      <c r="C516" s="189"/>
      <c r="D516" s="249"/>
      <c r="E516" s="229"/>
      <c r="F516" s="187"/>
    </row>
    <row r="517" spans="1:6" x14ac:dyDescent="0.2">
      <c r="A517" s="275"/>
      <c r="B517" s="78"/>
      <c r="C517" s="189"/>
      <c r="D517" s="249"/>
      <c r="E517" s="229"/>
      <c r="F517" s="187"/>
    </row>
    <row r="518" spans="1:6" x14ac:dyDescent="0.2">
      <c r="A518" s="275"/>
      <c r="B518" s="78"/>
      <c r="C518" s="189"/>
      <c r="D518" s="249"/>
      <c r="E518" s="229"/>
      <c r="F518" s="187"/>
    </row>
    <row r="519" spans="1:6" x14ac:dyDescent="0.2">
      <c r="A519" s="275"/>
      <c r="B519" s="78"/>
      <c r="C519" s="189"/>
      <c r="D519" s="249"/>
      <c r="E519" s="229"/>
      <c r="F519" s="187"/>
    </row>
    <row r="520" spans="1:6" x14ac:dyDescent="0.2">
      <c r="A520" s="275"/>
      <c r="B520" s="78"/>
      <c r="C520" s="189"/>
      <c r="D520" s="249"/>
      <c r="E520" s="229"/>
      <c r="F520" s="187"/>
    </row>
    <row r="521" spans="1:6" x14ac:dyDescent="0.2">
      <c r="A521" s="275"/>
      <c r="B521" s="78"/>
      <c r="C521" s="189"/>
      <c r="D521" s="249"/>
      <c r="E521" s="229"/>
      <c r="F521" s="187"/>
    </row>
    <row r="522" spans="1:6" x14ac:dyDescent="0.2">
      <c r="A522" s="275"/>
      <c r="B522" s="78"/>
      <c r="C522" s="189"/>
      <c r="D522" s="249"/>
      <c r="E522" s="229"/>
      <c r="F522" s="187"/>
    </row>
    <row r="523" spans="1:6" x14ac:dyDescent="0.2">
      <c r="A523" s="275"/>
      <c r="B523" s="78"/>
      <c r="C523" s="189"/>
      <c r="D523" s="249"/>
      <c r="E523" s="229"/>
      <c r="F523" s="187"/>
    </row>
    <row r="524" spans="1:6" x14ac:dyDescent="0.2">
      <c r="A524" s="275"/>
      <c r="B524" s="78"/>
      <c r="C524" s="189"/>
      <c r="D524" s="249"/>
      <c r="E524" s="229"/>
      <c r="F524" s="187"/>
    </row>
    <row r="525" spans="1:6" x14ac:dyDescent="0.2">
      <c r="A525" s="275"/>
      <c r="B525" s="78"/>
      <c r="C525" s="189"/>
      <c r="D525" s="249"/>
      <c r="E525" s="229"/>
      <c r="F525" s="187"/>
    </row>
    <row r="526" spans="1:6" x14ac:dyDescent="0.2">
      <c r="A526" s="275"/>
      <c r="B526" s="78"/>
      <c r="C526" s="189"/>
      <c r="D526" s="249"/>
      <c r="E526" s="229"/>
      <c r="F526" s="187"/>
    </row>
    <row r="527" spans="1:6" x14ac:dyDescent="0.2">
      <c r="A527" s="275"/>
      <c r="B527" s="78"/>
      <c r="C527" s="189"/>
      <c r="D527" s="249"/>
      <c r="E527" s="229"/>
      <c r="F527" s="187"/>
    </row>
    <row r="528" spans="1:6" x14ac:dyDescent="0.2">
      <c r="A528" s="275"/>
      <c r="B528" s="78"/>
      <c r="C528" s="189"/>
      <c r="D528" s="249"/>
      <c r="E528" s="229"/>
      <c r="F528" s="187"/>
    </row>
    <row r="529" spans="1:6" x14ac:dyDescent="0.2">
      <c r="A529" s="275"/>
      <c r="B529" s="78"/>
      <c r="C529" s="189"/>
      <c r="D529" s="249"/>
      <c r="E529" s="229"/>
      <c r="F529" s="187"/>
    </row>
    <row r="530" spans="1:6" x14ac:dyDescent="0.2">
      <c r="A530" s="275"/>
      <c r="B530" s="78"/>
      <c r="C530" s="189"/>
      <c r="D530" s="249"/>
      <c r="E530" s="229"/>
      <c r="F530" s="187"/>
    </row>
    <row r="531" spans="1:6" x14ac:dyDescent="0.2">
      <c r="A531" s="275"/>
      <c r="B531" s="78"/>
      <c r="C531" s="189"/>
      <c r="D531" s="249"/>
      <c r="E531" s="229"/>
      <c r="F531" s="187"/>
    </row>
    <row r="532" spans="1:6" x14ac:dyDescent="0.2">
      <c r="A532" s="275"/>
      <c r="B532" s="78"/>
      <c r="C532" s="189"/>
      <c r="D532" s="249"/>
      <c r="E532" s="229"/>
      <c r="F532" s="187"/>
    </row>
    <row r="533" spans="1:6" x14ac:dyDescent="0.2">
      <c r="A533" s="275"/>
      <c r="B533" s="78"/>
      <c r="C533" s="189"/>
      <c r="D533" s="249"/>
      <c r="E533" s="229"/>
      <c r="F533" s="187"/>
    </row>
    <row r="534" spans="1:6" x14ac:dyDescent="0.2">
      <c r="A534" s="275"/>
      <c r="B534" s="78"/>
      <c r="C534" s="189"/>
      <c r="D534" s="249"/>
      <c r="E534" s="229"/>
      <c r="F534" s="187"/>
    </row>
    <row r="535" spans="1:6" x14ac:dyDescent="0.2">
      <c r="A535" s="275"/>
      <c r="B535" s="78"/>
      <c r="C535" s="189"/>
      <c r="D535" s="249"/>
      <c r="E535" s="229"/>
      <c r="F535" s="187"/>
    </row>
    <row r="536" spans="1:6" x14ac:dyDescent="0.2">
      <c r="A536" s="275"/>
      <c r="B536" s="78"/>
      <c r="C536" s="189"/>
      <c r="D536" s="249"/>
      <c r="E536" s="229"/>
      <c r="F536" s="187"/>
    </row>
    <row r="537" spans="1:6" x14ac:dyDescent="0.2">
      <c r="A537" s="275"/>
      <c r="B537" s="78"/>
      <c r="C537" s="189"/>
      <c r="D537" s="249"/>
      <c r="E537" s="229"/>
      <c r="F537" s="187"/>
    </row>
    <row r="538" spans="1:6" x14ac:dyDescent="0.2">
      <c r="A538" s="275"/>
      <c r="B538" s="78"/>
      <c r="C538" s="189"/>
      <c r="D538" s="249"/>
      <c r="E538" s="229"/>
      <c r="F538" s="187"/>
    </row>
    <row r="539" spans="1:6" x14ac:dyDescent="0.2">
      <c r="A539" s="275"/>
      <c r="B539" s="78"/>
      <c r="C539" s="189"/>
      <c r="D539" s="249"/>
      <c r="E539" s="229"/>
      <c r="F539" s="187"/>
    </row>
    <row r="540" spans="1:6" x14ac:dyDescent="0.2">
      <c r="A540" s="275"/>
      <c r="B540" s="78"/>
      <c r="C540" s="189"/>
      <c r="D540" s="249"/>
      <c r="E540" s="229"/>
      <c r="F540" s="187"/>
    </row>
    <row r="541" spans="1:6" x14ac:dyDescent="0.2">
      <c r="A541" s="275"/>
      <c r="B541" s="78"/>
      <c r="C541" s="189"/>
      <c r="D541" s="249"/>
      <c r="E541" s="229"/>
      <c r="F541" s="187"/>
    </row>
    <row r="542" spans="1:6" x14ac:dyDescent="0.2">
      <c r="A542" s="275"/>
      <c r="B542" s="78"/>
      <c r="C542" s="189"/>
      <c r="D542" s="249"/>
      <c r="E542" s="229"/>
      <c r="F542" s="187"/>
    </row>
    <row r="543" spans="1:6" x14ac:dyDescent="0.2">
      <c r="A543" s="275"/>
      <c r="B543" s="78"/>
      <c r="C543" s="189"/>
      <c r="D543" s="249"/>
      <c r="E543" s="229"/>
      <c r="F543" s="187"/>
    </row>
    <row r="544" spans="1:6" x14ac:dyDescent="0.2">
      <c r="A544" s="275"/>
      <c r="B544" s="78"/>
      <c r="C544" s="189"/>
      <c r="D544" s="249"/>
      <c r="E544" s="229"/>
      <c r="F544" s="187"/>
    </row>
    <row r="545" spans="1:6" x14ac:dyDescent="0.2">
      <c r="A545" s="275"/>
      <c r="B545" s="78"/>
      <c r="C545" s="189"/>
      <c r="D545" s="249"/>
      <c r="E545" s="229"/>
      <c r="F545" s="187"/>
    </row>
    <row r="546" spans="1:6" x14ac:dyDescent="0.2">
      <c r="A546" s="275"/>
      <c r="B546" s="78"/>
      <c r="C546" s="189"/>
      <c r="D546" s="249"/>
      <c r="E546" s="229"/>
      <c r="F546" s="187"/>
    </row>
    <row r="547" spans="1:6" x14ac:dyDescent="0.2">
      <c r="A547" s="275"/>
      <c r="B547" s="78"/>
      <c r="C547" s="189"/>
      <c r="D547" s="249"/>
      <c r="E547" s="229"/>
      <c r="F547" s="187"/>
    </row>
    <row r="548" spans="1:6" x14ac:dyDescent="0.2">
      <c r="A548" s="275"/>
      <c r="B548" s="78"/>
      <c r="C548" s="189"/>
      <c r="D548" s="249"/>
      <c r="E548" s="229"/>
      <c r="F548" s="187"/>
    </row>
    <row r="549" spans="1:6" x14ac:dyDescent="0.2">
      <c r="A549" s="275"/>
      <c r="B549" s="78"/>
      <c r="C549" s="189"/>
      <c r="D549" s="249"/>
      <c r="E549" s="229"/>
      <c r="F549" s="187"/>
    </row>
    <row r="550" spans="1:6" x14ac:dyDescent="0.2">
      <c r="A550" s="275"/>
      <c r="B550" s="78"/>
      <c r="C550" s="189"/>
      <c r="D550" s="249"/>
      <c r="E550" s="229"/>
      <c r="F550" s="187"/>
    </row>
    <row r="551" spans="1:6" x14ac:dyDescent="0.2">
      <c r="A551" s="275"/>
      <c r="B551" s="78"/>
      <c r="C551" s="189"/>
      <c r="D551" s="249"/>
      <c r="E551" s="229"/>
      <c r="F551" s="187"/>
    </row>
    <row r="552" spans="1:6" x14ac:dyDescent="0.2">
      <c r="A552" s="275"/>
      <c r="B552" s="78"/>
      <c r="C552" s="189"/>
      <c r="D552" s="249"/>
      <c r="E552" s="229"/>
      <c r="F552" s="187"/>
    </row>
    <row r="553" spans="1:6" x14ac:dyDescent="0.2">
      <c r="A553" s="275"/>
      <c r="B553" s="78"/>
      <c r="C553" s="189"/>
      <c r="D553" s="249"/>
      <c r="E553" s="229"/>
      <c r="F553" s="187"/>
    </row>
    <row r="554" spans="1:6" x14ac:dyDescent="0.2">
      <c r="A554" s="275"/>
      <c r="B554" s="78"/>
      <c r="C554" s="189"/>
      <c r="D554" s="249"/>
      <c r="E554" s="229"/>
      <c r="F554" s="187"/>
    </row>
    <row r="555" spans="1:6" x14ac:dyDescent="0.2">
      <c r="A555" s="275"/>
      <c r="B555" s="78"/>
      <c r="C555" s="189"/>
      <c r="D555" s="249"/>
      <c r="E555" s="229"/>
      <c r="F555" s="187"/>
    </row>
    <row r="556" spans="1:6" x14ac:dyDescent="0.2">
      <c r="A556" s="275"/>
      <c r="B556" s="78"/>
      <c r="C556" s="189"/>
      <c r="D556" s="249"/>
      <c r="E556" s="229"/>
      <c r="F556" s="187"/>
    </row>
    <row r="557" spans="1:6" x14ac:dyDescent="0.2">
      <c r="A557" s="275"/>
      <c r="B557" s="78"/>
      <c r="C557" s="189"/>
      <c r="D557" s="249"/>
      <c r="E557" s="229"/>
      <c r="F557" s="187"/>
    </row>
    <row r="558" spans="1:6" x14ac:dyDescent="0.2">
      <c r="A558" s="275"/>
      <c r="B558" s="78"/>
      <c r="C558" s="189"/>
      <c r="D558" s="249"/>
      <c r="E558" s="229"/>
      <c r="F558" s="187"/>
    </row>
    <row r="559" spans="1:6" x14ac:dyDescent="0.2">
      <c r="A559" s="275"/>
      <c r="B559" s="78"/>
      <c r="C559" s="189"/>
      <c r="D559" s="249"/>
      <c r="E559" s="229"/>
      <c r="F559" s="187"/>
    </row>
    <row r="560" spans="1:6" x14ac:dyDescent="0.2">
      <c r="A560" s="275"/>
      <c r="B560" s="78"/>
      <c r="C560" s="189"/>
      <c r="D560" s="249"/>
      <c r="E560" s="229"/>
      <c r="F560" s="187"/>
    </row>
    <row r="561" spans="1:6" x14ac:dyDescent="0.2">
      <c r="A561" s="275"/>
      <c r="B561" s="78"/>
      <c r="C561" s="189"/>
      <c r="D561" s="249"/>
      <c r="E561" s="229"/>
      <c r="F561" s="187"/>
    </row>
    <row r="562" spans="1:6" x14ac:dyDescent="0.2">
      <c r="A562" s="275"/>
      <c r="B562" s="78"/>
      <c r="C562" s="189"/>
      <c r="D562" s="249"/>
      <c r="E562" s="229"/>
      <c r="F562" s="187"/>
    </row>
    <row r="563" spans="1:6" x14ac:dyDescent="0.2">
      <c r="A563" s="275"/>
      <c r="B563" s="78"/>
      <c r="C563" s="189"/>
      <c r="D563" s="249"/>
      <c r="E563" s="229"/>
      <c r="F563" s="187"/>
    </row>
    <row r="564" spans="1:6" x14ac:dyDescent="0.2">
      <c r="A564" s="275"/>
      <c r="B564" s="78"/>
      <c r="C564" s="189"/>
      <c r="D564" s="249"/>
      <c r="E564" s="229"/>
      <c r="F564" s="187"/>
    </row>
    <row r="565" spans="1:6" x14ac:dyDescent="0.2">
      <c r="A565" s="275"/>
      <c r="B565" s="78"/>
      <c r="C565" s="189"/>
      <c r="D565" s="249"/>
      <c r="E565" s="229"/>
      <c r="F565" s="187"/>
    </row>
    <row r="566" spans="1:6" x14ac:dyDescent="0.2">
      <c r="A566" s="275"/>
      <c r="B566" s="78"/>
      <c r="C566" s="189"/>
      <c r="D566" s="249"/>
      <c r="E566" s="229"/>
      <c r="F566" s="187"/>
    </row>
    <row r="567" spans="1:6" x14ac:dyDescent="0.2">
      <c r="A567" s="275"/>
      <c r="B567" s="78"/>
      <c r="C567" s="189"/>
      <c r="D567" s="249"/>
      <c r="E567" s="229"/>
      <c r="F567" s="187"/>
    </row>
    <row r="568" spans="1:6" x14ac:dyDescent="0.2">
      <c r="A568" s="275"/>
      <c r="B568" s="78"/>
      <c r="C568" s="189"/>
      <c r="D568" s="249"/>
      <c r="E568" s="229"/>
      <c r="F568" s="187"/>
    </row>
    <row r="569" spans="1:6" x14ac:dyDescent="0.2">
      <c r="A569" s="275"/>
      <c r="B569" s="78"/>
      <c r="C569" s="189"/>
      <c r="D569" s="249"/>
      <c r="E569" s="229"/>
      <c r="F569" s="187"/>
    </row>
    <row r="570" spans="1:6" x14ac:dyDescent="0.2">
      <c r="A570" s="275"/>
      <c r="B570" s="78"/>
      <c r="C570" s="189"/>
      <c r="D570" s="249"/>
      <c r="E570" s="229"/>
      <c r="F570" s="187"/>
    </row>
    <row r="571" spans="1:6" x14ac:dyDescent="0.2">
      <c r="A571" s="275"/>
      <c r="B571" s="78"/>
      <c r="C571" s="189"/>
      <c r="D571" s="249"/>
      <c r="E571" s="229"/>
      <c r="F571" s="187"/>
    </row>
    <row r="572" spans="1:6" x14ac:dyDescent="0.2">
      <c r="A572" s="275"/>
      <c r="B572" s="78"/>
      <c r="C572" s="189"/>
      <c r="D572" s="249"/>
      <c r="E572" s="229"/>
      <c r="F572" s="187"/>
    </row>
    <row r="573" spans="1:6" x14ac:dyDescent="0.2">
      <c r="A573" s="275"/>
      <c r="B573" s="78"/>
      <c r="C573" s="189"/>
      <c r="D573" s="249"/>
      <c r="E573" s="229"/>
      <c r="F573" s="187"/>
    </row>
    <row r="574" spans="1:6" x14ac:dyDescent="0.2">
      <c r="A574" s="275"/>
      <c r="B574" s="78"/>
      <c r="C574" s="189"/>
      <c r="D574" s="249"/>
      <c r="E574" s="229"/>
      <c r="F574" s="187"/>
    </row>
    <row r="575" spans="1:6" x14ac:dyDescent="0.2">
      <c r="A575" s="275"/>
      <c r="B575" s="78"/>
      <c r="C575" s="189"/>
      <c r="D575" s="249"/>
      <c r="E575" s="229"/>
      <c r="F575" s="187"/>
    </row>
    <row r="576" spans="1:6" x14ac:dyDescent="0.2">
      <c r="A576" s="275"/>
      <c r="B576" s="78"/>
      <c r="C576" s="189"/>
      <c r="D576" s="249"/>
      <c r="E576" s="229"/>
      <c r="F576" s="187"/>
    </row>
    <row r="577" spans="1:6" x14ac:dyDescent="0.2">
      <c r="A577" s="275"/>
      <c r="B577" s="78"/>
      <c r="C577" s="189"/>
      <c r="D577" s="249"/>
      <c r="E577" s="229"/>
      <c r="F577" s="187"/>
    </row>
    <row r="578" spans="1:6" x14ac:dyDescent="0.2">
      <c r="A578" s="275"/>
      <c r="B578" s="78"/>
      <c r="C578" s="189"/>
      <c r="D578" s="249"/>
      <c r="E578" s="229"/>
      <c r="F578" s="187"/>
    </row>
    <row r="579" spans="1:6" x14ac:dyDescent="0.2">
      <c r="A579" s="275"/>
      <c r="B579" s="78"/>
      <c r="C579" s="189"/>
      <c r="D579" s="249"/>
      <c r="E579" s="229"/>
      <c r="F579" s="187"/>
    </row>
    <row r="580" spans="1:6" x14ac:dyDescent="0.2">
      <c r="A580" s="275"/>
      <c r="B580" s="78"/>
      <c r="C580" s="189"/>
      <c r="D580" s="249"/>
      <c r="E580" s="229"/>
      <c r="F580" s="187"/>
    </row>
    <row r="581" spans="1:6" x14ac:dyDescent="0.2">
      <c r="A581" s="275"/>
      <c r="B581" s="78"/>
      <c r="C581" s="189"/>
      <c r="D581" s="249"/>
      <c r="E581" s="229"/>
      <c r="F581" s="187"/>
    </row>
    <row r="582" spans="1:6" x14ac:dyDescent="0.2">
      <c r="A582" s="275"/>
      <c r="B582" s="78"/>
      <c r="C582" s="189"/>
      <c r="D582" s="249"/>
      <c r="E582" s="229"/>
      <c r="F582" s="187"/>
    </row>
    <row r="583" spans="1:6" x14ac:dyDescent="0.2">
      <c r="A583" s="275"/>
      <c r="B583" s="78"/>
      <c r="C583" s="189"/>
      <c r="D583" s="249"/>
      <c r="E583" s="229"/>
      <c r="F583" s="187"/>
    </row>
    <row r="584" spans="1:6" x14ac:dyDescent="0.2">
      <c r="A584" s="275"/>
      <c r="B584" s="78"/>
      <c r="C584" s="189"/>
      <c r="D584" s="249"/>
      <c r="E584" s="229"/>
      <c r="F584" s="187"/>
    </row>
    <row r="585" spans="1:6" x14ac:dyDescent="0.2">
      <c r="A585" s="275"/>
      <c r="B585" s="78"/>
      <c r="C585" s="189"/>
      <c r="D585" s="249"/>
      <c r="E585" s="229"/>
      <c r="F585" s="187"/>
    </row>
    <row r="586" spans="1:6" x14ac:dyDescent="0.2">
      <c r="A586" s="275"/>
      <c r="B586" s="78"/>
      <c r="C586" s="189"/>
      <c r="D586" s="249"/>
      <c r="E586" s="229"/>
      <c r="F586" s="187"/>
    </row>
    <row r="587" spans="1:6" x14ac:dyDescent="0.2">
      <c r="A587" s="275"/>
      <c r="B587" s="78"/>
      <c r="C587" s="189"/>
      <c r="D587" s="249"/>
      <c r="E587" s="229"/>
      <c r="F587" s="187"/>
    </row>
    <row r="588" spans="1:6" x14ac:dyDescent="0.2">
      <c r="A588" s="275"/>
      <c r="B588" s="78"/>
      <c r="C588" s="189"/>
      <c r="D588" s="249"/>
      <c r="E588" s="229"/>
      <c r="F588" s="187"/>
    </row>
    <row r="589" spans="1:6" x14ac:dyDescent="0.2">
      <c r="A589" s="275"/>
      <c r="B589" s="78"/>
      <c r="C589" s="189"/>
      <c r="D589" s="249"/>
      <c r="E589" s="229"/>
      <c r="F589" s="187"/>
    </row>
    <row r="590" spans="1:6" x14ac:dyDescent="0.2">
      <c r="A590" s="275"/>
      <c r="B590" s="78"/>
      <c r="C590" s="189"/>
      <c r="D590" s="249"/>
      <c r="E590" s="229"/>
      <c r="F590" s="187"/>
    </row>
    <row r="591" spans="1:6" x14ac:dyDescent="0.2">
      <c r="A591" s="275"/>
      <c r="B591" s="78"/>
      <c r="C591" s="189"/>
      <c r="D591" s="249"/>
      <c r="E591" s="229"/>
      <c r="F591" s="187"/>
    </row>
    <row r="592" spans="1:6" x14ac:dyDescent="0.2">
      <c r="A592" s="275"/>
      <c r="B592" s="78"/>
      <c r="C592" s="189"/>
      <c r="D592" s="249"/>
      <c r="E592" s="229"/>
      <c r="F592" s="187"/>
    </row>
    <row r="593" spans="1:6" x14ac:dyDescent="0.2">
      <c r="A593" s="275"/>
      <c r="B593" s="78"/>
      <c r="C593" s="189"/>
      <c r="D593" s="249"/>
      <c r="E593" s="229"/>
      <c r="F593" s="187"/>
    </row>
    <row r="594" spans="1:6" x14ac:dyDescent="0.2">
      <c r="A594" s="275"/>
      <c r="B594" s="78"/>
      <c r="C594" s="189"/>
      <c r="D594" s="249"/>
      <c r="E594" s="229"/>
      <c r="F594" s="187"/>
    </row>
    <row r="595" spans="1:6" x14ac:dyDescent="0.2">
      <c r="A595" s="275"/>
      <c r="B595" s="78"/>
      <c r="C595" s="189"/>
      <c r="D595" s="249"/>
      <c r="E595" s="229"/>
      <c r="F595" s="187"/>
    </row>
    <row r="596" spans="1:6" x14ac:dyDescent="0.2">
      <c r="A596" s="275"/>
      <c r="B596" s="78"/>
      <c r="C596" s="189"/>
      <c r="D596" s="249"/>
      <c r="E596" s="229"/>
      <c r="F596" s="187"/>
    </row>
    <row r="597" spans="1:6" x14ac:dyDescent="0.2">
      <c r="A597" s="275"/>
      <c r="B597" s="78"/>
      <c r="C597" s="189"/>
      <c r="D597" s="249"/>
      <c r="E597" s="229"/>
      <c r="F597" s="187"/>
    </row>
    <row r="598" spans="1:6" x14ac:dyDescent="0.2">
      <c r="A598" s="275"/>
      <c r="B598" s="78"/>
      <c r="C598" s="189"/>
      <c r="D598" s="249"/>
      <c r="E598" s="229"/>
      <c r="F598" s="187"/>
    </row>
    <row r="599" spans="1:6" x14ac:dyDescent="0.2">
      <c r="A599" s="275"/>
      <c r="B599" s="78"/>
      <c r="C599" s="189"/>
      <c r="D599" s="249"/>
      <c r="E599" s="229"/>
      <c r="F599" s="187"/>
    </row>
    <row r="600" spans="1:6" x14ac:dyDescent="0.2">
      <c r="A600" s="275"/>
      <c r="B600" s="78"/>
      <c r="C600" s="189"/>
      <c r="D600" s="249"/>
      <c r="E600" s="229"/>
      <c r="F600" s="187"/>
    </row>
    <row r="601" spans="1:6" x14ac:dyDescent="0.2">
      <c r="A601" s="275"/>
      <c r="B601" s="78"/>
      <c r="C601" s="189"/>
      <c r="D601" s="249"/>
      <c r="E601" s="229"/>
      <c r="F601" s="187"/>
    </row>
    <row r="602" spans="1:6" x14ac:dyDescent="0.2">
      <c r="A602" s="275"/>
      <c r="B602" s="78"/>
      <c r="C602" s="189"/>
      <c r="D602" s="249"/>
      <c r="E602" s="229"/>
      <c r="F602" s="187"/>
    </row>
    <row r="603" spans="1:6" x14ac:dyDescent="0.2">
      <c r="A603" s="275"/>
      <c r="B603" s="78"/>
      <c r="C603" s="189"/>
      <c r="D603" s="249"/>
      <c r="E603" s="229"/>
      <c r="F603" s="187"/>
    </row>
    <row r="604" spans="1:6" x14ac:dyDescent="0.2">
      <c r="A604" s="275"/>
      <c r="B604" s="78"/>
      <c r="C604" s="189"/>
      <c r="D604" s="249"/>
      <c r="E604" s="229"/>
      <c r="F604" s="187"/>
    </row>
    <row r="605" spans="1:6" x14ac:dyDescent="0.2">
      <c r="A605" s="275"/>
      <c r="B605" s="78"/>
      <c r="C605" s="189"/>
      <c r="D605" s="249"/>
      <c r="E605" s="229"/>
      <c r="F605" s="187"/>
    </row>
    <row r="606" spans="1:6" x14ac:dyDescent="0.2">
      <c r="A606" s="275"/>
      <c r="B606" s="78"/>
      <c r="C606" s="189"/>
      <c r="D606" s="249"/>
      <c r="E606" s="229"/>
      <c r="F606" s="187"/>
    </row>
    <row r="607" spans="1:6" x14ac:dyDescent="0.2">
      <c r="A607" s="275"/>
      <c r="B607" s="78"/>
      <c r="C607" s="189"/>
      <c r="D607" s="249"/>
      <c r="E607" s="229"/>
      <c r="F607" s="187"/>
    </row>
    <row r="608" spans="1:6" x14ac:dyDescent="0.2">
      <c r="A608" s="275"/>
      <c r="B608" s="78"/>
      <c r="C608" s="189"/>
      <c r="D608" s="249"/>
      <c r="E608" s="229"/>
      <c r="F608" s="187"/>
    </row>
    <row r="609" spans="1:6" x14ac:dyDescent="0.2">
      <c r="A609" s="275"/>
      <c r="B609" s="78"/>
      <c r="C609" s="189"/>
      <c r="D609" s="249"/>
      <c r="E609" s="229"/>
      <c r="F609" s="187"/>
    </row>
    <row r="610" spans="1:6" x14ac:dyDescent="0.2">
      <c r="A610" s="275"/>
      <c r="B610" s="78"/>
      <c r="C610" s="189"/>
      <c r="D610" s="249"/>
      <c r="E610" s="229"/>
      <c r="F610" s="187"/>
    </row>
    <row r="611" spans="1:6" x14ac:dyDescent="0.2">
      <c r="A611" s="275"/>
      <c r="B611" s="78"/>
      <c r="C611" s="189"/>
      <c r="D611" s="249"/>
      <c r="E611" s="229"/>
      <c r="F611" s="187"/>
    </row>
    <row r="612" spans="1:6" x14ac:dyDescent="0.2">
      <c r="A612" s="275"/>
      <c r="B612" s="78"/>
      <c r="C612" s="189"/>
      <c r="D612" s="249"/>
      <c r="E612" s="229"/>
      <c r="F612" s="187"/>
    </row>
    <row r="613" spans="1:6" x14ac:dyDescent="0.2">
      <c r="A613" s="275"/>
      <c r="B613" s="78"/>
      <c r="C613" s="189"/>
      <c r="D613" s="249"/>
      <c r="E613" s="229"/>
      <c r="F613" s="187"/>
    </row>
    <row r="614" spans="1:6" x14ac:dyDescent="0.2">
      <c r="A614" s="275"/>
      <c r="B614" s="78"/>
      <c r="C614" s="189"/>
      <c r="D614" s="249"/>
      <c r="E614" s="229"/>
      <c r="F614" s="187"/>
    </row>
    <row r="615" spans="1:6" x14ac:dyDescent="0.2">
      <c r="A615" s="275"/>
      <c r="B615" s="78"/>
      <c r="C615" s="189"/>
      <c r="D615" s="249"/>
      <c r="E615" s="229"/>
      <c r="F615" s="187"/>
    </row>
    <row r="616" spans="1:6" x14ac:dyDescent="0.2">
      <c r="A616" s="275"/>
      <c r="B616" s="78"/>
      <c r="C616" s="189"/>
      <c r="D616" s="249"/>
      <c r="E616" s="229"/>
      <c r="F616" s="187"/>
    </row>
    <row r="617" spans="1:6" x14ac:dyDescent="0.2">
      <c r="A617" s="275"/>
      <c r="B617" s="78"/>
      <c r="C617" s="189"/>
      <c r="D617" s="249"/>
      <c r="E617" s="229"/>
      <c r="F617" s="187"/>
    </row>
    <row r="618" spans="1:6" x14ac:dyDescent="0.2">
      <c r="A618" s="275"/>
      <c r="B618" s="78"/>
      <c r="C618" s="189"/>
      <c r="D618" s="249"/>
      <c r="E618" s="229"/>
      <c r="F618" s="187"/>
    </row>
    <row r="619" spans="1:6" x14ac:dyDescent="0.2">
      <c r="A619" s="275"/>
      <c r="B619" s="78"/>
      <c r="C619" s="189"/>
      <c r="D619" s="249"/>
      <c r="E619" s="229"/>
      <c r="F619" s="187"/>
    </row>
    <row r="620" spans="1:6" x14ac:dyDescent="0.2">
      <c r="A620" s="275"/>
      <c r="B620" s="78"/>
      <c r="C620" s="189"/>
      <c r="D620" s="249"/>
      <c r="E620" s="229"/>
      <c r="F620" s="187"/>
    </row>
    <row r="621" spans="1:6" x14ac:dyDescent="0.2">
      <c r="A621" s="275"/>
      <c r="B621" s="78"/>
      <c r="C621" s="189"/>
      <c r="D621" s="249"/>
      <c r="E621" s="229"/>
      <c r="F621" s="187"/>
    </row>
    <row r="622" spans="1:6" x14ac:dyDescent="0.2">
      <c r="A622" s="275"/>
      <c r="B622" s="78"/>
      <c r="C622" s="189"/>
      <c r="D622" s="249"/>
      <c r="E622" s="229"/>
      <c r="F622" s="187"/>
    </row>
    <row r="623" spans="1:6" x14ac:dyDescent="0.2">
      <c r="A623" s="275"/>
      <c r="B623" s="78"/>
      <c r="C623" s="189"/>
      <c r="D623" s="249"/>
      <c r="E623" s="229"/>
      <c r="F623" s="187"/>
    </row>
    <row r="624" spans="1:6" x14ac:dyDescent="0.2">
      <c r="A624" s="275"/>
      <c r="B624" s="78"/>
      <c r="C624" s="189"/>
      <c r="D624" s="249"/>
      <c r="E624" s="229"/>
      <c r="F624" s="187"/>
    </row>
    <row r="625" spans="1:6" x14ac:dyDescent="0.2">
      <c r="A625" s="275"/>
      <c r="B625" s="78"/>
      <c r="C625" s="189"/>
      <c r="D625" s="249"/>
      <c r="E625" s="229"/>
      <c r="F625" s="187"/>
    </row>
    <row r="626" spans="1:6" x14ac:dyDescent="0.2">
      <c r="A626" s="275"/>
      <c r="B626" s="78"/>
      <c r="C626" s="189"/>
      <c r="D626" s="249"/>
      <c r="E626" s="229"/>
      <c r="F626" s="187"/>
    </row>
    <row r="627" spans="1:6" x14ac:dyDescent="0.2">
      <c r="A627" s="275"/>
      <c r="B627" s="78"/>
      <c r="C627" s="189"/>
      <c r="D627" s="249"/>
      <c r="E627" s="229"/>
      <c r="F627" s="187"/>
    </row>
    <row r="628" spans="1:6" x14ac:dyDescent="0.2">
      <c r="A628" s="275"/>
      <c r="B628" s="78"/>
      <c r="C628" s="189"/>
      <c r="D628" s="249"/>
      <c r="E628" s="229"/>
      <c r="F628" s="187"/>
    </row>
    <row r="629" spans="1:6" x14ac:dyDescent="0.2">
      <c r="A629" s="275"/>
      <c r="B629" s="78"/>
      <c r="C629" s="189"/>
      <c r="D629" s="249"/>
      <c r="E629" s="229"/>
      <c r="F629" s="187"/>
    </row>
    <row r="630" spans="1:6" x14ac:dyDescent="0.2">
      <c r="A630" s="275"/>
      <c r="B630" s="78"/>
      <c r="C630" s="189"/>
      <c r="D630" s="249"/>
      <c r="E630" s="229"/>
      <c r="F630" s="187"/>
    </row>
    <row r="631" spans="1:6" x14ac:dyDescent="0.2">
      <c r="A631" s="275"/>
      <c r="B631" s="78"/>
      <c r="C631" s="189"/>
      <c r="D631" s="249"/>
      <c r="E631" s="229"/>
      <c r="F631" s="187"/>
    </row>
    <row r="632" spans="1:6" x14ac:dyDescent="0.2">
      <c r="A632" s="275"/>
      <c r="B632" s="78"/>
      <c r="C632" s="189"/>
      <c r="D632" s="249"/>
      <c r="E632" s="229"/>
      <c r="F632" s="187"/>
    </row>
    <row r="633" spans="1:6" x14ac:dyDescent="0.2">
      <c r="A633" s="275"/>
      <c r="B633" s="78"/>
      <c r="C633" s="189"/>
      <c r="D633" s="249"/>
      <c r="E633" s="229"/>
      <c r="F633" s="187"/>
    </row>
    <row r="634" spans="1:6" x14ac:dyDescent="0.2">
      <c r="A634" s="275"/>
      <c r="B634" s="78"/>
      <c r="C634" s="189"/>
      <c r="D634" s="249"/>
      <c r="E634" s="229"/>
      <c r="F634" s="187"/>
    </row>
    <row r="635" spans="1:6" x14ac:dyDescent="0.2">
      <c r="A635" s="275"/>
      <c r="B635" s="78"/>
      <c r="C635" s="189"/>
      <c r="D635" s="249"/>
      <c r="E635" s="229"/>
      <c r="F635" s="187"/>
    </row>
    <row r="636" spans="1:6" x14ac:dyDescent="0.2">
      <c r="A636" s="275"/>
      <c r="B636" s="78"/>
      <c r="C636" s="189"/>
      <c r="D636" s="249"/>
      <c r="E636" s="229"/>
      <c r="F636" s="187"/>
    </row>
    <row r="637" spans="1:6" x14ac:dyDescent="0.2">
      <c r="A637" s="275"/>
      <c r="B637" s="78"/>
      <c r="C637" s="189"/>
      <c r="D637" s="249"/>
      <c r="E637" s="229"/>
      <c r="F637" s="187"/>
    </row>
    <row r="638" spans="1:6" x14ac:dyDescent="0.2">
      <c r="A638" s="275"/>
      <c r="B638" s="78"/>
      <c r="C638" s="189"/>
      <c r="D638" s="249"/>
      <c r="E638" s="229"/>
      <c r="F638" s="187"/>
    </row>
    <row r="639" spans="1:6" x14ac:dyDescent="0.2">
      <c r="A639" s="275"/>
      <c r="B639" s="78"/>
      <c r="C639" s="189"/>
      <c r="D639" s="249"/>
      <c r="E639" s="229"/>
      <c r="F639" s="187"/>
    </row>
    <row r="640" spans="1:6" x14ac:dyDescent="0.2">
      <c r="A640" s="275"/>
      <c r="B640" s="78"/>
      <c r="C640" s="189"/>
      <c r="D640" s="249"/>
      <c r="E640" s="229"/>
      <c r="F640" s="187"/>
    </row>
    <row r="641" spans="1:6" x14ac:dyDescent="0.2">
      <c r="A641" s="275"/>
      <c r="B641" s="78"/>
      <c r="C641" s="189"/>
      <c r="D641" s="249"/>
      <c r="E641" s="229"/>
      <c r="F641" s="187"/>
    </row>
    <row r="642" spans="1:6" x14ac:dyDescent="0.2">
      <c r="A642" s="275"/>
      <c r="B642" s="78"/>
      <c r="C642" s="189"/>
      <c r="D642" s="249"/>
      <c r="E642" s="229"/>
      <c r="F642" s="187"/>
    </row>
    <row r="643" spans="1:6" x14ac:dyDescent="0.2">
      <c r="A643" s="275"/>
      <c r="B643" s="78"/>
      <c r="C643" s="189"/>
      <c r="D643" s="249"/>
      <c r="E643" s="229"/>
      <c r="F643" s="187"/>
    </row>
    <row r="644" spans="1:6" x14ac:dyDescent="0.2">
      <c r="A644" s="275"/>
      <c r="B644" s="78"/>
      <c r="C644" s="189"/>
      <c r="D644" s="249"/>
      <c r="E644" s="229"/>
      <c r="F644" s="187"/>
    </row>
    <row r="645" spans="1:6" x14ac:dyDescent="0.2">
      <c r="A645" s="275"/>
      <c r="B645" s="78"/>
      <c r="C645" s="189"/>
      <c r="D645" s="249"/>
      <c r="E645" s="229"/>
      <c r="F645" s="187"/>
    </row>
    <row r="646" spans="1:6" x14ac:dyDescent="0.2">
      <c r="A646" s="275"/>
      <c r="B646" s="78"/>
      <c r="C646" s="189"/>
      <c r="D646" s="249"/>
      <c r="E646" s="229"/>
      <c r="F646" s="187"/>
    </row>
    <row r="647" spans="1:6" x14ac:dyDescent="0.2">
      <c r="A647" s="275"/>
      <c r="B647" s="78"/>
      <c r="C647" s="189"/>
      <c r="D647" s="249"/>
      <c r="E647" s="229"/>
      <c r="F647" s="187"/>
    </row>
    <row r="648" spans="1:6" x14ac:dyDescent="0.2">
      <c r="A648" s="275"/>
      <c r="B648" s="78"/>
      <c r="C648" s="189"/>
      <c r="D648" s="249"/>
      <c r="E648" s="229"/>
      <c r="F648" s="187"/>
    </row>
    <row r="649" spans="1:6" x14ac:dyDescent="0.2">
      <c r="A649" s="275"/>
      <c r="B649" s="78"/>
      <c r="C649" s="189"/>
      <c r="D649" s="249"/>
      <c r="E649" s="229"/>
      <c r="F649" s="187"/>
    </row>
    <row r="650" spans="1:6" x14ac:dyDescent="0.2">
      <c r="A650" s="275"/>
      <c r="B650" s="78"/>
      <c r="C650" s="189"/>
      <c r="D650" s="249"/>
      <c r="E650" s="229"/>
      <c r="F650" s="187"/>
    </row>
    <row r="651" spans="1:6" x14ac:dyDescent="0.2">
      <c r="A651" s="275"/>
      <c r="B651" s="78"/>
      <c r="C651" s="189"/>
      <c r="D651" s="249"/>
      <c r="E651" s="229"/>
      <c r="F651" s="187"/>
    </row>
    <row r="652" spans="1:6" x14ac:dyDescent="0.2">
      <c r="A652" s="275"/>
      <c r="B652" s="78"/>
      <c r="C652" s="189"/>
      <c r="D652" s="249"/>
      <c r="E652" s="229"/>
      <c r="F652" s="187"/>
    </row>
    <row r="653" spans="1:6" x14ac:dyDescent="0.2">
      <c r="A653" s="275"/>
      <c r="B653" s="78"/>
      <c r="C653" s="189"/>
      <c r="D653" s="249"/>
      <c r="E653" s="229"/>
      <c r="F653" s="187"/>
    </row>
    <row r="654" spans="1:6" x14ac:dyDescent="0.2">
      <c r="A654" s="275"/>
      <c r="B654" s="78"/>
      <c r="C654" s="189"/>
      <c r="D654" s="249"/>
      <c r="E654" s="229"/>
      <c r="F654" s="187"/>
    </row>
    <row r="655" spans="1:6" x14ac:dyDescent="0.2">
      <c r="A655" s="275"/>
      <c r="B655" s="78"/>
      <c r="C655" s="189"/>
      <c r="D655" s="249"/>
      <c r="E655" s="229"/>
      <c r="F655" s="187"/>
    </row>
    <row r="656" spans="1:6" x14ac:dyDescent="0.2">
      <c r="A656" s="275"/>
      <c r="B656" s="78"/>
      <c r="C656" s="189"/>
      <c r="D656" s="249"/>
      <c r="E656" s="229"/>
      <c r="F656" s="187"/>
    </row>
    <row r="657" spans="1:6" x14ac:dyDescent="0.2">
      <c r="A657" s="275"/>
      <c r="B657" s="78"/>
      <c r="C657" s="189"/>
      <c r="D657" s="249"/>
      <c r="E657" s="229"/>
      <c r="F657" s="187"/>
    </row>
    <row r="658" spans="1:6" x14ac:dyDescent="0.2">
      <c r="A658" s="275"/>
      <c r="B658" s="78"/>
      <c r="C658" s="189"/>
      <c r="D658" s="249"/>
      <c r="E658" s="229"/>
      <c r="F658" s="187"/>
    </row>
    <row r="659" spans="1:6" x14ac:dyDescent="0.2">
      <c r="A659" s="275"/>
      <c r="B659" s="78"/>
      <c r="C659" s="189"/>
      <c r="D659" s="249"/>
      <c r="E659" s="229"/>
      <c r="F659" s="187"/>
    </row>
    <row r="660" spans="1:6" x14ac:dyDescent="0.2">
      <c r="A660" s="275"/>
      <c r="B660" s="78"/>
      <c r="C660" s="189"/>
      <c r="D660" s="249"/>
      <c r="E660" s="229"/>
      <c r="F660" s="187"/>
    </row>
    <row r="661" spans="1:6" x14ac:dyDescent="0.2">
      <c r="A661" s="275"/>
      <c r="B661" s="78"/>
      <c r="C661" s="189"/>
      <c r="D661" s="249"/>
      <c r="E661" s="229"/>
      <c r="F661" s="187"/>
    </row>
    <row r="662" spans="1:6" x14ac:dyDescent="0.2">
      <c r="A662" s="275"/>
      <c r="B662" s="78"/>
      <c r="C662" s="189"/>
      <c r="D662" s="249"/>
      <c r="E662" s="229"/>
      <c r="F662" s="187"/>
    </row>
    <row r="663" spans="1:6" x14ac:dyDescent="0.2">
      <c r="A663" s="275"/>
      <c r="B663" s="78"/>
      <c r="C663" s="189"/>
      <c r="D663" s="249"/>
      <c r="E663" s="229"/>
      <c r="F663" s="187"/>
    </row>
    <row r="664" spans="1:6" x14ac:dyDescent="0.2">
      <c r="A664" s="275"/>
      <c r="B664" s="78"/>
      <c r="C664" s="189"/>
      <c r="D664" s="249"/>
      <c r="E664" s="229"/>
      <c r="F664" s="187"/>
    </row>
    <row r="665" spans="1:6" x14ac:dyDescent="0.2">
      <c r="A665" s="275"/>
      <c r="B665" s="78"/>
      <c r="C665" s="189"/>
      <c r="D665" s="249"/>
      <c r="E665" s="229"/>
      <c r="F665" s="187"/>
    </row>
    <row r="666" spans="1:6" x14ac:dyDescent="0.2">
      <c r="A666" s="275"/>
      <c r="B666" s="78"/>
      <c r="C666" s="189"/>
      <c r="D666" s="249"/>
      <c r="E666" s="229"/>
      <c r="F666" s="187"/>
    </row>
    <row r="667" spans="1:6" x14ac:dyDescent="0.2">
      <c r="A667" s="275"/>
      <c r="B667" s="78"/>
      <c r="C667" s="189"/>
      <c r="D667" s="249"/>
      <c r="E667" s="229"/>
      <c r="F667" s="187"/>
    </row>
    <row r="668" spans="1:6" x14ac:dyDescent="0.2">
      <c r="A668" s="275"/>
      <c r="B668" s="78"/>
      <c r="C668" s="189"/>
      <c r="D668" s="249"/>
      <c r="E668" s="229"/>
      <c r="F668" s="187"/>
    </row>
    <row r="669" spans="1:6" x14ac:dyDescent="0.2">
      <c r="A669" s="275"/>
      <c r="B669" s="78"/>
      <c r="C669" s="189"/>
      <c r="D669" s="249"/>
      <c r="E669" s="229"/>
      <c r="F669" s="187"/>
    </row>
    <row r="670" spans="1:6" x14ac:dyDescent="0.2">
      <c r="A670" s="275"/>
      <c r="B670" s="78"/>
      <c r="C670" s="189"/>
      <c r="D670" s="249"/>
      <c r="E670" s="229"/>
      <c r="F670" s="187"/>
    </row>
    <row r="671" spans="1:6" x14ac:dyDescent="0.2">
      <c r="A671" s="275"/>
      <c r="B671" s="78"/>
      <c r="C671" s="189"/>
      <c r="D671" s="249"/>
      <c r="E671" s="229"/>
      <c r="F671" s="187"/>
    </row>
    <row r="672" spans="1:6" x14ac:dyDescent="0.2">
      <c r="A672" s="275"/>
      <c r="B672" s="78"/>
      <c r="C672" s="189"/>
      <c r="D672" s="249"/>
      <c r="E672" s="229"/>
      <c r="F672" s="187"/>
    </row>
    <row r="673" spans="1:6" x14ac:dyDescent="0.2">
      <c r="A673" s="275"/>
      <c r="B673" s="78"/>
      <c r="C673" s="189"/>
      <c r="D673" s="249"/>
      <c r="E673" s="229"/>
      <c r="F673" s="187"/>
    </row>
    <row r="674" spans="1:6" x14ac:dyDescent="0.2">
      <c r="A674" s="275"/>
      <c r="B674" s="78"/>
      <c r="C674" s="189"/>
      <c r="D674" s="249"/>
      <c r="E674" s="229"/>
      <c r="F674" s="187"/>
    </row>
    <row r="675" spans="1:6" x14ac:dyDescent="0.2">
      <c r="A675" s="275"/>
      <c r="B675" s="78"/>
      <c r="C675" s="189"/>
      <c r="D675" s="249"/>
      <c r="E675" s="229"/>
      <c r="F675" s="187"/>
    </row>
    <row r="676" spans="1:6" x14ac:dyDescent="0.2">
      <c r="A676" s="275"/>
      <c r="B676" s="78"/>
      <c r="C676" s="189"/>
      <c r="D676" s="249"/>
      <c r="E676" s="229"/>
      <c r="F676" s="187"/>
    </row>
    <row r="677" spans="1:6" x14ac:dyDescent="0.2">
      <c r="A677" s="275"/>
      <c r="B677" s="78"/>
      <c r="C677" s="189"/>
      <c r="D677" s="249"/>
      <c r="E677" s="229"/>
      <c r="F677" s="187"/>
    </row>
    <row r="678" spans="1:6" x14ac:dyDescent="0.2">
      <c r="A678" s="275"/>
      <c r="B678" s="78"/>
      <c r="C678" s="189"/>
      <c r="D678" s="249"/>
      <c r="E678" s="229"/>
      <c r="F678" s="187"/>
    </row>
    <row r="679" spans="1:6" x14ac:dyDescent="0.2">
      <c r="A679" s="275"/>
      <c r="B679" s="78"/>
      <c r="C679" s="189"/>
      <c r="D679" s="249"/>
      <c r="E679" s="229"/>
      <c r="F679" s="187"/>
    </row>
    <row r="680" spans="1:6" x14ac:dyDescent="0.2">
      <c r="A680" s="275"/>
      <c r="B680" s="78"/>
      <c r="C680" s="189"/>
      <c r="D680" s="249"/>
      <c r="E680" s="229"/>
      <c r="F680" s="187"/>
    </row>
    <row r="681" spans="1:6" x14ac:dyDescent="0.2">
      <c r="A681" s="275"/>
      <c r="B681" s="78"/>
      <c r="C681" s="189"/>
      <c r="D681" s="249"/>
      <c r="E681" s="229"/>
      <c r="F681" s="187"/>
    </row>
    <row r="682" spans="1:6" x14ac:dyDescent="0.2">
      <c r="A682" s="275"/>
      <c r="B682" s="78"/>
      <c r="C682" s="189"/>
      <c r="D682" s="249"/>
      <c r="E682" s="229"/>
      <c r="F682" s="187"/>
    </row>
    <row r="683" spans="1:6" x14ac:dyDescent="0.2">
      <c r="A683" s="275"/>
      <c r="B683" s="78"/>
      <c r="C683" s="189"/>
      <c r="D683" s="249"/>
      <c r="E683" s="229"/>
      <c r="F683" s="187"/>
    </row>
    <row r="684" spans="1:6" x14ac:dyDescent="0.2">
      <c r="A684" s="275"/>
      <c r="B684" s="78"/>
      <c r="C684" s="189"/>
      <c r="D684" s="249"/>
      <c r="E684" s="229"/>
      <c r="F684" s="187"/>
    </row>
    <row r="685" spans="1:6" x14ac:dyDescent="0.2">
      <c r="A685" s="275"/>
      <c r="B685" s="78"/>
      <c r="C685" s="189"/>
      <c r="D685" s="249"/>
      <c r="E685" s="229"/>
      <c r="F685" s="187"/>
    </row>
    <row r="686" spans="1:6" x14ac:dyDescent="0.2">
      <c r="A686" s="275"/>
      <c r="B686" s="78"/>
      <c r="C686" s="189"/>
      <c r="D686" s="249"/>
      <c r="E686" s="229"/>
      <c r="F686" s="187"/>
    </row>
    <row r="687" spans="1:6" x14ac:dyDescent="0.2">
      <c r="A687" s="275"/>
      <c r="B687" s="78"/>
      <c r="C687" s="189"/>
      <c r="D687" s="249"/>
      <c r="E687" s="229"/>
      <c r="F687" s="187"/>
    </row>
    <row r="688" spans="1:6" x14ac:dyDescent="0.2">
      <c r="A688" s="275"/>
      <c r="B688" s="78"/>
      <c r="C688" s="189"/>
      <c r="D688" s="249"/>
      <c r="E688" s="229"/>
      <c r="F688" s="187"/>
    </row>
    <row r="689" spans="1:6" x14ac:dyDescent="0.2">
      <c r="A689" s="275"/>
      <c r="B689" s="78"/>
      <c r="C689" s="189"/>
      <c r="D689" s="249"/>
      <c r="E689" s="229"/>
      <c r="F689" s="187"/>
    </row>
    <row r="690" spans="1:6" x14ac:dyDescent="0.2">
      <c r="A690" s="275"/>
      <c r="B690" s="78"/>
      <c r="C690" s="189"/>
      <c r="D690" s="249"/>
      <c r="E690" s="229"/>
      <c r="F690" s="187"/>
    </row>
    <row r="691" spans="1:6" x14ac:dyDescent="0.2">
      <c r="A691" s="275"/>
      <c r="B691" s="78"/>
      <c r="C691" s="189"/>
      <c r="D691" s="249"/>
      <c r="E691" s="229"/>
      <c r="F691" s="187"/>
    </row>
    <row r="692" spans="1:6" x14ac:dyDescent="0.2">
      <c r="A692" s="275"/>
      <c r="B692" s="78"/>
      <c r="C692" s="189"/>
      <c r="D692" s="249"/>
      <c r="E692" s="229"/>
      <c r="F692" s="187"/>
    </row>
    <row r="693" spans="1:6" x14ac:dyDescent="0.2">
      <c r="A693" s="275"/>
      <c r="B693" s="78"/>
      <c r="C693" s="189"/>
      <c r="D693" s="249"/>
      <c r="E693" s="229"/>
      <c r="F693" s="187"/>
    </row>
    <row r="694" spans="1:6" x14ac:dyDescent="0.2">
      <c r="A694" s="275"/>
      <c r="B694" s="78"/>
      <c r="C694" s="189"/>
      <c r="D694" s="249"/>
      <c r="E694" s="229"/>
      <c r="F694" s="187"/>
    </row>
    <row r="695" spans="1:6" x14ac:dyDescent="0.2">
      <c r="A695" s="275"/>
      <c r="B695" s="78"/>
      <c r="C695" s="189"/>
      <c r="D695" s="249"/>
      <c r="E695" s="229"/>
      <c r="F695" s="187"/>
    </row>
    <row r="696" spans="1:6" x14ac:dyDescent="0.2">
      <c r="A696" s="275"/>
      <c r="B696" s="78"/>
      <c r="C696" s="189"/>
      <c r="D696" s="249"/>
      <c r="E696" s="229"/>
      <c r="F696" s="187"/>
    </row>
    <row r="697" spans="1:6" x14ac:dyDescent="0.2">
      <c r="A697" s="275"/>
      <c r="B697" s="78"/>
      <c r="C697" s="189"/>
      <c r="D697" s="249"/>
      <c r="E697" s="229"/>
      <c r="F697" s="187"/>
    </row>
    <row r="698" spans="1:6" x14ac:dyDescent="0.2">
      <c r="A698" s="275"/>
      <c r="B698" s="78"/>
      <c r="C698" s="189"/>
      <c r="D698" s="249"/>
      <c r="E698" s="229"/>
      <c r="F698" s="187"/>
    </row>
    <row r="699" spans="1:6" x14ac:dyDescent="0.2">
      <c r="A699" s="275"/>
      <c r="B699" s="78"/>
      <c r="C699" s="189"/>
      <c r="D699" s="249"/>
      <c r="E699" s="229"/>
      <c r="F699" s="187"/>
    </row>
    <row r="700" spans="1:6" x14ac:dyDescent="0.2">
      <c r="A700" s="275"/>
      <c r="B700" s="78"/>
      <c r="C700" s="189"/>
      <c r="D700" s="249"/>
      <c r="E700" s="229"/>
      <c r="F700" s="187"/>
    </row>
    <row r="701" spans="1:6" x14ac:dyDescent="0.2">
      <c r="A701" s="275"/>
      <c r="B701" s="78"/>
      <c r="C701" s="189"/>
      <c r="D701" s="249"/>
      <c r="E701" s="229"/>
      <c r="F701" s="187"/>
    </row>
    <row r="702" spans="1:6" x14ac:dyDescent="0.2">
      <c r="A702" s="275"/>
      <c r="B702" s="78"/>
      <c r="C702" s="189"/>
      <c r="D702" s="249"/>
      <c r="E702" s="229"/>
      <c r="F702" s="187"/>
    </row>
    <row r="703" spans="1:6" x14ac:dyDescent="0.2">
      <c r="A703" s="275"/>
      <c r="B703" s="78"/>
      <c r="C703" s="189"/>
      <c r="D703" s="249"/>
      <c r="E703" s="229"/>
      <c r="F703" s="187"/>
    </row>
    <row r="704" spans="1:6" x14ac:dyDescent="0.2">
      <c r="A704" s="275"/>
      <c r="B704" s="78"/>
      <c r="C704" s="189"/>
      <c r="D704" s="249"/>
      <c r="E704" s="229"/>
      <c r="F704" s="187"/>
    </row>
    <row r="705" spans="1:6" x14ac:dyDescent="0.2">
      <c r="A705" s="275"/>
      <c r="B705" s="78"/>
      <c r="C705" s="189"/>
      <c r="D705" s="249"/>
      <c r="E705" s="229"/>
      <c r="F705" s="187"/>
    </row>
    <row r="706" spans="1:6" x14ac:dyDescent="0.2">
      <c r="A706" s="275"/>
      <c r="B706" s="78"/>
      <c r="C706" s="189"/>
      <c r="D706" s="249"/>
      <c r="E706" s="229"/>
      <c r="F706" s="187"/>
    </row>
    <row r="707" spans="1:6" x14ac:dyDescent="0.2">
      <c r="A707" s="275"/>
      <c r="B707" s="78"/>
      <c r="C707" s="189"/>
      <c r="D707" s="249"/>
      <c r="E707" s="229"/>
      <c r="F707" s="187"/>
    </row>
    <row r="708" spans="1:6" x14ac:dyDescent="0.2">
      <c r="A708" s="275"/>
      <c r="B708" s="78"/>
      <c r="C708" s="189"/>
      <c r="D708" s="249"/>
      <c r="E708" s="229"/>
      <c r="F708" s="187"/>
    </row>
    <row r="709" spans="1:6" x14ac:dyDescent="0.2">
      <c r="A709" s="275"/>
      <c r="B709" s="78"/>
      <c r="C709" s="189"/>
      <c r="D709" s="249"/>
      <c r="E709" s="229"/>
      <c r="F709" s="187"/>
    </row>
    <row r="710" spans="1:6" x14ac:dyDescent="0.2">
      <c r="A710" s="275"/>
      <c r="B710" s="78"/>
      <c r="C710" s="189"/>
      <c r="D710" s="249"/>
      <c r="E710" s="229"/>
      <c r="F710" s="187"/>
    </row>
    <row r="711" spans="1:6" x14ac:dyDescent="0.2">
      <c r="A711" s="275"/>
      <c r="B711" s="78"/>
      <c r="C711" s="189"/>
      <c r="D711" s="249"/>
      <c r="E711" s="229"/>
      <c r="F711" s="187"/>
    </row>
    <row r="712" spans="1:6" x14ac:dyDescent="0.2">
      <c r="A712" s="275"/>
      <c r="B712" s="78"/>
      <c r="C712" s="189"/>
      <c r="D712" s="249"/>
      <c r="E712" s="229"/>
      <c r="F712" s="187"/>
    </row>
    <row r="713" spans="1:6" x14ac:dyDescent="0.2">
      <c r="A713" s="275"/>
      <c r="B713" s="78"/>
      <c r="C713" s="189"/>
      <c r="D713" s="249"/>
      <c r="E713" s="229"/>
      <c r="F713" s="187"/>
    </row>
    <row r="714" spans="1:6" x14ac:dyDescent="0.2">
      <c r="A714" s="275"/>
      <c r="B714" s="78"/>
      <c r="C714" s="189"/>
      <c r="D714" s="249"/>
      <c r="E714" s="229"/>
      <c r="F714" s="187"/>
    </row>
    <row r="715" spans="1:6" x14ac:dyDescent="0.2">
      <c r="A715" s="275"/>
      <c r="B715" s="78"/>
      <c r="C715" s="189"/>
      <c r="D715" s="249"/>
      <c r="E715" s="229"/>
      <c r="F715" s="187"/>
    </row>
    <row r="716" spans="1:6" x14ac:dyDescent="0.2">
      <c r="A716" s="275"/>
      <c r="B716" s="78"/>
      <c r="C716" s="189"/>
      <c r="D716" s="249"/>
      <c r="E716" s="229"/>
      <c r="F716" s="187"/>
    </row>
    <row r="717" spans="1:6" x14ac:dyDescent="0.2">
      <c r="A717" s="275"/>
      <c r="B717" s="78"/>
      <c r="C717" s="189"/>
      <c r="D717" s="249"/>
      <c r="E717" s="229"/>
      <c r="F717" s="187"/>
    </row>
    <row r="718" spans="1:6" x14ac:dyDescent="0.2">
      <c r="A718" s="275"/>
      <c r="B718" s="78"/>
      <c r="C718" s="189"/>
      <c r="D718" s="249"/>
      <c r="E718" s="229"/>
      <c r="F718" s="187"/>
    </row>
    <row r="719" spans="1:6" x14ac:dyDescent="0.2">
      <c r="A719" s="275"/>
      <c r="B719" s="78"/>
      <c r="C719" s="189"/>
      <c r="D719" s="249"/>
      <c r="E719" s="229"/>
      <c r="F719" s="187"/>
    </row>
    <row r="720" spans="1:6" x14ac:dyDescent="0.2">
      <c r="A720" s="275"/>
      <c r="B720" s="78"/>
      <c r="C720" s="189"/>
      <c r="D720" s="249"/>
      <c r="E720" s="229"/>
      <c r="F720" s="187"/>
    </row>
    <row r="721" spans="1:6" x14ac:dyDescent="0.2">
      <c r="A721" s="275"/>
      <c r="B721" s="78"/>
      <c r="C721" s="189"/>
      <c r="D721" s="249"/>
      <c r="E721" s="229"/>
      <c r="F721" s="187"/>
    </row>
    <row r="722" spans="1:6" x14ac:dyDescent="0.2">
      <c r="A722" s="275"/>
      <c r="B722" s="78"/>
      <c r="C722" s="189"/>
      <c r="D722" s="249"/>
      <c r="E722" s="229"/>
      <c r="F722" s="187"/>
    </row>
    <row r="723" spans="1:6" x14ac:dyDescent="0.2">
      <c r="A723" s="275"/>
      <c r="B723" s="78"/>
      <c r="C723" s="189"/>
      <c r="D723" s="249"/>
      <c r="E723" s="229"/>
      <c r="F723" s="187"/>
    </row>
    <row r="724" spans="1:6" x14ac:dyDescent="0.2">
      <c r="A724" s="275"/>
      <c r="B724" s="78"/>
      <c r="C724" s="189"/>
      <c r="D724" s="249"/>
      <c r="E724" s="229"/>
      <c r="F724" s="187"/>
    </row>
    <row r="725" spans="1:6" x14ac:dyDescent="0.2">
      <c r="A725" s="275"/>
      <c r="B725" s="78"/>
      <c r="C725" s="189"/>
      <c r="D725" s="249"/>
      <c r="E725" s="229"/>
      <c r="F725" s="187"/>
    </row>
    <row r="726" spans="1:6" x14ac:dyDescent="0.2">
      <c r="A726" s="275"/>
      <c r="B726" s="78"/>
      <c r="C726" s="189"/>
      <c r="D726" s="249"/>
      <c r="E726" s="229"/>
      <c r="F726" s="187"/>
    </row>
    <row r="727" spans="1:6" x14ac:dyDescent="0.2">
      <c r="A727" s="275"/>
      <c r="B727" s="78"/>
      <c r="C727" s="189"/>
      <c r="D727" s="249"/>
      <c r="E727" s="229"/>
      <c r="F727" s="187"/>
    </row>
    <row r="728" spans="1:6" x14ac:dyDescent="0.2">
      <c r="A728" s="275"/>
      <c r="B728" s="78"/>
      <c r="C728" s="189"/>
      <c r="D728" s="249"/>
      <c r="E728" s="229"/>
      <c r="F728" s="187"/>
    </row>
    <row r="729" spans="1:6" x14ac:dyDescent="0.2">
      <c r="A729" s="275"/>
      <c r="B729" s="78"/>
      <c r="C729" s="189"/>
      <c r="D729" s="249"/>
      <c r="E729" s="229"/>
      <c r="F729" s="187"/>
    </row>
    <row r="730" spans="1:6" x14ac:dyDescent="0.2">
      <c r="A730" s="275"/>
      <c r="B730" s="78"/>
      <c r="C730" s="189"/>
      <c r="D730" s="249"/>
      <c r="E730" s="229"/>
      <c r="F730" s="187"/>
    </row>
    <row r="731" spans="1:6" x14ac:dyDescent="0.2">
      <c r="A731" s="275"/>
      <c r="B731" s="78"/>
      <c r="C731" s="189"/>
      <c r="D731" s="249"/>
      <c r="E731" s="229"/>
      <c r="F731" s="187"/>
    </row>
    <row r="732" spans="1:6" x14ac:dyDescent="0.2">
      <c r="A732" s="275"/>
      <c r="B732" s="78"/>
      <c r="C732" s="189"/>
      <c r="D732" s="249"/>
      <c r="E732" s="229"/>
      <c r="F732" s="187"/>
    </row>
    <row r="733" spans="1:6" x14ac:dyDescent="0.2">
      <c r="A733" s="275"/>
      <c r="B733" s="78"/>
      <c r="C733" s="189"/>
      <c r="D733" s="249"/>
      <c r="E733" s="229"/>
      <c r="F733" s="187"/>
    </row>
    <row r="734" spans="1:6" x14ac:dyDescent="0.2">
      <c r="A734" s="275"/>
      <c r="B734" s="78"/>
      <c r="C734" s="189"/>
      <c r="D734" s="249"/>
      <c r="E734" s="229"/>
      <c r="F734" s="187"/>
    </row>
    <row r="735" spans="1:6" x14ac:dyDescent="0.2">
      <c r="A735" s="275"/>
      <c r="B735" s="78"/>
      <c r="C735" s="189"/>
      <c r="D735" s="249"/>
      <c r="E735" s="229"/>
      <c r="F735" s="187"/>
    </row>
    <row r="736" spans="1:6" x14ac:dyDescent="0.2">
      <c r="A736" s="275"/>
      <c r="B736" s="78"/>
      <c r="C736" s="189"/>
      <c r="D736" s="249"/>
      <c r="E736" s="229"/>
      <c r="F736" s="187"/>
    </row>
    <row r="737" spans="1:6" x14ac:dyDescent="0.2">
      <c r="A737" s="275"/>
      <c r="B737" s="78"/>
      <c r="C737" s="189"/>
      <c r="D737" s="249"/>
      <c r="E737" s="229"/>
      <c r="F737" s="187"/>
    </row>
    <row r="738" spans="1:6" x14ac:dyDescent="0.2">
      <c r="A738" s="275"/>
      <c r="B738" s="78"/>
      <c r="C738" s="189"/>
      <c r="D738" s="249"/>
      <c r="E738" s="229"/>
      <c r="F738" s="187"/>
    </row>
    <row r="739" spans="1:6" x14ac:dyDescent="0.2">
      <c r="A739" s="275"/>
      <c r="B739" s="78"/>
      <c r="C739" s="189"/>
      <c r="D739" s="249"/>
      <c r="E739" s="229"/>
      <c r="F739" s="187"/>
    </row>
    <row r="740" spans="1:6" x14ac:dyDescent="0.2">
      <c r="A740" s="275"/>
      <c r="B740" s="78"/>
      <c r="C740" s="189"/>
      <c r="D740" s="249"/>
      <c r="E740" s="229"/>
      <c r="F740" s="187"/>
    </row>
    <row r="741" spans="1:6" x14ac:dyDescent="0.2">
      <c r="A741" s="275"/>
      <c r="B741" s="78"/>
      <c r="C741" s="189"/>
      <c r="D741" s="249"/>
      <c r="E741" s="229"/>
      <c r="F741" s="187"/>
    </row>
    <row r="742" spans="1:6" x14ac:dyDescent="0.2">
      <c r="A742" s="275"/>
      <c r="B742" s="78"/>
      <c r="C742" s="189"/>
      <c r="D742" s="249"/>
      <c r="E742" s="229"/>
      <c r="F742" s="187"/>
    </row>
    <row r="743" spans="1:6" x14ac:dyDescent="0.2">
      <c r="A743" s="275"/>
      <c r="B743" s="78"/>
      <c r="C743" s="189"/>
      <c r="D743" s="249"/>
      <c r="E743" s="229"/>
      <c r="F743" s="187"/>
    </row>
    <row r="744" spans="1:6" x14ac:dyDescent="0.2">
      <c r="A744" s="275"/>
      <c r="B744" s="78"/>
      <c r="C744" s="189"/>
      <c r="D744" s="249"/>
      <c r="E744" s="229"/>
      <c r="F744" s="187"/>
    </row>
    <row r="745" spans="1:6" x14ac:dyDescent="0.2">
      <c r="A745" s="275"/>
      <c r="B745" s="78"/>
      <c r="C745" s="189"/>
      <c r="D745" s="249"/>
      <c r="E745" s="229"/>
      <c r="F745" s="187"/>
    </row>
    <row r="746" spans="1:6" x14ac:dyDescent="0.2">
      <c r="A746" s="275"/>
      <c r="B746" s="78"/>
      <c r="C746" s="189"/>
      <c r="D746" s="249"/>
      <c r="E746" s="229"/>
      <c r="F746" s="187"/>
    </row>
    <row r="747" spans="1:6" x14ac:dyDescent="0.2">
      <c r="A747" s="275"/>
      <c r="B747" s="78"/>
      <c r="C747" s="189"/>
      <c r="D747" s="249"/>
      <c r="E747" s="229"/>
      <c r="F747" s="187"/>
    </row>
    <row r="748" spans="1:6" x14ac:dyDescent="0.2">
      <c r="A748" s="275"/>
      <c r="B748" s="78"/>
      <c r="C748" s="189"/>
      <c r="D748" s="249"/>
      <c r="E748" s="229"/>
      <c r="F748" s="187"/>
    </row>
    <row r="749" spans="1:6" x14ac:dyDescent="0.2">
      <c r="A749" s="275"/>
      <c r="B749" s="78"/>
      <c r="C749" s="189"/>
      <c r="D749" s="249"/>
      <c r="E749" s="229"/>
      <c r="F749" s="187"/>
    </row>
    <row r="750" spans="1:6" x14ac:dyDescent="0.2">
      <c r="A750" s="275"/>
      <c r="B750" s="78"/>
      <c r="C750" s="189"/>
      <c r="D750" s="249"/>
      <c r="E750" s="229"/>
      <c r="F750" s="187"/>
    </row>
    <row r="751" spans="1:6" x14ac:dyDescent="0.2">
      <c r="A751" s="275"/>
      <c r="B751" s="78"/>
      <c r="C751" s="189"/>
      <c r="D751" s="249"/>
      <c r="E751" s="229"/>
      <c r="F751" s="187"/>
    </row>
    <row r="752" spans="1:6" x14ac:dyDescent="0.2">
      <c r="A752" s="275"/>
      <c r="B752" s="78"/>
      <c r="C752" s="189"/>
      <c r="D752" s="249"/>
      <c r="E752" s="229"/>
      <c r="F752" s="187"/>
    </row>
    <row r="753" spans="1:6" x14ac:dyDescent="0.2">
      <c r="A753" s="275"/>
      <c r="B753" s="78"/>
      <c r="C753" s="189"/>
      <c r="D753" s="249"/>
      <c r="E753" s="229"/>
      <c r="F753" s="187"/>
    </row>
    <row r="754" spans="1:6" x14ac:dyDescent="0.2">
      <c r="A754" s="275"/>
      <c r="B754" s="78"/>
      <c r="C754" s="189"/>
      <c r="D754" s="249"/>
      <c r="E754" s="229"/>
      <c r="F754" s="187"/>
    </row>
    <row r="755" spans="1:6" x14ac:dyDescent="0.2">
      <c r="A755" s="275"/>
      <c r="B755" s="78"/>
      <c r="C755" s="189"/>
      <c r="D755" s="249"/>
      <c r="E755" s="229"/>
      <c r="F755" s="187"/>
    </row>
    <row r="756" spans="1:6" x14ac:dyDescent="0.2">
      <c r="A756" s="275"/>
      <c r="B756" s="78"/>
      <c r="C756" s="189"/>
      <c r="D756" s="249"/>
      <c r="E756" s="229"/>
      <c r="F756" s="187"/>
    </row>
    <row r="757" spans="1:6" x14ac:dyDescent="0.2">
      <c r="A757" s="275"/>
      <c r="B757" s="78"/>
      <c r="C757" s="189"/>
      <c r="D757" s="249"/>
      <c r="E757" s="229"/>
      <c r="F757" s="187"/>
    </row>
    <row r="758" spans="1:6" x14ac:dyDescent="0.2">
      <c r="A758" s="275"/>
      <c r="B758" s="78"/>
      <c r="C758" s="189"/>
      <c r="D758" s="249"/>
      <c r="E758" s="229"/>
      <c r="F758" s="187"/>
    </row>
    <row r="759" spans="1:6" x14ac:dyDescent="0.2">
      <c r="A759" s="275"/>
      <c r="B759" s="78"/>
      <c r="C759" s="189"/>
      <c r="D759" s="249"/>
      <c r="E759" s="229"/>
      <c r="F759" s="187"/>
    </row>
    <row r="760" spans="1:6" x14ac:dyDescent="0.2">
      <c r="A760" s="275"/>
      <c r="B760" s="78"/>
      <c r="C760" s="189"/>
      <c r="D760" s="249"/>
      <c r="E760" s="229"/>
      <c r="F760" s="187"/>
    </row>
    <row r="761" spans="1:6" x14ac:dyDescent="0.2">
      <c r="A761" s="275"/>
      <c r="B761" s="78"/>
      <c r="C761" s="189"/>
      <c r="D761" s="249"/>
      <c r="E761" s="229"/>
      <c r="F761" s="187"/>
    </row>
    <row r="762" spans="1:6" x14ac:dyDescent="0.2">
      <c r="A762" s="275"/>
      <c r="B762" s="78"/>
      <c r="C762" s="189"/>
      <c r="D762" s="249"/>
      <c r="E762" s="229"/>
      <c r="F762" s="187"/>
    </row>
    <row r="763" spans="1:6" x14ac:dyDescent="0.2">
      <c r="A763" s="275"/>
      <c r="B763" s="78"/>
      <c r="C763" s="189"/>
      <c r="D763" s="249"/>
      <c r="E763" s="229"/>
      <c r="F763" s="187"/>
    </row>
    <row r="764" spans="1:6" x14ac:dyDescent="0.2">
      <c r="A764" s="275"/>
      <c r="B764" s="78"/>
      <c r="C764" s="189"/>
      <c r="D764" s="249"/>
      <c r="E764" s="229"/>
      <c r="F764" s="187"/>
    </row>
    <row r="765" spans="1:6" x14ac:dyDescent="0.2">
      <c r="A765" s="275"/>
      <c r="B765" s="78"/>
      <c r="C765" s="189"/>
      <c r="D765" s="249"/>
      <c r="E765" s="229"/>
      <c r="F765" s="187"/>
    </row>
    <row r="766" spans="1:6" x14ac:dyDescent="0.2">
      <c r="A766" s="275"/>
      <c r="B766" s="78"/>
      <c r="C766" s="189"/>
      <c r="D766" s="249"/>
      <c r="E766" s="229"/>
      <c r="F766" s="187"/>
    </row>
    <row r="767" spans="1:6" x14ac:dyDescent="0.2">
      <c r="A767" s="275"/>
      <c r="B767" s="78"/>
      <c r="C767" s="189"/>
      <c r="D767" s="249"/>
      <c r="E767" s="229"/>
      <c r="F767" s="187"/>
    </row>
    <row r="768" spans="1:6" x14ac:dyDescent="0.2">
      <c r="A768" s="275"/>
      <c r="B768" s="78"/>
      <c r="C768" s="189"/>
      <c r="D768" s="249"/>
      <c r="E768" s="229"/>
      <c r="F768" s="187"/>
    </row>
    <row r="769" spans="1:6" x14ac:dyDescent="0.2">
      <c r="A769" s="275"/>
      <c r="B769" s="78"/>
      <c r="C769" s="189"/>
      <c r="D769" s="249"/>
      <c r="E769" s="229"/>
      <c r="F769" s="187"/>
    </row>
    <row r="770" spans="1:6" x14ac:dyDescent="0.2">
      <c r="A770" s="275"/>
      <c r="B770" s="78"/>
      <c r="C770" s="189"/>
      <c r="D770" s="249"/>
      <c r="E770" s="229"/>
      <c r="F770" s="187"/>
    </row>
    <row r="771" spans="1:6" x14ac:dyDescent="0.2">
      <c r="A771" s="275"/>
      <c r="B771" s="78"/>
      <c r="C771" s="189"/>
      <c r="D771" s="249"/>
      <c r="E771" s="229"/>
      <c r="F771" s="187"/>
    </row>
    <row r="772" spans="1:6" x14ac:dyDescent="0.2">
      <c r="A772" s="275"/>
      <c r="B772" s="78"/>
      <c r="C772" s="189"/>
      <c r="D772" s="249"/>
      <c r="E772" s="229"/>
      <c r="F772" s="187"/>
    </row>
    <row r="773" spans="1:6" x14ac:dyDescent="0.2">
      <c r="A773" s="275"/>
      <c r="B773" s="78"/>
      <c r="C773" s="189"/>
      <c r="D773" s="249"/>
      <c r="E773" s="229"/>
      <c r="F773" s="187"/>
    </row>
    <row r="774" spans="1:6" x14ac:dyDescent="0.2">
      <c r="A774" s="275"/>
      <c r="B774" s="78"/>
      <c r="C774" s="189"/>
      <c r="D774" s="249"/>
      <c r="E774" s="229"/>
      <c r="F774" s="187"/>
    </row>
    <row r="775" spans="1:6" x14ac:dyDescent="0.2">
      <c r="A775" s="275"/>
      <c r="B775" s="78"/>
      <c r="C775" s="189"/>
      <c r="D775" s="249"/>
      <c r="E775" s="229"/>
      <c r="F775" s="187"/>
    </row>
    <row r="776" spans="1:6" x14ac:dyDescent="0.2">
      <c r="A776" s="275"/>
      <c r="B776" s="78"/>
      <c r="C776" s="189"/>
      <c r="D776" s="249"/>
      <c r="E776" s="229"/>
      <c r="F776" s="187"/>
    </row>
    <row r="777" spans="1:6" x14ac:dyDescent="0.2">
      <c r="A777" s="275"/>
      <c r="B777" s="78"/>
      <c r="C777" s="189"/>
      <c r="D777" s="249"/>
      <c r="E777" s="229"/>
      <c r="F777" s="187"/>
    </row>
    <row r="778" spans="1:6" x14ac:dyDescent="0.2">
      <c r="A778" s="275"/>
      <c r="B778" s="78"/>
      <c r="C778" s="189"/>
      <c r="D778" s="249"/>
      <c r="E778" s="229"/>
      <c r="F778" s="187"/>
    </row>
    <row r="779" spans="1:6" x14ac:dyDescent="0.2">
      <c r="A779" s="275"/>
      <c r="B779" s="78"/>
      <c r="C779" s="189"/>
      <c r="D779" s="249"/>
      <c r="E779" s="229"/>
      <c r="F779" s="187"/>
    </row>
    <row r="780" spans="1:6" x14ac:dyDescent="0.2">
      <c r="A780" s="275"/>
      <c r="B780" s="78"/>
      <c r="C780" s="189"/>
      <c r="D780" s="249"/>
      <c r="E780" s="229"/>
      <c r="F780" s="187"/>
    </row>
    <row r="781" spans="1:6" x14ac:dyDescent="0.2">
      <c r="A781" s="275"/>
      <c r="B781" s="78"/>
      <c r="C781" s="189"/>
      <c r="D781" s="249"/>
      <c r="E781" s="229"/>
      <c r="F781" s="187"/>
    </row>
    <row r="782" spans="1:6" x14ac:dyDescent="0.2">
      <c r="A782" s="275"/>
      <c r="B782" s="78"/>
      <c r="C782" s="189"/>
      <c r="D782" s="249"/>
      <c r="E782" s="229"/>
      <c r="F782" s="187"/>
    </row>
    <row r="783" spans="1:6" x14ac:dyDescent="0.2">
      <c r="A783" s="275"/>
      <c r="B783" s="78"/>
      <c r="C783" s="189"/>
      <c r="D783" s="249"/>
      <c r="E783" s="229"/>
      <c r="F783" s="187"/>
    </row>
    <row r="784" spans="1:6" x14ac:dyDescent="0.2">
      <c r="A784" s="275"/>
      <c r="B784" s="78"/>
      <c r="C784" s="189"/>
      <c r="D784" s="249"/>
      <c r="E784" s="229"/>
      <c r="F784" s="187"/>
    </row>
    <row r="785" spans="1:6" x14ac:dyDescent="0.2">
      <c r="A785" s="275"/>
      <c r="B785" s="78"/>
      <c r="C785" s="189"/>
      <c r="D785" s="249"/>
      <c r="E785" s="229"/>
      <c r="F785" s="187"/>
    </row>
    <row r="786" spans="1:6" x14ac:dyDescent="0.2">
      <c r="A786" s="275"/>
      <c r="B786" s="78"/>
      <c r="C786" s="189"/>
      <c r="D786" s="249"/>
      <c r="E786" s="229"/>
      <c r="F786" s="187"/>
    </row>
    <row r="787" spans="1:6" x14ac:dyDescent="0.2">
      <c r="A787" s="275"/>
      <c r="B787" s="78"/>
      <c r="C787" s="189"/>
      <c r="D787" s="249"/>
      <c r="E787" s="229"/>
      <c r="F787" s="187"/>
    </row>
    <row r="788" spans="1:6" x14ac:dyDescent="0.2">
      <c r="A788" s="275"/>
      <c r="B788" s="78"/>
      <c r="C788" s="189"/>
      <c r="D788" s="249"/>
      <c r="E788" s="229"/>
      <c r="F788" s="187"/>
    </row>
    <row r="789" spans="1:6" x14ac:dyDescent="0.2">
      <c r="A789" s="275"/>
      <c r="B789" s="78"/>
      <c r="C789" s="189"/>
      <c r="D789" s="249"/>
      <c r="E789" s="229"/>
      <c r="F789" s="187"/>
    </row>
    <row r="790" spans="1:6" x14ac:dyDescent="0.2">
      <c r="A790" s="275"/>
      <c r="B790" s="78"/>
      <c r="C790" s="189"/>
      <c r="D790" s="249"/>
      <c r="E790" s="229"/>
      <c r="F790" s="187"/>
    </row>
    <row r="791" spans="1:6" x14ac:dyDescent="0.2">
      <c r="A791" s="275"/>
      <c r="B791" s="78"/>
      <c r="C791" s="189"/>
      <c r="D791" s="249"/>
      <c r="E791" s="229"/>
      <c r="F791" s="187"/>
    </row>
    <row r="792" spans="1:6" x14ac:dyDescent="0.2">
      <c r="A792" s="275"/>
      <c r="B792" s="78"/>
      <c r="C792" s="189"/>
      <c r="D792" s="249"/>
      <c r="E792" s="229"/>
      <c r="F792" s="187"/>
    </row>
    <row r="793" spans="1:6" x14ac:dyDescent="0.2">
      <c r="A793" s="275"/>
      <c r="B793" s="78"/>
      <c r="C793" s="189"/>
      <c r="D793" s="249"/>
      <c r="E793" s="229"/>
      <c r="F793" s="187"/>
    </row>
    <row r="794" spans="1:6" x14ac:dyDescent="0.2">
      <c r="A794" s="275"/>
      <c r="B794" s="78"/>
      <c r="C794" s="189"/>
      <c r="D794" s="249"/>
      <c r="E794" s="229"/>
      <c r="F794" s="187"/>
    </row>
    <row r="795" spans="1:6" x14ac:dyDescent="0.2">
      <c r="A795" s="275"/>
      <c r="B795" s="78"/>
      <c r="C795" s="189"/>
      <c r="D795" s="249"/>
      <c r="E795" s="229"/>
      <c r="F795" s="187"/>
    </row>
    <row r="796" spans="1:6" x14ac:dyDescent="0.2">
      <c r="A796" s="275"/>
      <c r="B796" s="78"/>
      <c r="C796" s="189"/>
      <c r="D796" s="249"/>
      <c r="E796" s="229"/>
      <c r="F796" s="187"/>
    </row>
    <row r="797" spans="1:6" x14ac:dyDescent="0.2">
      <c r="A797" s="275"/>
      <c r="B797" s="78"/>
      <c r="C797" s="189"/>
      <c r="D797" s="249"/>
      <c r="E797" s="229"/>
      <c r="F797" s="187"/>
    </row>
    <row r="798" spans="1:6" x14ac:dyDescent="0.2">
      <c r="A798" s="275"/>
      <c r="B798" s="78"/>
      <c r="C798" s="189"/>
      <c r="D798" s="249"/>
      <c r="E798" s="229"/>
      <c r="F798" s="187"/>
    </row>
    <row r="799" spans="1:6" x14ac:dyDescent="0.2">
      <c r="A799" s="275"/>
      <c r="B799" s="78"/>
      <c r="C799" s="189"/>
      <c r="D799" s="249"/>
      <c r="E799" s="229"/>
      <c r="F799" s="187"/>
    </row>
    <row r="800" spans="1:6" x14ac:dyDescent="0.2">
      <c r="A800" s="275"/>
      <c r="B800" s="78"/>
      <c r="C800" s="189"/>
      <c r="D800" s="249"/>
      <c r="E800" s="229"/>
      <c r="F800" s="187"/>
    </row>
    <row r="801" spans="1:6" x14ac:dyDescent="0.2">
      <c r="A801" s="275"/>
      <c r="B801" s="78"/>
      <c r="C801" s="189"/>
      <c r="D801" s="249"/>
      <c r="E801" s="229"/>
      <c r="F801" s="187"/>
    </row>
    <row r="802" spans="1:6" x14ac:dyDescent="0.2">
      <c r="A802" s="275"/>
      <c r="B802" s="78"/>
      <c r="C802" s="189"/>
      <c r="D802" s="249"/>
      <c r="E802" s="229"/>
      <c r="F802" s="187"/>
    </row>
    <row r="803" spans="1:6" x14ac:dyDescent="0.2">
      <c r="A803" s="275"/>
      <c r="B803" s="78"/>
      <c r="C803" s="189"/>
      <c r="D803" s="249"/>
      <c r="E803" s="229"/>
      <c r="F803" s="187"/>
    </row>
    <row r="804" spans="1:6" x14ac:dyDescent="0.2">
      <c r="A804" s="275"/>
      <c r="B804" s="78"/>
      <c r="C804" s="189"/>
      <c r="D804" s="249"/>
      <c r="E804" s="229"/>
      <c r="F804" s="187"/>
    </row>
    <row r="805" spans="1:6" x14ac:dyDescent="0.2">
      <c r="A805" s="275"/>
      <c r="B805" s="78"/>
      <c r="C805" s="189"/>
      <c r="D805" s="249"/>
      <c r="E805" s="229"/>
      <c r="F805" s="187"/>
    </row>
    <row r="806" spans="1:6" x14ac:dyDescent="0.2">
      <c r="A806" s="275"/>
      <c r="B806" s="78"/>
      <c r="C806" s="189"/>
      <c r="D806" s="249"/>
      <c r="E806" s="229"/>
      <c r="F806" s="187"/>
    </row>
    <row r="807" spans="1:6" x14ac:dyDescent="0.2">
      <c r="A807" s="275"/>
      <c r="B807" s="78"/>
      <c r="C807" s="189"/>
      <c r="D807" s="249"/>
      <c r="E807" s="229"/>
      <c r="F807" s="187"/>
    </row>
    <row r="808" spans="1:6" x14ac:dyDescent="0.2">
      <c r="A808" s="275"/>
      <c r="B808" s="78"/>
      <c r="C808" s="189"/>
      <c r="D808" s="249"/>
      <c r="E808" s="229"/>
      <c r="F808" s="187"/>
    </row>
    <row r="809" spans="1:6" x14ac:dyDescent="0.2">
      <c r="A809" s="275"/>
      <c r="B809" s="78"/>
      <c r="C809" s="189"/>
      <c r="D809" s="249"/>
      <c r="E809" s="229"/>
      <c r="F809" s="187"/>
    </row>
    <row r="810" spans="1:6" x14ac:dyDescent="0.2">
      <c r="A810" s="275"/>
      <c r="B810" s="78"/>
      <c r="C810" s="189"/>
      <c r="D810" s="249"/>
      <c r="E810" s="229"/>
      <c r="F810" s="187"/>
    </row>
    <row r="811" spans="1:6" x14ac:dyDescent="0.2">
      <c r="A811" s="275"/>
      <c r="B811" s="78"/>
      <c r="C811" s="189"/>
      <c r="D811" s="249"/>
      <c r="E811" s="229"/>
      <c r="F811" s="187"/>
    </row>
    <row r="812" spans="1:6" x14ac:dyDescent="0.2">
      <c r="A812" s="275"/>
      <c r="B812" s="78"/>
      <c r="C812" s="189"/>
      <c r="D812" s="249"/>
      <c r="E812" s="229"/>
      <c r="F812" s="187"/>
    </row>
    <row r="813" spans="1:6" x14ac:dyDescent="0.2">
      <c r="A813" s="275"/>
      <c r="B813" s="78"/>
      <c r="C813" s="189"/>
      <c r="D813" s="249"/>
      <c r="E813" s="229"/>
      <c r="F813" s="187"/>
    </row>
    <row r="814" spans="1:6" x14ac:dyDescent="0.2">
      <c r="A814" s="275"/>
      <c r="B814" s="78"/>
      <c r="C814" s="189"/>
      <c r="D814" s="249"/>
      <c r="E814" s="229"/>
      <c r="F814" s="187"/>
    </row>
    <row r="815" spans="1:6" x14ac:dyDescent="0.2">
      <c r="A815" s="275"/>
      <c r="B815" s="78"/>
      <c r="C815" s="189"/>
      <c r="D815" s="249"/>
      <c r="E815" s="229"/>
      <c r="F815" s="187"/>
    </row>
    <row r="816" spans="1:6" x14ac:dyDescent="0.2">
      <c r="A816" s="275"/>
      <c r="B816" s="78"/>
      <c r="C816" s="189"/>
      <c r="D816" s="249"/>
      <c r="E816" s="229"/>
      <c r="F816" s="187"/>
    </row>
    <row r="817" spans="1:6" x14ac:dyDescent="0.2">
      <c r="A817" s="275"/>
      <c r="B817" s="78"/>
      <c r="C817" s="189"/>
      <c r="D817" s="249"/>
      <c r="E817" s="229"/>
      <c r="F817" s="187"/>
    </row>
    <row r="818" spans="1:6" x14ac:dyDescent="0.2">
      <c r="A818" s="275"/>
      <c r="B818" s="78"/>
      <c r="C818" s="189"/>
      <c r="D818" s="249"/>
      <c r="E818" s="229"/>
      <c r="F818" s="187"/>
    </row>
    <row r="819" spans="1:6" x14ac:dyDescent="0.2">
      <c r="A819" s="275"/>
      <c r="B819" s="78"/>
      <c r="C819" s="189"/>
      <c r="D819" s="249"/>
      <c r="E819" s="229"/>
      <c r="F819" s="187"/>
    </row>
    <row r="820" spans="1:6" x14ac:dyDescent="0.2">
      <c r="A820" s="275"/>
      <c r="B820" s="78"/>
      <c r="C820" s="189"/>
      <c r="D820" s="249"/>
      <c r="E820" s="229"/>
      <c r="F820" s="187"/>
    </row>
    <row r="821" spans="1:6" x14ac:dyDescent="0.2">
      <c r="A821" s="275"/>
      <c r="B821" s="78"/>
      <c r="C821" s="189"/>
      <c r="D821" s="249"/>
      <c r="E821" s="229"/>
      <c r="F821" s="187"/>
    </row>
    <row r="822" spans="1:6" x14ac:dyDescent="0.2">
      <c r="A822" s="275"/>
      <c r="B822" s="78"/>
      <c r="C822" s="189"/>
      <c r="D822" s="249"/>
      <c r="E822" s="229"/>
      <c r="F822" s="187"/>
    </row>
    <row r="823" spans="1:6" x14ac:dyDescent="0.2">
      <c r="A823" s="275"/>
      <c r="B823" s="78"/>
      <c r="C823" s="189"/>
      <c r="D823" s="249"/>
      <c r="E823" s="229"/>
      <c r="F823" s="187"/>
    </row>
    <row r="824" spans="1:6" x14ac:dyDescent="0.2">
      <c r="A824" s="275"/>
      <c r="B824" s="78"/>
      <c r="C824" s="189"/>
      <c r="D824" s="249"/>
      <c r="E824" s="229"/>
      <c r="F824" s="187"/>
    </row>
    <row r="825" spans="1:6" x14ac:dyDescent="0.2">
      <c r="A825" s="275"/>
      <c r="B825" s="78"/>
      <c r="C825" s="189"/>
      <c r="D825" s="249"/>
      <c r="E825" s="229"/>
      <c r="F825" s="187"/>
    </row>
    <row r="826" spans="1:6" x14ac:dyDescent="0.2">
      <c r="A826" s="275"/>
      <c r="B826" s="78"/>
      <c r="C826" s="189"/>
      <c r="D826" s="249"/>
      <c r="E826" s="229"/>
      <c r="F826" s="187"/>
    </row>
    <row r="827" spans="1:6" x14ac:dyDescent="0.2">
      <c r="A827" s="275"/>
      <c r="B827" s="78"/>
      <c r="C827" s="189"/>
      <c r="D827" s="249"/>
      <c r="E827" s="229"/>
      <c r="F827" s="187"/>
    </row>
    <row r="828" spans="1:6" x14ac:dyDescent="0.2">
      <c r="A828" s="275"/>
      <c r="B828" s="78"/>
      <c r="C828" s="189"/>
      <c r="D828" s="249"/>
      <c r="E828" s="229"/>
      <c r="F828" s="187"/>
    </row>
    <row r="829" spans="1:6" x14ac:dyDescent="0.2">
      <c r="A829" s="275"/>
      <c r="B829" s="78"/>
      <c r="C829" s="189"/>
      <c r="D829" s="249"/>
      <c r="E829" s="229"/>
      <c r="F829" s="187"/>
    </row>
    <row r="830" spans="1:6" x14ac:dyDescent="0.2">
      <c r="A830" s="275"/>
      <c r="B830" s="78"/>
      <c r="C830" s="189"/>
      <c r="D830" s="249"/>
      <c r="E830" s="229"/>
      <c r="F830" s="187"/>
    </row>
    <row r="831" spans="1:6" x14ac:dyDescent="0.2">
      <c r="A831" s="275"/>
      <c r="B831" s="78"/>
      <c r="C831" s="189"/>
      <c r="D831" s="249"/>
      <c r="E831" s="229"/>
      <c r="F831" s="187"/>
    </row>
    <row r="832" spans="1:6" x14ac:dyDescent="0.2">
      <c r="A832" s="275"/>
      <c r="B832" s="78"/>
      <c r="C832" s="189"/>
      <c r="D832" s="249"/>
      <c r="E832" s="229"/>
      <c r="F832" s="187"/>
    </row>
    <row r="833" spans="1:6" x14ac:dyDescent="0.2">
      <c r="A833" s="275"/>
      <c r="B833" s="78"/>
      <c r="C833" s="189"/>
      <c r="D833" s="249"/>
      <c r="E833" s="229"/>
      <c r="F833" s="187"/>
    </row>
    <row r="834" spans="1:6" x14ac:dyDescent="0.2">
      <c r="A834" s="275"/>
      <c r="B834" s="78"/>
      <c r="C834" s="189"/>
      <c r="D834" s="249"/>
      <c r="E834" s="229"/>
      <c r="F834" s="187"/>
    </row>
    <row r="835" spans="1:6" x14ac:dyDescent="0.2">
      <c r="A835" s="275"/>
      <c r="B835" s="78"/>
      <c r="C835" s="189"/>
      <c r="D835" s="249"/>
      <c r="E835" s="229"/>
      <c r="F835" s="187"/>
    </row>
    <row r="836" spans="1:6" x14ac:dyDescent="0.2">
      <c r="A836" s="275"/>
      <c r="B836" s="78"/>
      <c r="C836" s="189"/>
      <c r="D836" s="249"/>
      <c r="E836" s="229"/>
      <c r="F836" s="187"/>
    </row>
    <row r="837" spans="1:6" x14ac:dyDescent="0.2">
      <c r="A837" s="275"/>
      <c r="B837" s="78"/>
      <c r="C837" s="189"/>
      <c r="D837" s="249"/>
      <c r="E837" s="229"/>
      <c r="F837" s="187"/>
    </row>
    <row r="838" spans="1:6" x14ac:dyDescent="0.2">
      <c r="A838" s="275"/>
      <c r="B838" s="78"/>
      <c r="C838" s="189"/>
      <c r="D838" s="249"/>
      <c r="E838" s="229"/>
      <c r="F838" s="187"/>
    </row>
    <row r="839" spans="1:6" x14ac:dyDescent="0.2">
      <c r="A839" s="275"/>
      <c r="B839" s="78"/>
      <c r="C839" s="189"/>
      <c r="D839" s="249"/>
      <c r="E839" s="229"/>
      <c r="F839" s="187"/>
    </row>
    <row r="840" spans="1:6" x14ac:dyDescent="0.2">
      <c r="A840" s="275"/>
      <c r="B840" s="78"/>
      <c r="C840" s="189"/>
      <c r="D840" s="249"/>
      <c r="E840" s="229"/>
      <c r="F840" s="187"/>
    </row>
    <row r="841" spans="1:6" x14ac:dyDescent="0.2">
      <c r="A841" s="275"/>
      <c r="B841" s="78"/>
      <c r="C841" s="189"/>
      <c r="D841" s="249"/>
      <c r="E841" s="229"/>
      <c r="F841" s="187"/>
    </row>
    <row r="842" spans="1:6" x14ac:dyDescent="0.2">
      <c r="A842" s="275"/>
      <c r="B842" s="78"/>
      <c r="C842" s="189"/>
      <c r="D842" s="249"/>
      <c r="E842" s="229"/>
      <c r="F842" s="187"/>
    </row>
    <row r="843" spans="1:6" x14ac:dyDescent="0.2">
      <c r="A843" s="275"/>
      <c r="B843" s="78"/>
      <c r="C843" s="189"/>
      <c r="D843" s="249"/>
      <c r="E843" s="229"/>
      <c r="F843" s="187"/>
    </row>
    <row r="844" spans="1:6" x14ac:dyDescent="0.2">
      <c r="A844" s="275"/>
      <c r="B844" s="78"/>
      <c r="C844" s="189"/>
      <c r="D844" s="249"/>
      <c r="E844" s="229"/>
      <c r="F844" s="187"/>
    </row>
    <row r="845" spans="1:6" x14ac:dyDescent="0.2">
      <c r="A845" s="275"/>
      <c r="B845" s="78"/>
      <c r="C845" s="189"/>
      <c r="D845" s="249"/>
      <c r="E845" s="229"/>
      <c r="F845" s="187"/>
    </row>
    <row r="846" spans="1:6" x14ac:dyDescent="0.2">
      <c r="A846" s="275"/>
      <c r="B846" s="78"/>
      <c r="C846" s="189"/>
      <c r="D846" s="249"/>
      <c r="E846" s="229"/>
      <c r="F846" s="187"/>
    </row>
    <row r="847" spans="1:6" x14ac:dyDescent="0.2">
      <c r="A847" s="275"/>
      <c r="B847" s="78"/>
      <c r="C847" s="189"/>
      <c r="D847" s="249"/>
      <c r="E847" s="229"/>
      <c r="F847" s="187"/>
    </row>
    <row r="848" spans="1:6" x14ac:dyDescent="0.2">
      <c r="A848" s="275"/>
      <c r="B848" s="78"/>
      <c r="C848" s="189"/>
      <c r="D848" s="249"/>
      <c r="E848" s="229"/>
      <c r="F848" s="187"/>
    </row>
    <row r="849" spans="1:6" x14ac:dyDescent="0.2">
      <c r="A849" s="275"/>
      <c r="B849" s="78"/>
      <c r="C849" s="189"/>
      <c r="D849" s="249"/>
      <c r="E849" s="229"/>
      <c r="F849" s="187"/>
    </row>
    <row r="850" spans="1:6" x14ac:dyDescent="0.2">
      <c r="A850" s="275"/>
      <c r="B850" s="78"/>
      <c r="C850" s="189"/>
      <c r="D850" s="249"/>
      <c r="E850" s="229"/>
      <c r="F850" s="187"/>
    </row>
    <row r="851" spans="1:6" x14ac:dyDescent="0.2">
      <c r="A851" s="275"/>
      <c r="B851" s="78"/>
      <c r="C851" s="189"/>
      <c r="D851" s="249"/>
      <c r="E851" s="229"/>
      <c r="F851" s="187"/>
    </row>
    <row r="852" spans="1:6" x14ac:dyDescent="0.2">
      <c r="A852" s="275"/>
      <c r="B852" s="78"/>
      <c r="C852" s="189"/>
      <c r="D852" s="249"/>
      <c r="E852" s="229"/>
      <c r="F852" s="187"/>
    </row>
    <row r="853" spans="1:6" x14ac:dyDescent="0.2">
      <c r="A853" s="275"/>
      <c r="B853" s="78"/>
      <c r="C853" s="189"/>
      <c r="D853" s="249"/>
      <c r="E853" s="229"/>
      <c r="F853" s="187"/>
    </row>
    <row r="854" spans="1:6" x14ac:dyDescent="0.2">
      <c r="A854" s="275"/>
      <c r="B854" s="78"/>
      <c r="C854" s="189"/>
      <c r="D854" s="249"/>
      <c r="E854" s="229"/>
      <c r="F854" s="187"/>
    </row>
    <row r="855" spans="1:6" x14ac:dyDescent="0.2">
      <c r="A855" s="275"/>
      <c r="B855" s="78"/>
      <c r="C855" s="189"/>
      <c r="D855" s="249"/>
      <c r="E855" s="229"/>
      <c r="F855" s="187"/>
    </row>
    <row r="856" spans="1:6" x14ac:dyDescent="0.2">
      <c r="A856" s="275"/>
      <c r="B856" s="78"/>
      <c r="C856" s="189"/>
      <c r="D856" s="249"/>
      <c r="E856" s="229"/>
      <c r="F856" s="187"/>
    </row>
    <row r="857" spans="1:6" x14ac:dyDescent="0.2">
      <c r="A857" s="275"/>
      <c r="B857" s="78"/>
      <c r="C857" s="189"/>
      <c r="D857" s="249"/>
      <c r="E857" s="229"/>
      <c r="F857" s="187"/>
    </row>
    <row r="858" spans="1:6" x14ac:dyDescent="0.2">
      <c r="A858" s="275"/>
      <c r="B858" s="78"/>
      <c r="C858" s="189"/>
      <c r="D858" s="249"/>
      <c r="E858" s="229"/>
      <c r="F858" s="187"/>
    </row>
    <row r="859" spans="1:6" x14ac:dyDescent="0.2">
      <c r="A859" s="275"/>
      <c r="B859" s="78"/>
      <c r="C859" s="189"/>
      <c r="D859" s="249"/>
      <c r="E859" s="229"/>
      <c r="F859" s="187"/>
    </row>
    <row r="860" spans="1:6" x14ac:dyDescent="0.2">
      <c r="A860" s="275"/>
      <c r="B860" s="78"/>
      <c r="C860" s="189"/>
      <c r="D860" s="249"/>
      <c r="E860" s="229"/>
      <c r="F860" s="187"/>
    </row>
    <row r="861" spans="1:6" x14ac:dyDescent="0.2">
      <c r="A861" s="275"/>
      <c r="B861" s="78"/>
      <c r="C861" s="189"/>
      <c r="D861" s="249"/>
      <c r="E861" s="229"/>
      <c r="F861" s="187"/>
    </row>
    <row r="862" spans="1:6" x14ac:dyDescent="0.2">
      <c r="A862" s="275"/>
      <c r="B862" s="78"/>
      <c r="C862" s="189"/>
      <c r="D862" s="249"/>
      <c r="E862" s="229"/>
      <c r="F862" s="187"/>
    </row>
    <row r="863" spans="1:6" x14ac:dyDescent="0.2">
      <c r="A863" s="275"/>
      <c r="B863" s="78"/>
      <c r="C863" s="189"/>
      <c r="D863" s="249"/>
      <c r="E863" s="229"/>
      <c r="F863" s="187"/>
    </row>
    <row r="864" spans="1:6" x14ac:dyDescent="0.2">
      <c r="A864" s="275"/>
      <c r="B864" s="78"/>
      <c r="C864" s="189"/>
      <c r="D864" s="249"/>
      <c r="E864" s="229"/>
      <c r="F864" s="187"/>
    </row>
    <row r="865" spans="1:6" x14ac:dyDescent="0.2">
      <c r="A865" s="275"/>
      <c r="B865" s="78"/>
      <c r="C865" s="189"/>
      <c r="D865" s="249"/>
      <c r="E865" s="229"/>
      <c r="F865" s="187"/>
    </row>
    <row r="866" spans="1:6" x14ac:dyDescent="0.2">
      <c r="A866" s="275"/>
      <c r="B866" s="78"/>
      <c r="C866" s="189"/>
      <c r="D866" s="249"/>
      <c r="E866" s="229"/>
      <c r="F866" s="187"/>
    </row>
    <row r="867" spans="1:6" x14ac:dyDescent="0.2">
      <c r="A867" s="275"/>
      <c r="B867" s="78"/>
      <c r="C867" s="189"/>
      <c r="D867" s="249"/>
      <c r="E867" s="229"/>
      <c r="F867" s="187"/>
    </row>
    <row r="868" spans="1:6" x14ac:dyDescent="0.2">
      <c r="A868" s="275"/>
      <c r="B868" s="78"/>
      <c r="C868" s="189"/>
      <c r="D868" s="249"/>
      <c r="E868" s="229"/>
      <c r="F868" s="187"/>
    </row>
    <row r="869" spans="1:6" x14ac:dyDescent="0.2">
      <c r="A869" s="275"/>
      <c r="B869" s="78"/>
      <c r="C869" s="189"/>
      <c r="D869" s="249"/>
      <c r="E869" s="229"/>
      <c r="F869" s="187"/>
    </row>
    <row r="870" spans="1:6" x14ac:dyDescent="0.2">
      <c r="A870" s="275"/>
      <c r="B870" s="78"/>
      <c r="C870" s="189"/>
      <c r="D870" s="249"/>
      <c r="E870" s="229"/>
      <c r="F870" s="187"/>
    </row>
    <row r="871" spans="1:6" x14ac:dyDescent="0.2">
      <c r="A871" s="275"/>
      <c r="B871" s="78"/>
      <c r="C871" s="189"/>
      <c r="D871" s="249"/>
      <c r="E871" s="229"/>
      <c r="F871" s="187"/>
    </row>
    <row r="872" spans="1:6" x14ac:dyDescent="0.2">
      <c r="A872" s="275"/>
      <c r="B872" s="78"/>
      <c r="C872" s="189"/>
      <c r="D872" s="249"/>
      <c r="E872" s="229"/>
      <c r="F872" s="187"/>
    </row>
    <row r="873" spans="1:6" x14ac:dyDescent="0.2">
      <c r="A873" s="275"/>
      <c r="B873" s="78"/>
      <c r="C873" s="189"/>
      <c r="D873" s="249"/>
      <c r="E873" s="229"/>
      <c r="F873" s="187"/>
    </row>
    <row r="874" spans="1:6" x14ac:dyDescent="0.2">
      <c r="A874" s="275"/>
      <c r="B874" s="78"/>
      <c r="C874" s="189"/>
      <c r="D874" s="249"/>
      <c r="E874" s="229"/>
      <c r="F874" s="187"/>
    </row>
    <row r="875" spans="1:6" x14ac:dyDescent="0.2">
      <c r="A875" s="275"/>
      <c r="B875" s="78"/>
      <c r="C875" s="189"/>
      <c r="D875" s="249"/>
      <c r="E875" s="229"/>
      <c r="F875" s="187"/>
    </row>
    <row r="876" spans="1:6" x14ac:dyDescent="0.2">
      <c r="A876" s="275"/>
      <c r="B876" s="78"/>
      <c r="C876" s="189"/>
      <c r="D876" s="249"/>
      <c r="E876" s="229"/>
      <c r="F876" s="187"/>
    </row>
    <row r="877" spans="1:6" x14ac:dyDescent="0.2">
      <c r="A877" s="275"/>
      <c r="B877" s="78"/>
      <c r="C877" s="189"/>
      <c r="D877" s="249"/>
      <c r="E877" s="229"/>
      <c r="F877" s="187"/>
    </row>
    <row r="878" spans="1:6" x14ac:dyDescent="0.2">
      <c r="A878" s="275"/>
      <c r="B878" s="78"/>
      <c r="C878" s="189"/>
      <c r="D878" s="249"/>
      <c r="E878" s="229"/>
      <c r="F878" s="187"/>
    </row>
    <row r="879" spans="1:6" x14ac:dyDescent="0.2">
      <c r="A879" s="275"/>
      <c r="B879" s="78"/>
      <c r="C879" s="189"/>
      <c r="D879" s="249"/>
      <c r="E879" s="229"/>
      <c r="F879" s="187"/>
    </row>
    <row r="880" spans="1:6" x14ac:dyDescent="0.2">
      <c r="A880" s="275"/>
      <c r="B880" s="78"/>
      <c r="C880" s="189"/>
      <c r="D880" s="249"/>
      <c r="E880" s="229"/>
      <c r="F880" s="187"/>
    </row>
    <row r="881" spans="1:6" x14ac:dyDescent="0.2">
      <c r="A881" s="275"/>
      <c r="B881" s="78"/>
      <c r="C881" s="189"/>
      <c r="D881" s="249"/>
      <c r="E881" s="229"/>
      <c r="F881" s="187"/>
    </row>
    <row r="882" spans="1:6" x14ac:dyDescent="0.2">
      <c r="A882" s="275"/>
      <c r="B882" s="78"/>
      <c r="C882" s="189"/>
      <c r="D882" s="249"/>
      <c r="E882" s="229"/>
      <c r="F882" s="187"/>
    </row>
    <row r="883" spans="1:6" x14ac:dyDescent="0.2">
      <c r="A883" s="275"/>
      <c r="B883" s="78"/>
      <c r="C883" s="189"/>
      <c r="D883" s="249"/>
      <c r="E883" s="229"/>
      <c r="F883" s="187"/>
    </row>
    <row r="884" spans="1:6" x14ac:dyDescent="0.2">
      <c r="A884" s="275"/>
      <c r="B884" s="78"/>
      <c r="C884" s="189"/>
      <c r="D884" s="249"/>
      <c r="E884" s="229"/>
      <c r="F884" s="187"/>
    </row>
    <row r="885" spans="1:6" x14ac:dyDescent="0.2">
      <c r="A885" s="275"/>
      <c r="B885" s="78"/>
      <c r="C885" s="189"/>
      <c r="D885" s="249"/>
      <c r="E885" s="229"/>
      <c r="F885" s="187"/>
    </row>
    <row r="886" spans="1:6" x14ac:dyDescent="0.2">
      <c r="A886" s="275"/>
      <c r="B886" s="78"/>
      <c r="C886" s="189"/>
      <c r="D886" s="249"/>
      <c r="E886" s="229"/>
      <c r="F886" s="187"/>
    </row>
    <row r="887" spans="1:6" x14ac:dyDescent="0.2">
      <c r="A887" s="275"/>
      <c r="B887" s="78"/>
      <c r="C887" s="189"/>
      <c r="D887" s="249"/>
      <c r="E887" s="229"/>
      <c r="F887" s="187"/>
    </row>
    <row r="888" spans="1:6" x14ac:dyDescent="0.2">
      <c r="A888" s="275"/>
      <c r="B888" s="78"/>
      <c r="C888" s="189"/>
      <c r="D888" s="249"/>
      <c r="E888" s="229"/>
      <c r="F888" s="187"/>
    </row>
    <row r="889" spans="1:6" x14ac:dyDescent="0.2">
      <c r="A889" s="275"/>
      <c r="B889" s="78"/>
      <c r="C889" s="189"/>
      <c r="D889" s="249"/>
      <c r="E889" s="229"/>
      <c r="F889" s="187"/>
    </row>
    <row r="890" spans="1:6" x14ac:dyDescent="0.2">
      <c r="A890" s="275"/>
      <c r="B890" s="78"/>
      <c r="C890" s="189"/>
      <c r="D890" s="249"/>
      <c r="E890" s="229"/>
      <c r="F890" s="187"/>
    </row>
    <row r="891" spans="1:6" x14ac:dyDescent="0.2">
      <c r="A891" s="275"/>
      <c r="B891" s="78"/>
      <c r="C891" s="189"/>
      <c r="D891" s="249"/>
      <c r="E891" s="229"/>
      <c r="F891" s="187"/>
    </row>
    <row r="892" spans="1:6" x14ac:dyDescent="0.2">
      <c r="A892" s="275"/>
      <c r="B892" s="78"/>
      <c r="C892" s="189"/>
      <c r="D892" s="249"/>
      <c r="E892" s="229"/>
      <c r="F892" s="187"/>
    </row>
    <row r="893" spans="1:6" x14ac:dyDescent="0.2">
      <c r="A893" s="275"/>
      <c r="B893" s="78"/>
      <c r="C893" s="189"/>
      <c r="D893" s="249"/>
      <c r="E893" s="229"/>
      <c r="F893" s="187"/>
    </row>
    <row r="894" spans="1:6" x14ac:dyDescent="0.2">
      <c r="A894" s="275"/>
      <c r="B894" s="78"/>
      <c r="C894" s="189"/>
      <c r="D894" s="249"/>
      <c r="E894" s="229"/>
      <c r="F894" s="187"/>
    </row>
    <row r="895" spans="1:6" x14ac:dyDescent="0.2">
      <c r="A895" s="275"/>
      <c r="B895" s="78"/>
      <c r="C895" s="189"/>
      <c r="D895" s="249"/>
      <c r="E895" s="229"/>
      <c r="F895" s="187"/>
    </row>
    <row r="896" spans="1:6" x14ac:dyDescent="0.2">
      <c r="A896" s="275"/>
      <c r="B896" s="78"/>
      <c r="C896" s="189"/>
      <c r="D896" s="249"/>
      <c r="E896" s="229"/>
      <c r="F896" s="187"/>
    </row>
    <row r="897" spans="1:6" x14ac:dyDescent="0.2">
      <c r="A897" s="275"/>
      <c r="B897" s="78"/>
      <c r="C897" s="189"/>
      <c r="D897" s="249"/>
      <c r="E897" s="229"/>
      <c r="F897" s="187"/>
    </row>
    <row r="898" spans="1:6" x14ac:dyDescent="0.2">
      <c r="A898" s="275"/>
      <c r="B898" s="78"/>
      <c r="C898" s="189"/>
      <c r="D898" s="249"/>
      <c r="E898" s="229"/>
      <c r="F898" s="187"/>
    </row>
    <row r="899" spans="1:6" x14ac:dyDescent="0.2">
      <c r="A899" s="275"/>
      <c r="B899" s="78"/>
      <c r="C899" s="189"/>
      <c r="D899" s="249"/>
      <c r="E899" s="229"/>
      <c r="F899" s="187"/>
    </row>
    <row r="900" spans="1:6" x14ac:dyDescent="0.2">
      <c r="A900" s="275"/>
      <c r="B900" s="78"/>
      <c r="C900" s="189"/>
      <c r="D900" s="249"/>
      <c r="E900" s="229"/>
      <c r="F900" s="187"/>
    </row>
    <row r="901" spans="1:6" x14ac:dyDescent="0.2">
      <c r="A901" s="275"/>
      <c r="B901" s="78"/>
      <c r="C901" s="189"/>
      <c r="D901" s="249"/>
      <c r="E901" s="229"/>
      <c r="F901" s="187"/>
    </row>
    <row r="902" spans="1:6" x14ac:dyDescent="0.2">
      <c r="A902" s="275"/>
      <c r="B902" s="78"/>
      <c r="C902" s="189"/>
      <c r="D902" s="249"/>
      <c r="E902" s="229"/>
      <c r="F902" s="187"/>
    </row>
    <row r="903" spans="1:6" x14ac:dyDescent="0.2">
      <c r="A903" s="275"/>
      <c r="B903" s="78"/>
      <c r="C903" s="189"/>
      <c r="D903" s="249"/>
      <c r="E903" s="229"/>
      <c r="F903" s="187"/>
    </row>
    <row r="904" spans="1:6" x14ac:dyDescent="0.2">
      <c r="A904" s="275"/>
      <c r="B904" s="78"/>
      <c r="C904" s="189"/>
      <c r="D904" s="249"/>
      <c r="E904" s="229"/>
      <c r="F904" s="187"/>
    </row>
    <row r="905" spans="1:6" x14ac:dyDescent="0.2">
      <c r="A905" s="275"/>
      <c r="B905" s="78"/>
      <c r="C905" s="189"/>
      <c r="D905" s="249"/>
      <c r="E905" s="229"/>
      <c r="F905" s="187"/>
    </row>
    <row r="906" spans="1:6" x14ac:dyDescent="0.2">
      <c r="A906" s="275"/>
      <c r="B906" s="78"/>
      <c r="C906" s="189"/>
      <c r="D906" s="249"/>
      <c r="E906" s="229"/>
      <c r="F906" s="187"/>
    </row>
    <row r="907" spans="1:6" x14ac:dyDescent="0.2">
      <c r="A907" s="275"/>
      <c r="B907" s="78"/>
      <c r="C907" s="189"/>
      <c r="D907" s="249"/>
      <c r="E907" s="229"/>
      <c r="F907" s="187"/>
    </row>
    <row r="908" spans="1:6" x14ac:dyDescent="0.2">
      <c r="A908" s="275"/>
      <c r="B908" s="78"/>
      <c r="C908" s="189"/>
      <c r="D908" s="249"/>
      <c r="E908" s="229"/>
      <c r="F908" s="187"/>
    </row>
    <row r="909" spans="1:6" x14ac:dyDescent="0.2">
      <c r="A909" s="275"/>
      <c r="B909" s="78"/>
      <c r="C909" s="189"/>
      <c r="D909" s="249"/>
      <c r="E909" s="229"/>
      <c r="F909" s="187"/>
    </row>
    <row r="910" spans="1:6" x14ac:dyDescent="0.2">
      <c r="A910" s="275"/>
      <c r="B910" s="78"/>
      <c r="C910" s="189"/>
      <c r="D910" s="249"/>
      <c r="E910" s="229"/>
      <c r="F910" s="187"/>
    </row>
    <row r="911" spans="1:6" x14ac:dyDescent="0.2">
      <c r="A911" s="275"/>
      <c r="B911" s="78"/>
      <c r="C911" s="189"/>
      <c r="D911" s="249"/>
      <c r="E911" s="229"/>
      <c r="F911" s="187"/>
    </row>
    <row r="912" spans="1:6" x14ac:dyDescent="0.2">
      <c r="A912" s="275"/>
      <c r="B912" s="78"/>
      <c r="C912" s="189"/>
      <c r="D912" s="249"/>
      <c r="E912" s="229"/>
      <c r="F912" s="187"/>
    </row>
    <row r="913" spans="1:6" x14ac:dyDescent="0.2">
      <c r="A913" s="275"/>
      <c r="B913" s="78"/>
      <c r="C913" s="189"/>
      <c r="D913" s="249"/>
      <c r="E913" s="229"/>
      <c r="F913" s="187"/>
    </row>
    <row r="914" spans="1:6" x14ac:dyDescent="0.2">
      <c r="A914" s="275"/>
      <c r="B914" s="78"/>
      <c r="C914" s="189"/>
      <c r="D914" s="249"/>
      <c r="E914" s="229"/>
      <c r="F914" s="187"/>
    </row>
    <row r="915" spans="1:6" x14ac:dyDescent="0.2">
      <c r="A915" s="275"/>
      <c r="B915" s="78"/>
      <c r="C915" s="189"/>
      <c r="D915" s="249"/>
      <c r="E915" s="229"/>
      <c r="F915" s="187"/>
    </row>
    <row r="916" spans="1:6" x14ac:dyDescent="0.2">
      <c r="A916" s="275"/>
      <c r="B916" s="78"/>
      <c r="C916" s="189"/>
      <c r="D916" s="249"/>
      <c r="E916" s="229"/>
      <c r="F916" s="187"/>
    </row>
    <row r="917" spans="1:6" x14ac:dyDescent="0.2">
      <c r="A917" s="275"/>
      <c r="B917" s="78"/>
      <c r="C917" s="189"/>
      <c r="D917" s="249"/>
      <c r="E917" s="229"/>
      <c r="F917" s="187"/>
    </row>
    <row r="918" spans="1:6" x14ac:dyDescent="0.2">
      <c r="A918" s="275"/>
      <c r="B918" s="78"/>
      <c r="C918" s="189"/>
      <c r="D918" s="249"/>
      <c r="E918" s="229"/>
      <c r="F918" s="187"/>
    </row>
    <row r="919" spans="1:6" x14ac:dyDescent="0.2">
      <c r="A919" s="275"/>
      <c r="B919" s="78"/>
      <c r="C919" s="189"/>
      <c r="D919" s="249"/>
      <c r="E919" s="229"/>
      <c r="F919" s="187"/>
    </row>
    <row r="920" spans="1:6" x14ac:dyDescent="0.2">
      <c r="A920" s="275"/>
      <c r="B920" s="78"/>
      <c r="C920" s="189"/>
      <c r="D920" s="249"/>
      <c r="E920" s="229"/>
      <c r="F920" s="187"/>
    </row>
    <row r="921" spans="1:6" x14ac:dyDescent="0.2">
      <c r="A921" s="275"/>
      <c r="B921" s="78"/>
      <c r="C921" s="189"/>
      <c r="D921" s="249"/>
      <c r="E921" s="229"/>
      <c r="F921" s="187"/>
    </row>
    <row r="922" spans="1:6" x14ac:dyDescent="0.2">
      <c r="A922" s="275"/>
      <c r="B922" s="78"/>
      <c r="C922" s="189"/>
      <c r="D922" s="249"/>
      <c r="E922" s="229"/>
      <c r="F922" s="187"/>
    </row>
    <row r="923" spans="1:6" x14ac:dyDescent="0.2">
      <c r="A923" s="275"/>
      <c r="B923" s="78"/>
      <c r="C923" s="189"/>
      <c r="D923" s="249"/>
      <c r="E923" s="229"/>
      <c r="F923" s="187"/>
    </row>
    <row r="924" spans="1:6" x14ac:dyDescent="0.2">
      <c r="A924" s="275"/>
      <c r="B924" s="78"/>
      <c r="C924" s="189"/>
      <c r="D924" s="249"/>
      <c r="E924" s="229"/>
      <c r="F924" s="187"/>
    </row>
    <row r="925" spans="1:6" x14ac:dyDescent="0.2">
      <c r="A925" s="275"/>
      <c r="B925" s="78"/>
      <c r="C925" s="189"/>
      <c r="D925" s="249"/>
      <c r="E925" s="229"/>
      <c r="F925" s="187"/>
    </row>
    <row r="926" spans="1:6" x14ac:dyDescent="0.2">
      <c r="A926" s="275"/>
      <c r="B926" s="78"/>
      <c r="C926" s="189"/>
      <c r="D926" s="249"/>
      <c r="E926" s="229"/>
      <c r="F926" s="187"/>
    </row>
    <row r="927" spans="1:6" x14ac:dyDescent="0.2">
      <c r="A927" s="275"/>
      <c r="B927" s="78"/>
      <c r="C927" s="189"/>
      <c r="D927" s="249"/>
      <c r="E927" s="229"/>
      <c r="F927" s="187"/>
    </row>
    <row r="928" spans="1:6" x14ac:dyDescent="0.2">
      <c r="A928" s="275"/>
      <c r="B928" s="78"/>
      <c r="C928" s="189"/>
      <c r="D928" s="249"/>
      <c r="E928" s="229"/>
      <c r="F928" s="187"/>
    </row>
    <row r="929" spans="1:6" x14ac:dyDescent="0.2">
      <c r="A929" s="275"/>
      <c r="B929" s="78"/>
      <c r="C929" s="189"/>
      <c r="D929" s="249"/>
      <c r="E929" s="229"/>
      <c r="F929" s="187"/>
    </row>
    <row r="930" spans="1:6" x14ac:dyDescent="0.2">
      <c r="A930" s="275"/>
      <c r="B930" s="78"/>
      <c r="C930" s="189"/>
      <c r="D930" s="249"/>
      <c r="E930" s="229"/>
      <c r="F930" s="187"/>
    </row>
    <row r="931" spans="1:6" x14ac:dyDescent="0.2">
      <c r="A931" s="275"/>
      <c r="B931" s="78"/>
      <c r="C931" s="189"/>
      <c r="D931" s="249"/>
      <c r="E931" s="229"/>
      <c r="F931" s="187"/>
    </row>
    <row r="932" spans="1:6" x14ac:dyDescent="0.2">
      <c r="A932" s="275"/>
      <c r="B932" s="78"/>
      <c r="C932" s="189"/>
      <c r="D932" s="249"/>
      <c r="E932" s="229"/>
      <c r="F932" s="187"/>
    </row>
    <row r="933" spans="1:6" x14ac:dyDescent="0.2">
      <c r="A933" s="275"/>
      <c r="B933" s="78"/>
      <c r="C933" s="189"/>
      <c r="D933" s="249"/>
      <c r="E933" s="229"/>
      <c r="F933" s="187"/>
    </row>
    <row r="934" spans="1:6" x14ac:dyDescent="0.2">
      <c r="A934" s="275"/>
      <c r="B934" s="78"/>
      <c r="C934" s="189"/>
      <c r="D934" s="249"/>
      <c r="E934" s="229"/>
      <c r="F934" s="187"/>
    </row>
    <row r="935" spans="1:6" x14ac:dyDescent="0.2">
      <c r="A935" s="275"/>
      <c r="B935" s="78"/>
      <c r="C935" s="189"/>
      <c r="D935" s="249"/>
      <c r="E935" s="229"/>
      <c r="F935" s="187"/>
    </row>
    <row r="936" spans="1:6" x14ac:dyDescent="0.2">
      <c r="A936" s="275"/>
      <c r="B936" s="78"/>
      <c r="C936" s="189"/>
      <c r="D936" s="249"/>
      <c r="E936" s="229"/>
      <c r="F936" s="187"/>
    </row>
    <row r="937" spans="1:6" x14ac:dyDescent="0.2">
      <c r="A937" s="275"/>
      <c r="B937" s="78"/>
      <c r="C937" s="189"/>
      <c r="D937" s="249"/>
      <c r="E937" s="229"/>
      <c r="F937" s="187"/>
    </row>
    <row r="938" spans="1:6" x14ac:dyDescent="0.2">
      <c r="A938" s="275"/>
      <c r="B938" s="78"/>
      <c r="C938" s="189"/>
      <c r="D938" s="249"/>
      <c r="E938" s="229"/>
      <c r="F938" s="187"/>
    </row>
    <row r="939" spans="1:6" x14ac:dyDescent="0.2">
      <c r="A939" s="275"/>
      <c r="B939" s="78"/>
      <c r="C939" s="189"/>
      <c r="D939" s="249"/>
      <c r="E939" s="229"/>
      <c r="F939" s="187"/>
    </row>
    <row r="940" spans="1:6" x14ac:dyDescent="0.2">
      <c r="A940" s="275"/>
      <c r="B940" s="78"/>
      <c r="C940" s="189"/>
      <c r="D940" s="249"/>
      <c r="E940" s="229"/>
      <c r="F940" s="187"/>
    </row>
    <row r="941" spans="1:6" x14ac:dyDescent="0.2">
      <c r="A941" s="275"/>
      <c r="B941" s="78"/>
      <c r="C941" s="189"/>
      <c r="D941" s="249"/>
      <c r="E941" s="229"/>
      <c r="F941" s="187"/>
    </row>
    <row r="942" spans="1:6" x14ac:dyDescent="0.2">
      <c r="A942" s="275"/>
      <c r="B942" s="78"/>
      <c r="C942" s="189"/>
      <c r="D942" s="249"/>
      <c r="E942" s="229"/>
      <c r="F942" s="187"/>
    </row>
    <row r="943" spans="1:6" x14ac:dyDescent="0.2">
      <c r="A943" s="275"/>
      <c r="B943" s="78"/>
      <c r="C943" s="189"/>
      <c r="D943" s="249"/>
      <c r="E943" s="229"/>
      <c r="F943" s="187"/>
    </row>
    <row r="944" spans="1:6" x14ac:dyDescent="0.2">
      <c r="A944" s="275"/>
      <c r="B944" s="78"/>
      <c r="C944" s="189"/>
      <c r="D944" s="249"/>
      <c r="E944" s="229"/>
      <c r="F944" s="187"/>
    </row>
    <row r="945" spans="1:6" x14ac:dyDescent="0.2">
      <c r="A945" s="275"/>
      <c r="B945" s="78"/>
      <c r="C945" s="189"/>
      <c r="D945" s="249"/>
      <c r="E945" s="229"/>
      <c r="F945" s="187"/>
    </row>
    <row r="946" spans="1:6" x14ac:dyDescent="0.2">
      <c r="A946" s="275"/>
      <c r="B946" s="78"/>
      <c r="C946" s="189"/>
      <c r="D946" s="249"/>
      <c r="E946" s="229"/>
      <c r="F946" s="187"/>
    </row>
    <row r="947" spans="1:6" x14ac:dyDescent="0.2">
      <c r="A947" s="275"/>
      <c r="B947" s="78"/>
      <c r="C947" s="189"/>
      <c r="D947" s="249"/>
      <c r="E947" s="229"/>
      <c r="F947" s="187"/>
    </row>
    <row r="948" spans="1:6" x14ac:dyDescent="0.2">
      <c r="A948" s="275"/>
      <c r="B948" s="78"/>
      <c r="C948" s="189"/>
      <c r="D948" s="249"/>
      <c r="E948" s="229"/>
      <c r="F948" s="187"/>
    </row>
    <row r="949" spans="1:6" x14ac:dyDescent="0.2">
      <c r="A949" s="275"/>
      <c r="B949" s="78"/>
      <c r="C949" s="189"/>
      <c r="D949" s="249"/>
      <c r="E949" s="229"/>
      <c r="F949" s="187"/>
    </row>
    <row r="950" spans="1:6" x14ac:dyDescent="0.2">
      <c r="A950" s="275"/>
      <c r="B950" s="78"/>
      <c r="C950" s="189"/>
      <c r="D950" s="249"/>
      <c r="E950" s="229"/>
      <c r="F950" s="187"/>
    </row>
    <row r="951" spans="1:6" x14ac:dyDescent="0.2">
      <c r="A951" s="275"/>
      <c r="B951" s="78"/>
      <c r="C951" s="189"/>
      <c r="D951" s="249"/>
      <c r="E951" s="229"/>
      <c r="F951" s="187"/>
    </row>
    <row r="952" spans="1:6" x14ac:dyDescent="0.2">
      <c r="A952" s="275"/>
      <c r="B952" s="78"/>
      <c r="C952" s="189"/>
      <c r="D952" s="249"/>
      <c r="E952" s="229"/>
      <c r="F952" s="187"/>
    </row>
    <row r="953" spans="1:6" x14ac:dyDescent="0.2">
      <c r="A953" s="275"/>
      <c r="B953" s="78"/>
      <c r="C953" s="189"/>
      <c r="D953" s="249"/>
      <c r="E953" s="229"/>
      <c r="F953" s="187"/>
    </row>
    <row r="954" spans="1:6" x14ac:dyDescent="0.2">
      <c r="A954" s="275"/>
      <c r="B954" s="78"/>
      <c r="C954" s="189"/>
      <c r="D954" s="249"/>
      <c r="E954" s="229"/>
      <c r="F954" s="187"/>
    </row>
    <row r="955" spans="1:6" x14ac:dyDescent="0.2">
      <c r="A955" s="275"/>
      <c r="B955" s="78"/>
      <c r="C955" s="189"/>
      <c r="D955" s="249"/>
      <c r="E955" s="229"/>
      <c r="F955" s="187"/>
    </row>
    <row r="956" spans="1:6" x14ac:dyDescent="0.2">
      <c r="A956" s="275"/>
      <c r="B956" s="78"/>
      <c r="C956" s="189"/>
      <c r="D956" s="249"/>
      <c r="E956" s="229"/>
      <c r="F956" s="187"/>
    </row>
    <row r="957" spans="1:6" x14ac:dyDescent="0.2">
      <c r="A957" s="275"/>
      <c r="B957" s="78"/>
      <c r="C957" s="189"/>
      <c r="D957" s="249"/>
      <c r="E957" s="229"/>
      <c r="F957" s="187"/>
    </row>
    <row r="958" spans="1:6" x14ac:dyDescent="0.2">
      <c r="A958" s="275"/>
      <c r="B958" s="78"/>
      <c r="C958" s="189"/>
      <c r="D958" s="249"/>
      <c r="E958" s="229"/>
      <c r="F958" s="187"/>
    </row>
    <row r="959" spans="1:6" x14ac:dyDescent="0.2">
      <c r="A959" s="275"/>
      <c r="B959" s="78"/>
      <c r="C959" s="189"/>
      <c r="D959" s="249"/>
      <c r="E959" s="229"/>
      <c r="F959" s="187"/>
    </row>
    <row r="960" spans="1:6" x14ac:dyDescent="0.2">
      <c r="A960" s="275"/>
      <c r="B960" s="78"/>
      <c r="C960" s="189"/>
      <c r="D960" s="249"/>
      <c r="E960" s="229"/>
      <c r="F960" s="187"/>
    </row>
    <row r="961" spans="1:6" x14ac:dyDescent="0.2">
      <c r="A961" s="275"/>
      <c r="B961" s="78"/>
      <c r="C961" s="189"/>
      <c r="D961" s="249"/>
      <c r="E961" s="229"/>
      <c r="F961" s="187"/>
    </row>
    <row r="962" spans="1:6" x14ac:dyDescent="0.2">
      <c r="A962" s="275"/>
      <c r="B962" s="78"/>
      <c r="C962" s="189"/>
      <c r="D962" s="249"/>
      <c r="E962" s="229"/>
      <c r="F962" s="187"/>
    </row>
    <row r="963" spans="1:6" x14ac:dyDescent="0.2">
      <c r="A963" s="275"/>
      <c r="B963" s="78"/>
      <c r="C963" s="189"/>
      <c r="D963" s="249"/>
      <c r="E963" s="229"/>
      <c r="F963" s="187"/>
    </row>
    <row r="964" spans="1:6" x14ac:dyDescent="0.2">
      <c r="A964" s="275"/>
      <c r="B964" s="78"/>
      <c r="C964" s="189"/>
      <c r="D964" s="249"/>
      <c r="E964" s="229"/>
      <c r="F964" s="187"/>
    </row>
    <row r="965" spans="1:6" x14ac:dyDescent="0.2">
      <c r="A965" s="275"/>
      <c r="B965" s="78"/>
      <c r="C965" s="189"/>
      <c r="D965" s="249"/>
      <c r="E965" s="229"/>
      <c r="F965" s="187"/>
    </row>
    <row r="966" spans="1:6" x14ac:dyDescent="0.2">
      <c r="A966" s="275"/>
      <c r="B966" s="78"/>
      <c r="C966" s="189"/>
      <c r="D966" s="249"/>
      <c r="E966" s="229"/>
      <c r="F966" s="187"/>
    </row>
    <row r="967" spans="1:6" x14ac:dyDescent="0.2">
      <c r="A967" s="275"/>
      <c r="B967" s="78"/>
      <c r="C967" s="189"/>
      <c r="D967" s="249"/>
      <c r="E967" s="229"/>
      <c r="F967" s="187"/>
    </row>
    <row r="968" spans="1:6" x14ac:dyDescent="0.2">
      <c r="A968" s="275"/>
      <c r="B968" s="78"/>
      <c r="C968" s="189"/>
      <c r="D968" s="249"/>
      <c r="E968" s="229"/>
      <c r="F968" s="187"/>
    </row>
    <row r="969" spans="1:6" x14ac:dyDescent="0.2">
      <c r="A969" s="275"/>
      <c r="B969" s="78"/>
      <c r="C969" s="189"/>
      <c r="D969" s="249"/>
      <c r="E969" s="229"/>
      <c r="F969" s="187"/>
    </row>
    <row r="970" spans="1:6" x14ac:dyDescent="0.2">
      <c r="A970" s="275"/>
      <c r="B970" s="78"/>
      <c r="C970" s="189"/>
      <c r="D970" s="249"/>
      <c r="E970" s="229"/>
      <c r="F970" s="187"/>
    </row>
    <row r="971" spans="1:6" x14ac:dyDescent="0.2">
      <c r="A971" s="275"/>
      <c r="B971" s="78"/>
      <c r="C971" s="189"/>
      <c r="D971" s="249"/>
      <c r="E971" s="229"/>
      <c r="F971" s="187"/>
    </row>
    <row r="972" spans="1:6" x14ac:dyDescent="0.2">
      <c r="A972" s="275"/>
      <c r="B972" s="78"/>
      <c r="C972" s="189"/>
      <c r="D972" s="249"/>
      <c r="E972" s="229"/>
      <c r="F972" s="187"/>
    </row>
    <row r="973" spans="1:6" x14ac:dyDescent="0.2">
      <c r="A973" s="275"/>
      <c r="B973" s="78"/>
      <c r="C973" s="189"/>
      <c r="D973" s="249"/>
      <c r="E973" s="229"/>
      <c r="F973" s="187"/>
    </row>
    <row r="974" spans="1:6" x14ac:dyDescent="0.2">
      <c r="A974" s="275"/>
      <c r="B974" s="78"/>
      <c r="C974" s="189"/>
      <c r="D974" s="249"/>
      <c r="E974" s="229"/>
      <c r="F974" s="187"/>
    </row>
    <row r="975" spans="1:6" x14ac:dyDescent="0.2">
      <c r="A975" s="275"/>
      <c r="B975" s="78"/>
      <c r="C975" s="189"/>
      <c r="D975" s="249"/>
      <c r="E975" s="229"/>
      <c r="F975" s="187"/>
    </row>
    <row r="976" spans="1:6" x14ac:dyDescent="0.2">
      <c r="A976" s="275"/>
      <c r="B976" s="78"/>
      <c r="C976" s="189"/>
      <c r="D976" s="249"/>
      <c r="E976" s="229"/>
      <c r="F976" s="187"/>
    </row>
    <row r="977" spans="1:6" x14ac:dyDescent="0.2">
      <c r="A977" s="275"/>
      <c r="B977" s="78"/>
      <c r="C977" s="189"/>
      <c r="D977" s="249"/>
      <c r="E977" s="229"/>
      <c r="F977" s="187"/>
    </row>
    <row r="978" spans="1:6" x14ac:dyDescent="0.2">
      <c r="A978" s="275"/>
      <c r="B978" s="78"/>
      <c r="C978" s="189"/>
      <c r="D978" s="249"/>
      <c r="E978" s="229"/>
      <c r="F978" s="187"/>
    </row>
    <row r="979" spans="1:6" x14ac:dyDescent="0.2">
      <c r="A979" s="275"/>
      <c r="B979" s="78"/>
      <c r="C979" s="189"/>
      <c r="D979" s="249"/>
      <c r="E979" s="229"/>
      <c r="F979" s="187"/>
    </row>
    <row r="980" spans="1:6" x14ac:dyDescent="0.2">
      <c r="A980" s="275"/>
      <c r="B980" s="78"/>
      <c r="C980" s="189"/>
      <c r="D980" s="249"/>
      <c r="E980" s="229"/>
      <c r="F980" s="187"/>
    </row>
    <row r="981" spans="1:6" x14ac:dyDescent="0.2">
      <c r="A981" s="275"/>
      <c r="B981" s="78"/>
      <c r="C981" s="189"/>
      <c r="D981" s="249"/>
      <c r="E981" s="229"/>
      <c r="F981" s="187"/>
    </row>
    <row r="982" spans="1:6" x14ac:dyDescent="0.2">
      <c r="A982" s="275"/>
      <c r="B982" s="78"/>
      <c r="C982" s="189"/>
      <c r="D982" s="249"/>
      <c r="E982" s="229"/>
      <c r="F982" s="187"/>
    </row>
    <row r="983" spans="1:6" x14ac:dyDescent="0.2">
      <c r="A983" s="275"/>
      <c r="B983" s="78"/>
      <c r="C983" s="189"/>
      <c r="D983" s="249"/>
      <c r="E983" s="229"/>
      <c r="F983" s="187"/>
    </row>
    <row r="984" spans="1:6" x14ac:dyDescent="0.2">
      <c r="A984" s="275"/>
      <c r="B984" s="78"/>
      <c r="C984" s="189"/>
      <c r="D984" s="249"/>
      <c r="E984" s="229"/>
      <c r="F984" s="187"/>
    </row>
    <row r="985" spans="1:6" x14ac:dyDescent="0.2">
      <c r="A985" s="275"/>
      <c r="B985" s="78"/>
      <c r="C985" s="189"/>
      <c r="D985" s="249"/>
      <c r="E985" s="229"/>
      <c r="F985" s="187"/>
    </row>
    <row r="986" spans="1:6" x14ac:dyDescent="0.2">
      <c r="A986" s="275"/>
      <c r="B986" s="78"/>
      <c r="C986" s="189"/>
      <c r="D986" s="249"/>
      <c r="E986" s="229"/>
      <c r="F986" s="187"/>
    </row>
    <row r="987" spans="1:6" x14ac:dyDescent="0.2">
      <c r="A987" s="275"/>
      <c r="B987" s="78"/>
      <c r="C987" s="189"/>
      <c r="D987" s="249"/>
      <c r="E987" s="229"/>
      <c r="F987" s="187"/>
    </row>
    <row r="988" spans="1:6" x14ac:dyDescent="0.2">
      <c r="A988" s="275"/>
      <c r="B988" s="78"/>
      <c r="C988" s="189"/>
      <c r="D988" s="249"/>
      <c r="E988" s="229"/>
      <c r="F988" s="187"/>
    </row>
    <row r="989" spans="1:6" x14ac:dyDescent="0.2">
      <c r="A989" s="275"/>
      <c r="B989" s="78"/>
      <c r="C989" s="189"/>
      <c r="D989" s="249"/>
      <c r="E989" s="229"/>
      <c r="F989" s="187"/>
    </row>
    <row r="990" spans="1:6" x14ac:dyDescent="0.2">
      <c r="A990" s="275"/>
      <c r="B990" s="78"/>
      <c r="C990" s="189"/>
      <c r="D990" s="249"/>
      <c r="E990" s="229"/>
      <c r="F990" s="187"/>
    </row>
    <row r="991" spans="1:6" x14ac:dyDescent="0.2">
      <c r="A991" s="275"/>
      <c r="B991" s="78"/>
      <c r="C991" s="189"/>
      <c r="D991" s="249"/>
      <c r="E991" s="229"/>
      <c r="F991" s="187"/>
    </row>
    <row r="992" spans="1:6" x14ac:dyDescent="0.2">
      <c r="A992" s="275"/>
      <c r="B992" s="78"/>
      <c r="C992" s="189"/>
      <c r="D992" s="249"/>
      <c r="E992" s="229"/>
      <c r="F992" s="187"/>
    </row>
    <row r="993" spans="1:6" x14ac:dyDescent="0.2">
      <c r="A993" s="275"/>
      <c r="B993" s="78"/>
      <c r="C993" s="189"/>
      <c r="D993" s="249"/>
      <c r="E993" s="229"/>
      <c r="F993" s="187"/>
    </row>
    <row r="994" spans="1:6" x14ac:dyDescent="0.2">
      <c r="A994" s="275"/>
      <c r="B994" s="78"/>
      <c r="C994" s="189"/>
      <c r="D994" s="249"/>
      <c r="E994" s="229"/>
      <c r="F994" s="187"/>
    </row>
    <row r="995" spans="1:6" x14ac:dyDescent="0.2">
      <c r="A995" s="275"/>
      <c r="B995" s="78"/>
      <c r="C995" s="189"/>
      <c r="D995" s="249"/>
      <c r="E995" s="229"/>
      <c r="F995" s="187"/>
    </row>
    <row r="996" spans="1:6" x14ac:dyDescent="0.2">
      <c r="A996" s="275"/>
      <c r="B996" s="78"/>
      <c r="C996" s="189"/>
      <c r="D996" s="249"/>
      <c r="E996" s="229"/>
      <c r="F996" s="187"/>
    </row>
    <row r="997" spans="1:6" x14ac:dyDescent="0.2">
      <c r="A997" s="275"/>
      <c r="B997" s="78"/>
      <c r="C997" s="189"/>
      <c r="D997" s="249"/>
      <c r="E997" s="229"/>
      <c r="F997" s="187"/>
    </row>
    <row r="998" spans="1:6" x14ac:dyDescent="0.2">
      <c r="A998" s="275"/>
      <c r="B998" s="78"/>
      <c r="C998" s="189"/>
      <c r="D998" s="249"/>
      <c r="E998" s="229"/>
      <c r="F998" s="187"/>
    </row>
    <row r="999" spans="1:6" x14ac:dyDescent="0.2">
      <c r="A999" s="275"/>
      <c r="B999" s="78"/>
      <c r="C999" s="189"/>
      <c r="D999" s="249"/>
      <c r="E999" s="229"/>
      <c r="F999" s="187"/>
    </row>
    <row r="1000" spans="1:6" x14ac:dyDescent="0.2">
      <c r="A1000" s="275"/>
      <c r="B1000" s="78"/>
      <c r="C1000" s="189"/>
      <c r="D1000" s="249"/>
      <c r="E1000" s="229"/>
      <c r="F1000" s="187"/>
    </row>
    <row r="1001" spans="1:6" x14ac:dyDescent="0.2">
      <c r="A1001" s="275"/>
      <c r="B1001" s="78"/>
      <c r="C1001" s="189"/>
      <c r="D1001" s="249"/>
      <c r="E1001" s="229"/>
      <c r="F1001" s="187"/>
    </row>
    <row r="1002" spans="1:6" x14ac:dyDescent="0.2">
      <c r="A1002" s="275"/>
      <c r="B1002" s="78"/>
      <c r="C1002" s="189"/>
      <c r="D1002" s="249"/>
      <c r="E1002" s="229"/>
      <c r="F1002" s="187"/>
    </row>
    <row r="1003" spans="1:6" x14ac:dyDescent="0.2">
      <c r="A1003" s="275"/>
      <c r="B1003" s="78"/>
      <c r="C1003" s="189"/>
      <c r="D1003" s="249"/>
      <c r="E1003" s="229"/>
      <c r="F1003" s="187"/>
    </row>
    <row r="1004" spans="1:6" x14ac:dyDescent="0.2">
      <c r="A1004" s="275"/>
      <c r="B1004" s="78"/>
      <c r="C1004" s="189"/>
      <c r="D1004" s="249"/>
      <c r="E1004" s="229"/>
      <c r="F1004" s="187"/>
    </row>
    <row r="1005" spans="1:6" x14ac:dyDescent="0.2">
      <c r="A1005" s="275"/>
      <c r="B1005" s="78"/>
      <c r="C1005" s="189"/>
      <c r="D1005" s="249"/>
      <c r="E1005" s="229"/>
      <c r="F1005" s="187"/>
    </row>
    <row r="1006" spans="1:6" x14ac:dyDescent="0.2">
      <c r="A1006" s="275"/>
      <c r="B1006" s="78"/>
      <c r="C1006" s="189"/>
      <c r="D1006" s="249"/>
      <c r="E1006" s="229"/>
      <c r="F1006" s="187"/>
    </row>
    <row r="1007" spans="1:6" x14ac:dyDescent="0.2">
      <c r="A1007" s="275"/>
      <c r="B1007" s="78"/>
      <c r="C1007" s="189"/>
      <c r="D1007" s="249"/>
      <c r="E1007" s="229"/>
      <c r="F1007" s="187"/>
    </row>
    <row r="1008" spans="1:6" x14ac:dyDescent="0.2">
      <c r="A1008" s="275"/>
      <c r="B1008" s="78"/>
      <c r="C1008" s="189"/>
      <c r="D1008" s="249"/>
      <c r="E1008" s="229"/>
      <c r="F1008" s="187"/>
    </row>
    <row r="1009" spans="1:6" x14ac:dyDescent="0.2">
      <c r="A1009" s="275"/>
      <c r="B1009" s="78"/>
      <c r="C1009" s="189"/>
      <c r="D1009" s="249"/>
      <c r="E1009" s="229"/>
      <c r="F1009" s="187"/>
    </row>
    <row r="1010" spans="1:6" x14ac:dyDescent="0.2">
      <c r="A1010" s="275"/>
      <c r="B1010" s="78"/>
      <c r="C1010" s="189"/>
      <c r="D1010" s="249"/>
      <c r="E1010" s="229"/>
      <c r="F1010" s="187"/>
    </row>
    <row r="1011" spans="1:6" x14ac:dyDescent="0.2">
      <c r="A1011" s="275"/>
      <c r="B1011" s="78"/>
      <c r="C1011" s="189"/>
      <c r="D1011" s="249"/>
      <c r="E1011" s="229"/>
      <c r="F1011" s="187"/>
    </row>
    <row r="1012" spans="1:6" x14ac:dyDescent="0.2">
      <c r="A1012" s="275"/>
      <c r="B1012" s="78"/>
      <c r="C1012" s="189"/>
      <c r="D1012" s="249"/>
      <c r="E1012" s="229"/>
      <c r="F1012" s="187"/>
    </row>
    <row r="1013" spans="1:6" x14ac:dyDescent="0.2">
      <c r="A1013" s="275"/>
      <c r="B1013" s="78"/>
      <c r="C1013" s="189"/>
      <c r="D1013" s="249"/>
      <c r="E1013" s="229"/>
      <c r="F1013" s="187"/>
    </row>
    <row r="1014" spans="1:6" x14ac:dyDescent="0.2">
      <c r="A1014" s="275"/>
      <c r="B1014" s="78"/>
      <c r="C1014" s="189"/>
      <c r="D1014" s="249"/>
      <c r="E1014" s="229"/>
      <c r="F1014" s="187"/>
    </row>
    <row r="1015" spans="1:6" x14ac:dyDescent="0.2">
      <c r="A1015" s="275"/>
      <c r="B1015" s="78"/>
      <c r="C1015" s="189"/>
      <c r="D1015" s="249"/>
      <c r="E1015" s="229"/>
      <c r="F1015" s="187"/>
    </row>
    <row r="1016" spans="1:6" x14ac:dyDescent="0.2">
      <c r="A1016" s="275"/>
      <c r="B1016" s="78"/>
      <c r="C1016" s="189"/>
      <c r="D1016" s="249"/>
      <c r="E1016" s="229"/>
      <c r="F1016" s="187"/>
    </row>
    <row r="1017" spans="1:6" x14ac:dyDescent="0.2">
      <c r="A1017" s="275"/>
      <c r="B1017" s="78"/>
      <c r="C1017" s="189"/>
      <c r="D1017" s="249"/>
      <c r="E1017" s="229"/>
      <c r="F1017" s="187"/>
    </row>
    <row r="1018" spans="1:6" x14ac:dyDescent="0.2">
      <c r="A1018" s="275"/>
      <c r="B1018" s="78"/>
      <c r="C1018" s="189"/>
      <c r="D1018" s="249"/>
      <c r="E1018" s="229"/>
      <c r="F1018" s="187"/>
    </row>
    <row r="1019" spans="1:6" x14ac:dyDescent="0.2">
      <c r="A1019" s="275"/>
      <c r="B1019" s="78"/>
      <c r="C1019" s="189"/>
      <c r="D1019" s="249"/>
      <c r="E1019" s="229"/>
      <c r="F1019" s="187"/>
    </row>
    <row r="1020" spans="1:6" x14ac:dyDescent="0.2">
      <c r="A1020" s="275"/>
      <c r="B1020" s="78"/>
      <c r="C1020" s="189"/>
      <c r="D1020" s="249"/>
      <c r="E1020" s="229"/>
      <c r="F1020" s="187"/>
    </row>
    <row r="1021" spans="1:6" x14ac:dyDescent="0.2">
      <c r="A1021" s="275"/>
      <c r="B1021" s="78"/>
      <c r="C1021" s="189"/>
      <c r="D1021" s="249"/>
      <c r="E1021" s="229"/>
      <c r="F1021" s="187"/>
    </row>
    <row r="1022" spans="1:6" x14ac:dyDescent="0.2">
      <c r="A1022" s="275"/>
      <c r="B1022" s="78"/>
      <c r="C1022" s="189"/>
      <c r="D1022" s="249"/>
      <c r="E1022" s="229"/>
      <c r="F1022" s="187"/>
    </row>
    <row r="1023" spans="1:6" x14ac:dyDescent="0.2">
      <c r="A1023" s="275"/>
      <c r="B1023" s="78"/>
      <c r="C1023" s="189"/>
      <c r="D1023" s="249"/>
      <c r="E1023" s="229"/>
      <c r="F1023" s="187"/>
    </row>
    <row r="1024" spans="1:6" x14ac:dyDescent="0.2">
      <c r="A1024" s="275"/>
      <c r="B1024" s="78"/>
      <c r="C1024" s="189"/>
      <c r="D1024" s="249"/>
      <c r="E1024" s="229"/>
      <c r="F1024" s="187"/>
    </row>
    <row r="1025" spans="1:6" x14ac:dyDescent="0.2">
      <c r="A1025" s="275"/>
      <c r="B1025" s="78"/>
      <c r="C1025" s="189"/>
      <c r="D1025" s="249"/>
      <c r="E1025" s="229"/>
      <c r="F1025" s="187"/>
    </row>
    <row r="1026" spans="1:6" x14ac:dyDescent="0.2">
      <c r="A1026" s="275"/>
      <c r="B1026" s="78"/>
      <c r="C1026" s="189"/>
      <c r="D1026" s="249"/>
      <c r="E1026" s="229"/>
      <c r="F1026" s="187"/>
    </row>
    <row r="1027" spans="1:6" x14ac:dyDescent="0.2">
      <c r="A1027" s="275"/>
      <c r="B1027" s="78"/>
      <c r="C1027" s="189"/>
      <c r="D1027" s="249"/>
      <c r="E1027" s="229"/>
      <c r="F1027" s="187"/>
    </row>
    <row r="1028" spans="1:6" x14ac:dyDescent="0.2">
      <c r="A1028" s="275"/>
      <c r="B1028" s="78"/>
      <c r="C1028" s="189"/>
      <c r="D1028" s="249"/>
      <c r="E1028" s="229"/>
      <c r="F1028" s="187"/>
    </row>
    <row r="1029" spans="1:6" x14ac:dyDescent="0.2">
      <c r="A1029" s="275"/>
      <c r="B1029" s="78"/>
      <c r="C1029" s="189"/>
      <c r="D1029" s="249"/>
      <c r="E1029" s="229"/>
      <c r="F1029" s="187"/>
    </row>
    <row r="1030" spans="1:6" x14ac:dyDescent="0.2">
      <c r="A1030" s="275"/>
      <c r="B1030" s="78"/>
      <c r="C1030" s="189"/>
      <c r="D1030" s="249"/>
      <c r="E1030" s="229"/>
      <c r="F1030" s="187"/>
    </row>
    <row r="1031" spans="1:6" x14ac:dyDescent="0.2">
      <c r="A1031" s="275"/>
      <c r="B1031" s="78"/>
      <c r="C1031" s="189"/>
      <c r="D1031" s="249"/>
      <c r="E1031" s="229"/>
      <c r="F1031" s="187"/>
    </row>
    <row r="1032" spans="1:6" x14ac:dyDescent="0.2">
      <c r="A1032" s="275"/>
      <c r="B1032" s="78"/>
      <c r="C1032" s="189"/>
      <c r="D1032" s="249"/>
      <c r="E1032" s="229"/>
      <c r="F1032" s="187"/>
    </row>
    <row r="1033" spans="1:6" x14ac:dyDescent="0.2">
      <c r="A1033" s="275"/>
      <c r="B1033" s="78"/>
      <c r="C1033" s="189"/>
      <c r="D1033" s="249"/>
      <c r="E1033" s="229"/>
      <c r="F1033" s="187"/>
    </row>
    <row r="1034" spans="1:6" x14ac:dyDescent="0.2">
      <c r="A1034" s="275"/>
      <c r="B1034" s="78"/>
      <c r="C1034" s="189"/>
      <c r="D1034" s="249"/>
      <c r="E1034" s="229"/>
      <c r="F1034" s="187"/>
    </row>
    <row r="1035" spans="1:6" x14ac:dyDescent="0.2">
      <c r="A1035" s="275"/>
      <c r="B1035" s="78"/>
      <c r="C1035" s="189"/>
      <c r="D1035" s="249"/>
      <c r="E1035" s="229"/>
      <c r="F1035" s="187"/>
    </row>
    <row r="1036" spans="1:6" x14ac:dyDescent="0.2">
      <c r="A1036" s="275"/>
      <c r="B1036" s="78"/>
      <c r="C1036" s="189"/>
      <c r="D1036" s="249"/>
      <c r="E1036" s="229"/>
      <c r="F1036" s="187"/>
    </row>
    <row r="1037" spans="1:6" x14ac:dyDescent="0.2">
      <c r="A1037" s="275"/>
      <c r="B1037" s="78"/>
      <c r="C1037" s="189"/>
      <c r="D1037" s="249"/>
      <c r="E1037" s="229"/>
      <c r="F1037" s="187"/>
    </row>
    <row r="1038" spans="1:6" x14ac:dyDescent="0.2">
      <c r="A1038" s="275"/>
      <c r="B1038" s="78"/>
      <c r="C1038" s="189"/>
      <c r="D1038" s="249"/>
      <c r="E1038" s="229"/>
      <c r="F1038" s="187"/>
    </row>
    <row r="1039" spans="1:6" x14ac:dyDescent="0.2">
      <c r="A1039" s="275"/>
      <c r="B1039" s="78"/>
      <c r="C1039" s="189"/>
      <c r="D1039" s="249"/>
      <c r="E1039" s="229"/>
      <c r="F1039" s="187"/>
    </row>
    <row r="1040" spans="1:6" x14ac:dyDescent="0.2">
      <c r="A1040" s="275"/>
      <c r="B1040" s="78"/>
      <c r="C1040" s="189"/>
      <c r="D1040" s="249"/>
      <c r="E1040" s="229"/>
      <c r="F1040" s="187"/>
    </row>
    <row r="1041" spans="1:6" x14ac:dyDescent="0.2">
      <c r="A1041" s="275"/>
      <c r="B1041" s="78"/>
      <c r="C1041" s="189"/>
      <c r="D1041" s="249"/>
      <c r="E1041" s="229"/>
      <c r="F1041" s="187"/>
    </row>
    <row r="1042" spans="1:6" x14ac:dyDescent="0.2">
      <c r="A1042" s="275"/>
      <c r="B1042" s="78"/>
      <c r="C1042" s="189"/>
      <c r="D1042" s="249"/>
      <c r="E1042" s="229"/>
      <c r="F1042" s="187"/>
    </row>
    <row r="1043" spans="1:6" x14ac:dyDescent="0.2">
      <c r="A1043" s="275"/>
      <c r="B1043" s="78"/>
      <c r="C1043" s="189"/>
      <c r="D1043" s="249"/>
      <c r="E1043" s="229"/>
      <c r="F1043" s="187"/>
    </row>
    <row r="1044" spans="1:6" x14ac:dyDescent="0.2">
      <c r="A1044" s="275"/>
      <c r="B1044" s="78"/>
      <c r="C1044" s="189"/>
      <c r="D1044" s="249"/>
      <c r="E1044" s="229"/>
      <c r="F1044" s="187"/>
    </row>
    <row r="1045" spans="1:6" x14ac:dyDescent="0.2">
      <c r="A1045" s="275"/>
      <c r="B1045" s="78"/>
      <c r="C1045" s="189"/>
      <c r="D1045" s="249"/>
      <c r="E1045" s="229"/>
      <c r="F1045" s="187"/>
    </row>
    <row r="1046" spans="1:6" x14ac:dyDescent="0.2">
      <c r="A1046" s="275"/>
      <c r="B1046" s="78"/>
      <c r="C1046" s="189"/>
      <c r="D1046" s="249"/>
      <c r="E1046" s="229"/>
      <c r="F1046" s="187"/>
    </row>
    <row r="1047" spans="1:6" x14ac:dyDescent="0.2">
      <c r="A1047" s="275"/>
      <c r="B1047" s="78"/>
      <c r="C1047" s="189"/>
      <c r="D1047" s="249"/>
      <c r="E1047" s="229"/>
      <c r="F1047" s="187"/>
    </row>
    <row r="1048" spans="1:6" x14ac:dyDescent="0.2">
      <c r="A1048" s="275"/>
      <c r="B1048" s="78"/>
      <c r="C1048" s="189"/>
      <c r="D1048" s="249"/>
      <c r="E1048" s="229"/>
      <c r="F1048" s="187"/>
    </row>
    <row r="1049" spans="1:6" x14ac:dyDescent="0.2">
      <c r="A1049" s="275"/>
      <c r="B1049" s="78"/>
      <c r="C1049" s="189"/>
      <c r="D1049" s="249"/>
      <c r="E1049" s="229"/>
      <c r="F1049" s="187"/>
    </row>
    <row r="1050" spans="1:6" x14ac:dyDescent="0.2">
      <c r="A1050" s="275"/>
      <c r="B1050" s="78"/>
      <c r="C1050" s="189"/>
      <c r="D1050" s="249"/>
      <c r="E1050" s="229"/>
      <c r="F1050" s="187"/>
    </row>
    <row r="1051" spans="1:6" x14ac:dyDescent="0.2">
      <c r="A1051" s="275"/>
      <c r="B1051" s="78"/>
      <c r="C1051" s="189"/>
      <c r="D1051" s="249"/>
      <c r="E1051" s="229"/>
      <c r="F1051" s="187"/>
    </row>
    <row r="1052" spans="1:6" x14ac:dyDescent="0.2">
      <c r="A1052" s="275"/>
      <c r="B1052" s="78"/>
      <c r="C1052" s="189"/>
      <c r="D1052" s="249"/>
      <c r="E1052" s="229"/>
      <c r="F1052" s="187"/>
    </row>
    <row r="1053" spans="1:6" x14ac:dyDescent="0.2">
      <c r="A1053" s="275"/>
      <c r="B1053" s="78"/>
      <c r="C1053" s="189"/>
      <c r="D1053" s="249"/>
      <c r="E1053" s="229"/>
      <c r="F1053" s="187"/>
    </row>
    <row r="1054" spans="1:6" x14ac:dyDescent="0.2">
      <c r="A1054" s="275"/>
      <c r="B1054" s="78"/>
      <c r="C1054" s="189"/>
      <c r="D1054" s="249"/>
      <c r="E1054" s="229"/>
      <c r="F1054" s="187"/>
    </row>
    <row r="1055" spans="1:6" x14ac:dyDescent="0.2">
      <c r="A1055" s="275"/>
      <c r="B1055" s="78"/>
      <c r="C1055" s="189"/>
      <c r="D1055" s="249"/>
      <c r="E1055" s="229"/>
      <c r="F1055" s="187"/>
    </row>
    <row r="1056" spans="1:6" x14ac:dyDescent="0.2">
      <c r="A1056" s="275"/>
      <c r="B1056" s="78"/>
      <c r="C1056" s="189"/>
      <c r="D1056" s="249"/>
      <c r="E1056" s="229"/>
      <c r="F1056" s="187"/>
    </row>
    <row r="1057" spans="1:6" x14ac:dyDescent="0.2">
      <c r="A1057" s="275"/>
      <c r="B1057" s="78"/>
      <c r="C1057" s="189"/>
      <c r="D1057" s="249"/>
      <c r="E1057" s="229"/>
      <c r="F1057" s="187"/>
    </row>
    <row r="1058" spans="1:6" x14ac:dyDescent="0.2">
      <c r="A1058" s="275"/>
      <c r="B1058" s="78"/>
      <c r="C1058" s="189"/>
      <c r="D1058" s="249"/>
      <c r="E1058" s="229"/>
      <c r="F1058" s="187"/>
    </row>
    <row r="1059" spans="1:6" x14ac:dyDescent="0.2">
      <c r="A1059" s="275"/>
      <c r="B1059" s="78"/>
      <c r="C1059" s="189"/>
      <c r="D1059" s="249"/>
      <c r="E1059" s="229"/>
      <c r="F1059" s="187"/>
    </row>
    <row r="1060" spans="1:6" x14ac:dyDescent="0.2">
      <c r="A1060" s="275"/>
      <c r="B1060" s="78"/>
      <c r="C1060" s="189"/>
      <c r="D1060" s="249"/>
      <c r="E1060" s="229"/>
      <c r="F1060" s="187"/>
    </row>
    <row r="1061" spans="1:6" x14ac:dyDescent="0.2">
      <c r="A1061" s="275"/>
      <c r="B1061" s="78"/>
      <c r="C1061" s="189"/>
      <c r="D1061" s="249"/>
      <c r="E1061" s="229"/>
      <c r="F1061" s="187"/>
    </row>
    <row r="1062" spans="1:6" x14ac:dyDescent="0.2">
      <c r="A1062" s="275"/>
      <c r="B1062" s="78"/>
      <c r="C1062" s="189"/>
      <c r="D1062" s="249"/>
      <c r="E1062" s="229"/>
      <c r="F1062" s="187"/>
    </row>
    <row r="1063" spans="1:6" x14ac:dyDescent="0.2">
      <c r="A1063" s="275"/>
      <c r="B1063" s="78"/>
      <c r="C1063" s="189"/>
      <c r="D1063" s="249"/>
      <c r="E1063" s="229"/>
      <c r="F1063" s="187"/>
    </row>
    <row r="1064" spans="1:6" x14ac:dyDescent="0.2">
      <c r="A1064" s="275"/>
      <c r="B1064" s="78"/>
      <c r="C1064" s="189"/>
      <c r="D1064" s="249"/>
      <c r="E1064" s="229"/>
      <c r="F1064" s="187"/>
    </row>
    <row r="1065" spans="1:6" x14ac:dyDescent="0.2">
      <c r="A1065" s="275"/>
      <c r="B1065" s="78"/>
      <c r="C1065" s="189"/>
      <c r="D1065" s="249"/>
      <c r="E1065" s="229"/>
      <c r="F1065" s="187"/>
    </row>
    <row r="1066" spans="1:6" x14ac:dyDescent="0.2">
      <c r="A1066" s="275"/>
      <c r="B1066" s="78"/>
      <c r="C1066" s="189"/>
      <c r="D1066" s="249"/>
      <c r="E1066" s="229"/>
      <c r="F1066" s="187"/>
    </row>
    <row r="1067" spans="1:6" x14ac:dyDescent="0.2">
      <c r="A1067" s="275"/>
      <c r="B1067" s="78"/>
      <c r="C1067" s="189"/>
      <c r="D1067" s="249"/>
      <c r="E1067" s="229"/>
      <c r="F1067" s="187"/>
    </row>
    <row r="1068" spans="1:6" x14ac:dyDescent="0.2">
      <c r="A1068" s="275"/>
      <c r="B1068" s="78"/>
      <c r="C1068" s="189"/>
      <c r="D1068" s="249"/>
      <c r="E1068" s="229"/>
      <c r="F1068" s="187"/>
    </row>
    <row r="1069" spans="1:6" x14ac:dyDescent="0.2">
      <c r="A1069" s="275"/>
      <c r="B1069" s="78"/>
      <c r="C1069" s="189"/>
      <c r="D1069" s="249"/>
      <c r="E1069" s="229"/>
      <c r="F1069" s="187"/>
    </row>
    <row r="1070" spans="1:6" x14ac:dyDescent="0.2">
      <c r="A1070" s="275"/>
      <c r="B1070" s="78"/>
      <c r="C1070" s="189"/>
      <c r="D1070" s="249"/>
      <c r="E1070" s="229"/>
      <c r="F1070" s="187"/>
    </row>
    <row r="1071" spans="1:6" x14ac:dyDescent="0.2">
      <c r="A1071" s="275"/>
      <c r="B1071" s="78"/>
      <c r="C1071" s="189"/>
      <c r="D1071" s="249"/>
      <c r="E1071" s="229"/>
      <c r="F1071" s="187"/>
    </row>
    <row r="1072" spans="1:6" x14ac:dyDescent="0.2">
      <c r="A1072" s="275"/>
      <c r="B1072" s="78"/>
      <c r="C1072" s="189"/>
      <c r="D1072" s="249"/>
      <c r="E1072" s="229"/>
      <c r="F1072" s="187"/>
    </row>
    <row r="1073" spans="1:6" x14ac:dyDescent="0.2">
      <c r="A1073" s="275"/>
      <c r="B1073" s="78"/>
      <c r="C1073" s="189"/>
      <c r="D1073" s="249"/>
      <c r="E1073" s="229"/>
      <c r="F1073" s="187"/>
    </row>
    <row r="1074" spans="1:6" x14ac:dyDescent="0.2">
      <c r="A1074" s="275"/>
      <c r="B1074" s="78"/>
      <c r="C1074" s="189"/>
      <c r="D1074" s="249"/>
      <c r="E1074" s="229"/>
      <c r="F1074" s="187"/>
    </row>
    <row r="1075" spans="1:6" x14ac:dyDescent="0.2">
      <c r="A1075" s="275"/>
      <c r="B1075" s="78"/>
      <c r="C1075" s="189"/>
      <c r="D1075" s="249"/>
      <c r="E1075" s="229"/>
      <c r="F1075" s="187"/>
    </row>
    <row r="1076" spans="1:6" x14ac:dyDescent="0.2">
      <c r="A1076" s="275"/>
      <c r="B1076" s="78"/>
      <c r="C1076" s="189"/>
      <c r="D1076" s="249"/>
      <c r="E1076" s="229"/>
      <c r="F1076" s="187"/>
    </row>
    <row r="1077" spans="1:6" x14ac:dyDescent="0.2">
      <c r="A1077" s="275"/>
      <c r="B1077" s="78"/>
      <c r="C1077" s="189"/>
      <c r="D1077" s="249"/>
      <c r="E1077" s="229"/>
      <c r="F1077" s="187"/>
    </row>
    <row r="1078" spans="1:6" x14ac:dyDescent="0.2">
      <c r="A1078" s="275"/>
      <c r="B1078" s="78"/>
      <c r="C1078" s="189"/>
      <c r="D1078" s="249"/>
      <c r="E1078" s="229"/>
      <c r="F1078" s="187"/>
    </row>
    <row r="1079" spans="1:6" x14ac:dyDescent="0.2">
      <c r="A1079" s="275"/>
      <c r="B1079" s="78"/>
      <c r="C1079" s="189"/>
      <c r="D1079" s="249"/>
      <c r="E1079" s="229"/>
      <c r="F1079" s="187"/>
    </row>
    <row r="1080" spans="1:6" x14ac:dyDescent="0.2">
      <c r="A1080" s="275"/>
      <c r="B1080" s="78"/>
      <c r="C1080" s="189"/>
      <c r="D1080" s="249"/>
      <c r="E1080" s="229"/>
      <c r="F1080" s="187"/>
    </row>
    <row r="1081" spans="1:6" x14ac:dyDescent="0.2">
      <c r="A1081" s="275"/>
      <c r="B1081" s="78"/>
      <c r="C1081" s="189"/>
      <c r="D1081" s="249"/>
      <c r="E1081" s="229"/>
      <c r="F1081" s="187"/>
    </row>
    <row r="1082" spans="1:6" x14ac:dyDescent="0.2">
      <c r="A1082" s="275"/>
      <c r="B1082" s="78"/>
      <c r="C1082" s="189"/>
      <c r="D1082" s="249"/>
      <c r="E1082" s="229"/>
      <c r="F1082" s="187"/>
    </row>
    <row r="1083" spans="1:6" x14ac:dyDescent="0.2">
      <c r="A1083" s="275"/>
      <c r="B1083" s="78"/>
      <c r="C1083" s="189"/>
      <c r="D1083" s="249"/>
      <c r="E1083" s="229"/>
      <c r="F1083" s="187"/>
    </row>
    <row r="1084" spans="1:6" x14ac:dyDescent="0.2">
      <c r="A1084" s="275"/>
      <c r="B1084" s="78"/>
      <c r="C1084" s="189"/>
      <c r="D1084" s="249"/>
      <c r="E1084" s="229"/>
      <c r="F1084" s="187"/>
    </row>
    <row r="1085" spans="1:6" x14ac:dyDescent="0.2">
      <c r="A1085" s="275"/>
      <c r="B1085" s="78"/>
      <c r="C1085" s="189"/>
      <c r="D1085" s="249"/>
      <c r="E1085" s="229"/>
      <c r="F1085" s="187"/>
    </row>
    <row r="1086" spans="1:6" x14ac:dyDescent="0.2">
      <c r="A1086" s="275"/>
      <c r="B1086" s="78"/>
      <c r="C1086" s="189"/>
      <c r="D1086" s="249"/>
      <c r="E1086" s="229"/>
      <c r="F1086" s="187"/>
    </row>
    <row r="1087" spans="1:6" x14ac:dyDescent="0.2">
      <c r="A1087" s="275"/>
      <c r="B1087" s="78"/>
      <c r="C1087" s="189"/>
      <c r="D1087" s="249"/>
      <c r="E1087" s="229"/>
      <c r="F1087" s="187"/>
    </row>
    <row r="1088" spans="1:6" x14ac:dyDescent="0.2">
      <c r="A1088" s="275"/>
      <c r="B1088" s="78"/>
      <c r="C1088" s="189"/>
      <c r="D1088" s="249"/>
      <c r="E1088" s="229"/>
      <c r="F1088" s="187"/>
    </row>
    <row r="1089" spans="1:6" x14ac:dyDescent="0.2">
      <c r="A1089" s="275"/>
      <c r="B1089" s="78"/>
      <c r="C1089" s="189"/>
      <c r="D1089" s="249"/>
      <c r="E1089" s="229"/>
      <c r="F1089" s="187"/>
    </row>
    <row r="1090" spans="1:6" x14ac:dyDescent="0.2">
      <c r="A1090" s="275"/>
      <c r="B1090" s="78"/>
      <c r="C1090" s="189"/>
      <c r="D1090" s="249"/>
      <c r="E1090" s="229"/>
      <c r="F1090" s="187"/>
    </row>
    <row r="1091" spans="1:6" x14ac:dyDescent="0.2">
      <c r="A1091" s="275"/>
      <c r="B1091" s="78"/>
      <c r="C1091" s="189"/>
      <c r="D1091" s="249"/>
      <c r="E1091" s="229"/>
      <c r="F1091" s="187"/>
    </row>
    <row r="1092" spans="1:6" x14ac:dyDescent="0.2">
      <c r="A1092" s="275"/>
      <c r="B1092" s="78"/>
      <c r="C1092" s="189"/>
      <c r="D1092" s="249"/>
      <c r="E1092" s="229"/>
      <c r="F1092" s="187"/>
    </row>
    <row r="1093" spans="1:6" x14ac:dyDescent="0.2">
      <c r="A1093" s="275"/>
      <c r="B1093" s="78"/>
      <c r="C1093" s="189"/>
      <c r="D1093" s="249"/>
      <c r="E1093" s="229"/>
      <c r="F1093" s="187"/>
    </row>
    <row r="1094" spans="1:6" x14ac:dyDescent="0.2">
      <c r="A1094" s="275"/>
      <c r="B1094" s="78"/>
      <c r="C1094" s="189"/>
      <c r="D1094" s="249"/>
      <c r="E1094" s="229"/>
      <c r="F1094" s="187"/>
    </row>
    <row r="1095" spans="1:6" x14ac:dyDescent="0.2">
      <c r="A1095" s="275"/>
      <c r="B1095" s="78"/>
      <c r="C1095" s="189"/>
      <c r="D1095" s="249"/>
      <c r="E1095" s="229"/>
      <c r="F1095" s="187"/>
    </row>
    <row r="1096" spans="1:6" x14ac:dyDescent="0.2">
      <c r="A1096" s="275"/>
      <c r="B1096" s="78"/>
      <c r="C1096" s="189"/>
      <c r="D1096" s="249"/>
      <c r="E1096" s="229"/>
      <c r="F1096" s="187"/>
    </row>
    <row r="1097" spans="1:6" x14ac:dyDescent="0.2">
      <c r="A1097" s="275"/>
      <c r="B1097" s="78"/>
      <c r="C1097" s="189"/>
      <c r="D1097" s="249"/>
      <c r="E1097" s="229"/>
      <c r="F1097" s="187"/>
    </row>
    <row r="1098" spans="1:6" x14ac:dyDescent="0.2">
      <c r="A1098" s="275"/>
      <c r="B1098" s="78"/>
      <c r="C1098" s="189"/>
      <c r="D1098" s="249"/>
      <c r="E1098" s="229"/>
      <c r="F1098" s="187"/>
    </row>
    <row r="1099" spans="1:6" x14ac:dyDescent="0.2">
      <c r="A1099" s="275"/>
      <c r="B1099" s="78"/>
      <c r="C1099" s="189"/>
      <c r="D1099" s="249"/>
      <c r="E1099" s="229"/>
      <c r="F1099" s="187"/>
    </row>
    <row r="1100" spans="1:6" x14ac:dyDescent="0.2">
      <c r="A1100" s="275"/>
      <c r="B1100" s="78"/>
      <c r="C1100" s="189"/>
      <c r="D1100" s="249"/>
      <c r="E1100" s="229"/>
      <c r="F1100" s="187"/>
    </row>
    <row r="1101" spans="1:6" x14ac:dyDescent="0.2">
      <c r="A1101" s="275"/>
      <c r="B1101" s="78"/>
      <c r="C1101" s="189"/>
      <c r="D1101" s="249"/>
      <c r="E1101" s="229"/>
      <c r="F1101" s="187"/>
    </row>
    <row r="1102" spans="1:6" x14ac:dyDescent="0.2">
      <c r="A1102" s="275"/>
      <c r="B1102" s="78"/>
      <c r="C1102" s="189"/>
      <c r="D1102" s="249"/>
      <c r="E1102" s="229"/>
      <c r="F1102" s="187"/>
    </row>
    <row r="1103" spans="1:6" x14ac:dyDescent="0.2">
      <c r="A1103" s="275"/>
      <c r="B1103" s="78"/>
      <c r="C1103" s="189"/>
      <c r="D1103" s="249"/>
      <c r="E1103" s="229"/>
      <c r="F1103" s="187"/>
    </row>
    <row r="1104" spans="1:6" x14ac:dyDescent="0.2">
      <c r="A1104" s="275"/>
      <c r="B1104" s="78"/>
      <c r="C1104" s="189"/>
      <c r="D1104" s="249"/>
      <c r="E1104" s="229"/>
      <c r="F1104" s="187"/>
    </row>
    <row r="1105" spans="1:6" x14ac:dyDescent="0.2">
      <c r="A1105" s="275"/>
      <c r="B1105" s="78"/>
      <c r="C1105" s="189"/>
      <c r="D1105" s="249"/>
      <c r="E1105" s="229"/>
      <c r="F1105" s="187"/>
    </row>
    <row r="1106" spans="1:6" x14ac:dyDescent="0.2">
      <c r="A1106" s="275"/>
      <c r="B1106" s="78"/>
      <c r="C1106" s="189"/>
      <c r="D1106" s="249"/>
      <c r="E1106" s="229"/>
      <c r="F1106" s="187"/>
    </row>
    <row r="1107" spans="1:6" x14ac:dyDescent="0.2">
      <c r="A1107" s="275"/>
      <c r="B1107" s="78"/>
      <c r="C1107" s="189"/>
      <c r="D1107" s="249"/>
      <c r="E1107" s="229"/>
      <c r="F1107" s="187"/>
    </row>
    <row r="1108" spans="1:6" x14ac:dyDescent="0.2">
      <c r="A1108" s="275"/>
      <c r="B1108" s="78"/>
      <c r="C1108" s="189"/>
      <c r="D1108" s="249"/>
      <c r="E1108" s="229"/>
      <c r="F1108" s="187"/>
    </row>
    <row r="1109" spans="1:6" x14ac:dyDescent="0.2">
      <c r="A1109" s="275"/>
      <c r="B1109" s="78"/>
      <c r="C1109" s="189"/>
      <c r="D1109" s="249"/>
      <c r="E1109" s="229"/>
      <c r="F1109" s="187"/>
    </row>
    <row r="1110" spans="1:6" x14ac:dyDescent="0.2">
      <c r="A1110" s="275"/>
      <c r="B1110" s="78"/>
      <c r="C1110" s="189"/>
      <c r="D1110" s="249"/>
      <c r="E1110" s="229"/>
      <c r="F1110" s="187"/>
    </row>
    <row r="1111" spans="1:6" x14ac:dyDescent="0.2">
      <c r="A1111" s="275"/>
      <c r="B1111" s="78"/>
      <c r="C1111" s="189"/>
      <c r="D1111" s="249"/>
      <c r="E1111" s="229"/>
      <c r="F1111" s="187"/>
    </row>
    <row r="1112" spans="1:6" x14ac:dyDescent="0.2">
      <c r="A1112" s="275"/>
      <c r="B1112" s="78"/>
      <c r="C1112" s="189"/>
      <c r="D1112" s="249"/>
      <c r="E1112" s="229"/>
      <c r="F1112" s="187"/>
    </row>
    <row r="1113" spans="1:6" x14ac:dyDescent="0.2">
      <c r="A1113" s="275"/>
      <c r="B1113" s="78"/>
      <c r="C1113" s="189"/>
      <c r="D1113" s="249"/>
      <c r="E1113" s="229"/>
      <c r="F1113" s="187"/>
    </row>
    <row r="1114" spans="1:6" x14ac:dyDescent="0.2">
      <c r="A1114" s="275"/>
      <c r="B1114" s="78"/>
      <c r="C1114" s="189"/>
      <c r="D1114" s="249"/>
      <c r="E1114" s="229"/>
      <c r="F1114" s="187"/>
    </row>
    <row r="1115" spans="1:6" x14ac:dyDescent="0.2">
      <c r="A1115" s="275"/>
      <c r="B1115" s="78"/>
      <c r="C1115" s="189"/>
      <c r="D1115" s="249"/>
      <c r="E1115" s="229"/>
      <c r="F1115" s="187"/>
    </row>
    <row r="1116" spans="1:6" x14ac:dyDescent="0.2">
      <c r="A1116" s="275"/>
      <c r="B1116" s="78"/>
      <c r="C1116" s="189"/>
      <c r="D1116" s="249"/>
      <c r="E1116" s="229"/>
      <c r="F1116" s="187"/>
    </row>
    <row r="1117" spans="1:6" x14ac:dyDescent="0.2">
      <c r="A1117" s="275"/>
      <c r="B1117" s="78"/>
      <c r="C1117" s="189"/>
      <c r="D1117" s="249"/>
      <c r="E1117" s="229"/>
      <c r="F1117" s="187"/>
    </row>
    <row r="1118" spans="1:6" x14ac:dyDescent="0.2">
      <c r="A1118" s="275"/>
      <c r="B1118" s="78"/>
      <c r="C1118" s="189"/>
      <c r="D1118" s="249"/>
      <c r="E1118" s="229"/>
      <c r="F1118" s="187"/>
    </row>
    <row r="1119" spans="1:6" x14ac:dyDescent="0.2">
      <c r="A1119" s="275"/>
      <c r="B1119" s="78"/>
      <c r="C1119" s="189"/>
      <c r="D1119" s="249"/>
      <c r="E1119" s="229"/>
      <c r="F1119" s="187"/>
    </row>
    <row r="1120" spans="1:6" x14ac:dyDescent="0.2">
      <c r="A1120" s="275"/>
      <c r="B1120" s="78"/>
      <c r="C1120" s="189"/>
      <c r="D1120" s="249"/>
      <c r="E1120" s="229"/>
      <c r="F1120" s="187"/>
    </row>
    <row r="1121" spans="1:6" x14ac:dyDescent="0.2">
      <c r="A1121" s="275"/>
      <c r="B1121" s="78"/>
      <c r="C1121" s="189"/>
      <c r="D1121" s="249"/>
      <c r="E1121" s="229"/>
      <c r="F1121" s="187"/>
    </row>
    <row r="1122" spans="1:6" x14ac:dyDescent="0.2">
      <c r="A1122" s="275"/>
      <c r="B1122" s="78"/>
      <c r="C1122" s="189"/>
      <c r="D1122" s="249"/>
      <c r="E1122" s="229"/>
      <c r="F1122" s="187"/>
    </row>
    <row r="1123" spans="1:6" x14ac:dyDescent="0.2">
      <c r="A1123" s="275"/>
      <c r="B1123" s="78"/>
      <c r="C1123" s="189"/>
      <c r="D1123" s="249"/>
      <c r="E1123" s="229"/>
      <c r="F1123" s="187"/>
    </row>
    <row r="1124" spans="1:6" x14ac:dyDescent="0.2">
      <c r="A1124" s="275"/>
      <c r="B1124" s="78"/>
      <c r="C1124" s="189"/>
      <c r="D1124" s="249"/>
      <c r="E1124" s="229"/>
      <c r="F1124" s="187"/>
    </row>
    <row r="1125" spans="1:6" x14ac:dyDescent="0.2">
      <c r="A1125" s="275"/>
      <c r="B1125" s="78"/>
      <c r="C1125" s="189"/>
      <c r="D1125" s="249"/>
      <c r="E1125" s="229"/>
      <c r="F1125" s="187"/>
    </row>
    <row r="1126" spans="1:6" x14ac:dyDescent="0.2">
      <c r="A1126" s="275"/>
      <c r="B1126" s="78"/>
      <c r="C1126" s="189"/>
      <c r="D1126" s="249"/>
      <c r="E1126" s="229"/>
      <c r="F1126" s="187"/>
    </row>
    <row r="1127" spans="1:6" x14ac:dyDescent="0.2">
      <c r="A1127" s="275"/>
      <c r="B1127" s="78"/>
      <c r="C1127" s="189"/>
      <c r="D1127" s="249"/>
      <c r="E1127" s="229"/>
      <c r="F1127" s="187"/>
    </row>
    <row r="1128" spans="1:6" x14ac:dyDescent="0.2">
      <c r="A1128" s="275"/>
      <c r="B1128" s="78"/>
      <c r="C1128" s="189"/>
      <c r="D1128" s="249"/>
      <c r="E1128" s="229"/>
      <c r="F1128" s="187"/>
    </row>
    <row r="1129" spans="1:6" x14ac:dyDescent="0.2">
      <c r="A1129" s="275"/>
      <c r="B1129" s="78"/>
      <c r="C1129" s="189"/>
      <c r="D1129" s="249"/>
      <c r="E1129" s="229"/>
      <c r="F1129" s="187"/>
    </row>
    <row r="1130" spans="1:6" x14ac:dyDescent="0.2">
      <c r="A1130" s="275"/>
      <c r="B1130" s="78"/>
      <c r="C1130" s="189"/>
      <c r="D1130" s="249"/>
      <c r="E1130" s="229"/>
      <c r="F1130" s="187"/>
    </row>
    <row r="1131" spans="1:6" x14ac:dyDescent="0.2">
      <c r="A1131" s="275"/>
      <c r="B1131" s="78"/>
      <c r="C1131" s="189"/>
      <c r="D1131" s="249"/>
      <c r="E1131" s="229"/>
      <c r="F1131" s="187"/>
    </row>
    <row r="1132" spans="1:6" x14ac:dyDescent="0.2">
      <c r="A1132" s="275"/>
      <c r="B1132" s="78"/>
      <c r="C1132" s="189"/>
      <c r="D1132" s="249"/>
      <c r="E1132" s="229"/>
      <c r="F1132" s="187"/>
    </row>
    <row r="1133" spans="1:6" x14ac:dyDescent="0.2">
      <c r="A1133" s="275"/>
      <c r="B1133" s="78"/>
      <c r="C1133" s="189"/>
      <c r="D1133" s="249"/>
      <c r="E1133" s="229"/>
      <c r="F1133" s="187"/>
    </row>
    <row r="1134" spans="1:6" x14ac:dyDescent="0.2">
      <c r="A1134" s="275"/>
      <c r="B1134" s="78"/>
      <c r="C1134" s="189"/>
      <c r="D1134" s="249"/>
      <c r="E1134" s="229"/>
      <c r="F1134" s="187"/>
    </row>
    <row r="1135" spans="1:6" x14ac:dyDescent="0.2">
      <c r="A1135" s="275"/>
      <c r="B1135" s="78"/>
      <c r="C1135" s="189"/>
      <c r="D1135" s="249"/>
      <c r="E1135" s="229"/>
      <c r="F1135" s="187"/>
    </row>
    <row r="1136" spans="1:6" x14ac:dyDescent="0.2">
      <c r="A1136" s="275"/>
      <c r="B1136" s="78"/>
      <c r="C1136" s="189"/>
      <c r="D1136" s="249"/>
      <c r="E1136" s="229"/>
      <c r="F1136" s="187"/>
    </row>
    <row r="1137" spans="1:6" x14ac:dyDescent="0.2">
      <c r="A1137" s="275"/>
      <c r="B1137" s="78"/>
      <c r="C1137" s="189"/>
      <c r="D1137" s="249"/>
      <c r="E1137" s="229"/>
      <c r="F1137" s="187"/>
    </row>
    <row r="1138" spans="1:6" x14ac:dyDescent="0.2">
      <c r="A1138" s="275"/>
      <c r="B1138" s="78"/>
      <c r="C1138" s="189"/>
      <c r="D1138" s="249"/>
      <c r="E1138" s="229"/>
      <c r="F1138" s="187"/>
    </row>
    <row r="1139" spans="1:6" x14ac:dyDescent="0.2">
      <c r="A1139" s="275"/>
      <c r="B1139" s="78"/>
      <c r="C1139" s="189"/>
      <c r="D1139" s="249"/>
      <c r="E1139" s="229"/>
      <c r="F1139" s="187"/>
    </row>
    <row r="1140" spans="1:6" x14ac:dyDescent="0.2">
      <c r="A1140" s="275"/>
      <c r="B1140" s="78"/>
      <c r="C1140" s="189"/>
      <c r="D1140" s="249"/>
      <c r="E1140" s="229"/>
      <c r="F1140" s="187"/>
    </row>
    <row r="1141" spans="1:6" x14ac:dyDescent="0.2">
      <c r="A1141" s="275"/>
      <c r="B1141" s="78"/>
      <c r="C1141" s="189"/>
      <c r="D1141" s="249"/>
      <c r="E1141" s="229"/>
      <c r="F1141" s="187"/>
    </row>
    <row r="1142" spans="1:6" x14ac:dyDescent="0.2">
      <c r="A1142" s="275"/>
      <c r="B1142" s="78"/>
      <c r="C1142" s="189"/>
      <c r="D1142" s="249"/>
      <c r="E1142" s="229"/>
      <c r="F1142" s="187"/>
    </row>
    <row r="1143" spans="1:6" x14ac:dyDescent="0.2">
      <c r="A1143" s="275"/>
      <c r="B1143" s="78"/>
      <c r="C1143" s="189"/>
      <c r="D1143" s="249"/>
      <c r="E1143" s="229"/>
      <c r="F1143" s="187"/>
    </row>
    <row r="1144" spans="1:6" x14ac:dyDescent="0.2">
      <c r="A1144" s="275"/>
      <c r="B1144" s="78"/>
      <c r="C1144" s="189"/>
      <c r="D1144" s="249"/>
      <c r="E1144" s="229"/>
      <c r="F1144" s="187"/>
    </row>
    <row r="1145" spans="1:6" x14ac:dyDescent="0.2">
      <c r="A1145" s="275"/>
      <c r="B1145" s="78"/>
      <c r="C1145" s="189"/>
      <c r="D1145" s="249"/>
      <c r="E1145" s="229"/>
      <c r="F1145" s="187"/>
    </row>
    <row r="1146" spans="1:6" x14ac:dyDescent="0.2">
      <c r="A1146" s="275"/>
      <c r="B1146" s="78"/>
      <c r="C1146" s="189"/>
      <c r="D1146" s="249"/>
      <c r="E1146" s="229"/>
      <c r="F1146" s="187"/>
    </row>
    <row r="1147" spans="1:6" x14ac:dyDescent="0.2">
      <c r="A1147" s="275"/>
      <c r="B1147" s="78"/>
      <c r="C1147" s="189"/>
      <c r="D1147" s="249"/>
      <c r="E1147" s="229"/>
      <c r="F1147" s="187"/>
    </row>
    <row r="1148" spans="1:6" x14ac:dyDescent="0.2">
      <c r="A1148" s="275"/>
      <c r="B1148" s="78"/>
      <c r="C1148" s="189"/>
      <c r="D1148" s="249"/>
      <c r="E1148" s="229"/>
      <c r="F1148" s="187"/>
    </row>
    <row r="1149" spans="1:6" x14ac:dyDescent="0.2">
      <c r="A1149" s="275"/>
      <c r="B1149" s="78"/>
      <c r="C1149" s="189"/>
      <c r="D1149" s="249"/>
      <c r="E1149" s="229"/>
      <c r="F1149" s="187"/>
    </row>
    <row r="1150" spans="1:6" x14ac:dyDescent="0.2">
      <c r="A1150" s="275"/>
      <c r="B1150" s="78"/>
      <c r="C1150" s="189"/>
      <c r="D1150" s="249"/>
      <c r="E1150" s="229"/>
      <c r="F1150" s="187"/>
    </row>
    <row r="1151" spans="1:6" x14ac:dyDescent="0.2">
      <c r="A1151" s="275"/>
      <c r="B1151" s="78"/>
      <c r="C1151" s="189"/>
      <c r="D1151" s="249"/>
      <c r="E1151" s="229"/>
      <c r="F1151" s="187"/>
    </row>
    <row r="1152" spans="1:6" x14ac:dyDescent="0.2">
      <c r="A1152" s="275"/>
      <c r="B1152" s="78"/>
      <c r="C1152" s="189"/>
      <c r="D1152" s="249"/>
      <c r="E1152" s="229"/>
      <c r="F1152" s="187"/>
    </row>
    <row r="1153" spans="1:6" x14ac:dyDescent="0.2">
      <c r="A1153" s="275"/>
      <c r="B1153" s="78"/>
      <c r="C1153" s="189"/>
      <c r="D1153" s="249"/>
      <c r="E1153" s="229"/>
      <c r="F1153" s="187"/>
    </row>
    <row r="1154" spans="1:6" x14ac:dyDescent="0.2">
      <c r="A1154" s="275"/>
      <c r="B1154" s="78"/>
      <c r="C1154" s="189"/>
      <c r="D1154" s="249"/>
      <c r="E1154" s="229"/>
      <c r="F1154" s="187"/>
    </row>
    <row r="1155" spans="1:6" x14ac:dyDescent="0.2">
      <c r="A1155" s="275"/>
      <c r="B1155" s="78"/>
      <c r="C1155" s="189"/>
      <c r="D1155" s="249"/>
      <c r="E1155" s="229"/>
      <c r="F1155" s="187"/>
    </row>
    <row r="1156" spans="1:6" x14ac:dyDescent="0.2">
      <c r="A1156" s="275"/>
      <c r="B1156" s="78"/>
      <c r="C1156" s="189"/>
      <c r="D1156" s="249"/>
      <c r="E1156" s="229"/>
      <c r="F1156" s="187"/>
    </row>
    <row r="1157" spans="1:6" x14ac:dyDescent="0.2">
      <c r="A1157" s="275"/>
      <c r="B1157" s="78"/>
      <c r="C1157" s="189"/>
      <c r="D1157" s="249"/>
      <c r="E1157" s="229"/>
      <c r="F1157" s="187"/>
    </row>
    <row r="1158" spans="1:6" x14ac:dyDescent="0.2">
      <c r="A1158" s="275"/>
      <c r="B1158" s="78"/>
      <c r="C1158" s="189"/>
      <c r="D1158" s="249"/>
      <c r="E1158" s="229"/>
      <c r="F1158" s="187"/>
    </row>
    <row r="1159" spans="1:6" x14ac:dyDescent="0.2">
      <c r="A1159" s="275"/>
      <c r="B1159" s="78"/>
      <c r="C1159" s="189"/>
      <c r="D1159" s="249"/>
      <c r="E1159" s="229"/>
      <c r="F1159" s="187"/>
    </row>
    <row r="1160" spans="1:6" x14ac:dyDescent="0.2">
      <c r="A1160" s="275"/>
      <c r="B1160" s="78"/>
      <c r="C1160" s="189"/>
      <c r="D1160" s="249"/>
      <c r="E1160" s="229"/>
      <c r="F1160" s="187"/>
    </row>
    <row r="1161" spans="1:6" x14ac:dyDescent="0.2">
      <c r="A1161" s="275"/>
      <c r="B1161" s="78"/>
      <c r="C1161" s="189"/>
      <c r="D1161" s="249"/>
      <c r="E1161" s="229"/>
      <c r="F1161" s="187"/>
    </row>
    <row r="1162" spans="1:6" x14ac:dyDescent="0.2">
      <c r="A1162" s="275"/>
      <c r="B1162" s="78"/>
      <c r="C1162" s="189"/>
      <c r="D1162" s="249"/>
      <c r="E1162" s="229"/>
      <c r="F1162" s="187"/>
    </row>
    <row r="1163" spans="1:6" x14ac:dyDescent="0.2">
      <c r="A1163" s="275"/>
      <c r="B1163" s="78"/>
      <c r="C1163" s="189"/>
      <c r="D1163" s="249"/>
      <c r="E1163" s="229"/>
      <c r="F1163" s="187"/>
    </row>
    <row r="1164" spans="1:6" x14ac:dyDescent="0.2">
      <c r="A1164" s="275"/>
      <c r="B1164" s="78"/>
      <c r="C1164" s="189"/>
      <c r="D1164" s="249"/>
      <c r="E1164" s="229"/>
      <c r="F1164" s="187"/>
    </row>
    <row r="1165" spans="1:6" x14ac:dyDescent="0.2">
      <c r="A1165" s="275"/>
      <c r="B1165" s="78"/>
      <c r="C1165" s="189"/>
      <c r="D1165" s="249"/>
      <c r="E1165" s="229"/>
      <c r="F1165" s="187"/>
    </row>
    <row r="1166" spans="1:6" x14ac:dyDescent="0.2">
      <c r="A1166" s="275"/>
      <c r="B1166" s="78"/>
      <c r="C1166" s="189"/>
      <c r="D1166" s="249"/>
      <c r="E1166" s="229"/>
      <c r="F1166" s="187"/>
    </row>
    <row r="1167" spans="1:6" x14ac:dyDescent="0.2">
      <c r="A1167" s="275"/>
      <c r="B1167" s="78"/>
      <c r="C1167" s="189"/>
      <c r="D1167" s="249"/>
      <c r="E1167" s="229"/>
      <c r="F1167" s="187"/>
    </row>
    <row r="1168" spans="1:6" x14ac:dyDescent="0.2">
      <c r="A1168" s="275"/>
      <c r="B1168" s="78"/>
      <c r="C1168" s="189"/>
      <c r="D1168" s="249"/>
      <c r="E1168" s="229"/>
      <c r="F1168" s="187"/>
    </row>
    <row r="1169" spans="1:6" x14ac:dyDescent="0.2">
      <c r="A1169" s="275"/>
      <c r="B1169" s="78"/>
      <c r="C1169" s="189"/>
      <c r="D1169" s="249"/>
      <c r="E1169" s="229"/>
      <c r="F1169" s="187"/>
    </row>
    <row r="1170" spans="1:6" x14ac:dyDescent="0.2">
      <c r="A1170" s="275"/>
      <c r="B1170" s="78"/>
      <c r="C1170" s="189"/>
      <c r="D1170" s="249"/>
      <c r="E1170" s="229"/>
      <c r="F1170" s="187"/>
    </row>
    <row r="1171" spans="1:6" x14ac:dyDescent="0.2">
      <c r="A1171" s="275"/>
      <c r="B1171" s="78"/>
      <c r="C1171" s="189"/>
      <c r="D1171" s="249"/>
      <c r="E1171" s="229"/>
      <c r="F1171" s="187"/>
    </row>
    <row r="1172" spans="1:6" x14ac:dyDescent="0.2">
      <c r="A1172" s="275"/>
      <c r="B1172" s="78"/>
      <c r="C1172" s="189"/>
      <c r="D1172" s="249"/>
      <c r="E1172" s="229"/>
      <c r="F1172" s="187"/>
    </row>
    <row r="1173" spans="1:6" x14ac:dyDescent="0.2">
      <c r="A1173" s="275"/>
      <c r="B1173" s="78"/>
      <c r="C1173" s="189"/>
      <c r="D1173" s="249"/>
      <c r="E1173" s="229"/>
      <c r="F1173" s="187"/>
    </row>
    <row r="1174" spans="1:6" x14ac:dyDescent="0.2">
      <c r="A1174" s="275"/>
      <c r="B1174" s="78"/>
      <c r="C1174" s="189"/>
      <c r="D1174" s="249"/>
      <c r="E1174" s="229"/>
      <c r="F1174" s="187"/>
    </row>
    <row r="1175" spans="1:6" x14ac:dyDescent="0.2">
      <c r="A1175" s="275"/>
      <c r="B1175" s="78"/>
      <c r="C1175" s="189"/>
      <c r="D1175" s="249"/>
      <c r="E1175" s="229"/>
      <c r="F1175" s="187"/>
    </row>
    <row r="1176" spans="1:6" x14ac:dyDescent="0.2">
      <c r="A1176" s="275"/>
      <c r="B1176" s="78"/>
      <c r="C1176" s="189"/>
      <c r="D1176" s="249"/>
      <c r="E1176" s="229"/>
      <c r="F1176" s="187"/>
    </row>
    <row r="1177" spans="1:6" x14ac:dyDescent="0.2">
      <c r="A1177" s="275"/>
      <c r="B1177" s="78"/>
      <c r="C1177" s="189"/>
      <c r="D1177" s="249"/>
      <c r="E1177" s="229"/>
      <c r="F1177" s="187"/>
    </row>
    <row r="1178" spans="1:6" x14ac:dyDescent="0.2">
      <c r="A1178" s="275"/>
      <c r="B1178" s="78"/>
      <c r="C1178" s="189"/>
      <c r="D1178" s="249"/>
      <c r="E1178" s="229"/>
      <c r="F1178" s="187"/>
    </row>
    <row r="1179" spans="1:6" x14ac:dyDescent="0.2">
      <c r="A1179" s="275"/>
      <c r="B1179" s="78"/>
      <c r="C1179" s="189"/>
      <c r="D1179" s="249"/>
      <c r="E1179" s="229"/>
      <c r="F1179" s="187"/>
    </row>
    <row r="1180" spans="1:6" x14ac:dyDescent="0.2">
      <c r="A1180" s="275"/>
      <c r="B1180" s="78"/>
      <c r="C1180" s="189"/>
      <c r="D1180" s="249"/>
      <c r="E1180" s="229"/>
      <c r="F1180" s="187"/>
    </row>
    <row r="1181" spans="1:6" x14ac:dyDescent="0.2">
      <c r="A1181" s="275"/>
      <c r="B1181" s="78"/>
      <c r="C1181" s="189"/>
      <c r="D1181" s="249"/>
      <c r="E1181" s="229"/>
      <c r="F1181" s="187"/>
    </row>
    <row r="1182" spans="1:6" x14ac:dyDescent="0.2">
      <c r="A1182" s="275"/>
      <c r="B1182" s="78"/>
      <c r="C1182" s="189"/>
      <c r="D1182" s="249"/>
      <c r="E1182" s="229"/>
      <c r="F1182" s="187"/>
    </row>
    <row r="1183" spans="1:6" x14ac:dyDescent="0.2">
      <c r="A1183" s="275"/>
      <c r="B1183" s="78"/>
      <c r="C1183" s="189"/>
      <c r="D1183" s="249"/>
      <c r="E1183" s="229"/>
      <c r="F1183" s="187"/>
    </row>
    <row r="1184" spans="1:6" x14ac:dyDescent="0.2">
      <c r="A1184" s="275"/>
      <c r="B1184" s="78"/>
      <c r="C1184" s="189"/>
      <c r="D1184" s="249"/>
      <c r="E1184" s="229"/>
      <c r="F1184" s="187"/>
    </row>
    <row r="1185" spans="1:6" x14ac:dyDescent="0.2">
      <c r="A1185" s="275"/>
      <c r="B1185" s="78"/>
      <c r="C1185" s="189"/>
      <c r="D1185" s="249"/>
      <c r="E1185" s="229"/>
      <c r="F1185" s="187"/>
    </row>
    <row r="1186" spans="1:6" x14ac:dyDescent="0.2">
      <c r="A1186" s="275"/>
      <c r="B1186" s="78"/>
      <c r="C1186" s="189"/>
      <c r="D1186" s="249"/>
      <c r="E1186" s="229"/>
      <c r="F1186" s="187"/>
    </row>
    <row r="1187" spans="1:6" x14ac:dyDescent="0.2">
      <c r="A1187" s="275"/>
      <c r="B1187" s="78"/>
      <c r="C1187" s="189"/>
      <c r="D1187" s="249"/>
      <c r="E1187" s="229"/>
      <c r="F1187" s="187"/>
    </row>
    <row r="1188" spans="1:6" x14ac:dyDescent="0.2">
      <c r="A1188" s="275"/>
      <c r="B1188" s="78"/>
      <c r="C1188" s="189"/>
      <c r="D1188" s="249"/>
      <c r="E1188" s="229"/>
      <c r="F1188" s="187"/>
    </row>
    <row r="1189" spans="1:6" x14ac:dyDescent="0.2">
      <c r="A1189" s="275"/>
      <c r="B1189" s="78"/>
      <c r="C1189" s="189"/>
      <c r="D1189" s="249"/>
      <c r="E1189" s="229"/>
      <c r="F1189" s="187"/>
    </row>
    <row r="1190" spans="1:6" x14ac:dyDescent="0.2">
      <c r="A1190" s="275"/>
      <c r="B1190" s="78"/>
      <c r="C1190" s="189"/>
      <c r="D1190" s="249"/>
      <c r="E1190" s="229"/>
      <c r="F1190" s="187"/>
    </row>
    <row r="1191" spans="1:6" x14ac:dyDescent="0.2">
      <c r="A1191" s="275"/>
      <c r="B1191" s="78"/>
      <c r="C1191" s="189"/>
      <c r="D1191" s="249"/>
      <c r="E1191" s="229"/>
      <c r="F1191" s="187"/>
    </row>
    <row r="1192" spans="1:6" x14ac:dyDescent="0.2">
      <c r="A1192" s="275"/>
      <c r="B1192" s="78"/>
      <c r="C1192" s="189"/>
      <c r="D1192" s="249"/>
      <c r="E1192" s="229"/>
      <c r="F1192" s="187"/>
    </row>
    <row r="1193" spans="1:6" x14ac:dyDescent="0.2">
      <c r="A1193" s="275"/>
      <c r="B1193" s="78"/>
      <c r="C1193" s="189"/>
      <c r="D1193" s="249"/>
      <c r="E1193" s="229"/>
      <c r="F1193" s="187"/>
    </row>
    <row r="1194" spans="1:6" x14ac:dyDescent="0.2">
      <c r="A1194" s="275"/>
      <c r="B1194" s="78"/>
      <c r="C1194" s="189"/>
      <c r="D1194" s="249"/>
      <c r="E1194" s="229"/>
      <c r="F1194" s="187"/>
    </row>
    <row r="1195" spans="1:6" x14ac:dyDescent="0.2">
      <c r="A1195" s="275"/>
      <c r="B1195" s="78"/>
      <c r="C1195" s="189"/>
      <c r="D1195" s="249"/>
      <c r="E1195" s="229"/>
      <c r="F1195" s="187"/>
    </row>
    <row r="1196" spans="1:6" x14ac:dyDescent="0.2">
      <c r="A1196" s="275"/>
      <c r="B1196" s="78"/>
      <c r="C1196" s="189"/>
      <c r="D1196" s="249"/>
      <c r="E1196" s="229"/>
      <c r="F1196" s="187"/>
    </row>
    <row r="1197" spans="1:6" x14ac:dyDescent="0.2">
      <c r="A1197" s="275"/>
      <c r="B1197" s="78"/>
      <c r="C1197" s="189"/>
      <c r="D1197" s="249"/>
      <c r="E1197" s="229"/>
      <c r="F1197" s="187"/>
    </row>
    <row r="1198" spans="1:6" x14ac:dyDescent="0.2">
      <c r="A1198" s="275"/>
      <c r="B1198" s="78"/>
      <c r="C1198" s="189"/>
      <c r="D1198" s="249"/>
      <c r="E1198" s="229"/>
      <c r="F1198" s="187"/>
    </row>
    <row r="1199" spans="1:6" x14ac:dyDescent="0.2">
      <c r="A1199" s="275"/>
      <c r="B1199" s="78"/>
      <c r="C1199" s="189"/>
      <c r="D1199" s="249"/>
      <c r="E1199" s="229"/>
      <c r="F1199" s="187"/>
    </row>
    <row r="1200" spans="1:6" x14ac:dyDescent="0.2">
      <c r="A1200" s="275"/>
      <c r="B1200" s="78"/>
      <c r="C1200" s="189"/>
      <c r="D1200" s="249"/>
      <c r="E1200" s="229"/>
      <c r="F1200" s="187"/>
    </row>
    <row r="1201" spans="1:6" x14ac:dyDescent="0.2">
      <c r="A1201" s="275"/>
      <c r="B1201" s="78"/>
      <c r="C1201" s="189"/>
      <c r="D1201" s="249"/>
      <c r="E1201" s="229"/>
      <c r="F1201" s="187"/>
    </row>
    <row r="1202" spans="1:6" x14ac:dyDescent="0.2">
      <c r="A1202" s="275"/>
      <c r="B1202" s="78"/>
      <c r="C1202" s="189"/>
      <c r="D1202" s="249"/>
      <c r="E1202" s="229"/>
      <c r="F1202" s="187"/>
    </row>
    <row r="1203" spans="1:6" x14ac:dyDescent="0.2">
      <c r="A1203" s="275"/>
      <c r="B1203" s="78"/>
      <c r="C1203" s="189"/>
      <c r="D1203" s="249"/>
      <c r="E1203" s="229"/>
      <c r="F1203" s="187"/>
    </row>
    <row r="1204" spans="1:6" x14ac:dyDescent="0.2">
      <c r="A1204" s="275"/>
      <c r="B1204" s="78"/>
      <c r="C1204" s="189"/>
      <c r="D1204" s="249"/>
      <c r="E1204" s="229"/>
      <c r="F1204" s="187"/>
    </row>
    <row r="1205" spans="1:6" x14ac:dyDescent="0.2">
      <c r="A1205" s="275"/>
      <c r="B1205" s="78"/>
      <c r="C1205" s="189"/>
      <c r="D1205" s="249"/>
      <c r="E1205" s="229"/>
      <c r="F1205" s="187"/>
    </row>
    <row r="1206" spans="1:6" x14ac:dyDescent="0.2">
      <c r="A1206" s="275"/>
      <c r="B1206" s="78"/>
      <c r="C1206" s="189"/>
      <c r="D1206" s="249"/>
      <c r="E1206" s="229"/>
      <c r="F1206" s="187"/>
    </row>
    <row r="1207" spans="1:6" x14ac:dyDescent="0.2">
      <c r="A1207" s="275"/>
      <c r="B1207" s="78"/>
      <c r="C1207" s="189"/>
      <c r="D1207" s="249"/>
      <c r="E1207" s="229"/>
      <c r="F1207" s="187"/>
    </row>
    <row r="1208" spans="1:6" x14ac:dyDescent="0.2">
      <c r="A1208" s="275"/>
      <c r="B1208" s="78"/>
      <c r="C1208" s="189"/>
      <c r="D1208" s="249"/>
      <c r="E1208" s="229"/>
      <c r="F1208" s="187"/>
    </row>
    <row r="1209" spans="1:6" x14ac:dyDescent="0.2">
      <c r="A1209" s="275"/>
      <c r="B1209" s="78"/>
      <c r="C1209" s="189"/>
      <c r="D1209" s="249"/>
      <c r="E1209" s="229"/>
      <c r="F1209" s="187"/>
    </row>
    <row r="1210" spans="1:6" x14ac:dyDescent="0.2">
      <c r="A1210" s="275"/>
      <c r="B1210" s="78"/>
      <c r="C1210" s="189"/>
      <c r="D1210" s="249"/>
      <c r="E1210" s="229"/>
      <c r="F1210" s="187"/>
    </row>
    <row r="1211" spans="1:6" x14ac:dyDescent="0.2">
      <c r="A1211" s="275"/>
      <c r="B1211" s="78"/>
      <c r="C1211" s="189"/>
      <c r="D1211" s="249"/>
      <c r="E1211" s="229"/>
      <c r="F1211" s="187"/>
    </row>
    <row r="1212" spans="1:6" x14ac:dyDescent="0.2">
      <c r="A1212" s="275"/>
      <c r="B1212" s="78"/>
      <c r="C1212" s="189"/>
      <c r="D1212" s="249"/>
      <c r="E1212" s="229"/>
      <c r="F1212" s="187"/>
    </row>
    <row r="1213" spans="1:6" x14ac:dyDescent="0.2">
      <c r="A1213" s="275"/>
      <c r="B1213" s="78"/>
      <c r="C1213" s="189"/>
      <c r="D1213" s="249"/>
      <c r="E1213" s="229"/>
      <c r="F1213" s="187"/>
    </row>
    <row r="1214" spans="1:6" x14ac:dyDescent="0.2">
      <c r="A1214" s="275"/>
      <c r="B1214" s="78"/>
      <c r="C1214" s="189"/>
      <c r="D1214" s="249"/>
      <c r="E1214" s="229"/>
      <c r="F1214" s="187"/>
    </row>
    <row r="1215" spans="1:6" x14ac:dyDescent="0.2">
      <c r="A1215" s="275"/>
      <c r="B1215" s="78"/>
      <c r="C1215" s="189"/>
      <c r="D1215" s="249"/>
      <c r="E1215" s="229"/>
      <c r="F1215" s="187"/>
    </row>
    <row r="1216" spans="1:6" x14ac:dyDescent="0.2">
      <c r="A1216" s="275"/>
      <c r="B1216" s="78"/>
      <c r="C1216" s="189"/>
      <c r="D1216" s="249"/>
      <c r="E1216" s="229"/>
      <c r="F1216" s="187"/>
    </row>
    <row r="1217" spans="1:6" x14ac:dyDescent="0.2">
      <c r="A1217" s="275"/>
      <c r="B1217" s="78"/>
      <c r="C1217" s="189"/>
      <c r="D1217" s="249"/>
      <c r="E1217" s="229"/>
      <c r="F1217" s="187"/>
    </row>
    <row r="1218" spans="1:6" x14ac:dyDescent="0.2">
      <c r="A1218" s="275"/>
      <c r="B1218" s="78"/>
      <c r="C1218" s="189"/>
      <c r="D1218" s="249"/>
      <c r="E1218" s="229"/>
      <c r="F1218" s="187"/>
    </row>
    <row r="1219" spans="1:6" x14ac:dyDescent="0.2">
      <c r="A1219" s="275"/>
      <c r="B1219" s="78"/>
      <c r="C1219" s="189"/>
      <c r="D1219" s="249"/>
      <c r="E1219" s="229"/>
      <c r="F1219" s="187"/>
    </row>
    <row r="1220" spans="1:6" x14ac:dyDescent="0.2">
      <c r="A1220" s="275"/>
      <c r="B1220" s="78"/>
      <c r="C1220" s="189"/>
      <c r="D1220" s="249"/>
      <c r="E1220" s="229"/>
      <c r="F1220" s="187"/>
    </row>
    <row r="1221" spans="1:6" x14ac:dyDescent="0.2">
      <c r="A1221" s="275"/>
      <c r="B1221" s="78"/>
      <c r="C1221" s="189"/>
      <c r="D1221" s="249"/>
      <c r="E1221" s="229"/>
      <c r="F1221" s="187"/>
    </row>
    <row r="1222" spans="1:6" x14ac:dyDescent="0.2">
      <c r="A1222" s="275"/>
      <c r="B1222" s="78"/>
      <c r="C1222" s="189"/>
      <c r="D1222" s="249"/>
      <c r="E1222" s="229"/>
      <c r="F1222" s="187"/>
    </row>
    <row r="1223" spans="1:6" x14ac:dyDescent="0.2">
      <c r="A1223" s="275"/>
      <c r="B1223" s="78"/>
      <c r="C1223" s="189"/>
      <c r="D1223" s="249"/>
      <c r="E1223" s="229"/>
      <c r="F1223" s="187"/>
    </row>
    <row r="1224" spans="1:6" x14ac:dyDescent="0.2">
      <c r="A1224" s="275"/>
      <c r="B1224" s="78"/>
      <c r="C1224" s="189"/>
      <c r="D1224" s="249"/>
      <c r="E1224" s="229"/>
      <c r="F1224" s="187"/>
    </row>
    <row r="1225" spans="1:6" x14ac:dyDescent="0.2">
      <c r="A1225" s="275"/>
      <c r="B1225" s="78"/>
      <c r="C1225" s="189"/>
      <c r="D1225" s="249"/>
      <c r="E1225" s="229"/>
      <c r="F1225" s="187"/>
    </row>
    <row r="1226" spans="1:6" x14ac:dyDescent="0.2">
      <c r="A1226" s="275"/>
      <c r="B1226" s="78"/>
      <c r="C1226" s="189"/>
      <c r="D1226" s="249"/>
      <c r="E1226" s="229"/>
      <c r="F1226" s="187"/>
    </row>
    <row r="1227" spans="1:6" x14ac:dyDescent="0.2">
      <c r="A1227" s="275"/>
      <c r="B1227" s="78"/>
      <c r="C1227" s="189"/>
      <c r="D1227" s="249"/>
      <c r="E1227" s="229"/>
      <c r="F1227" s="187"/>
    </row>
    <row r="1228" spans="1:6" x14ac:dyDescent="0.2">
      <c r="A1228" s="275"/>
      <c r="B1228" s="78"/>
      <c r="C1228" s="189"/>
      <c r="D1228" s="249"/>
      <c r="E1228" s="229"/>
      <c r="F1228" s="187"/>
    </row>
    <row r="1229" spans="1:6" x14ac:dyDescent="0.2">
      <c r="A1229" s="275"/>
      <c r="B1229" s="78"/>
      <c r="C1229" s="189"/>
      <c r="D1229" s="249"/>
      <c r="E1229" s="229"/>
      <c r="F1229" s="187"/>
    </row>
    <row r="1230" spans="1:6" x14ac:dyDescent="0.2">
      <c r="A1230" s="275"/>
      <c r="B1230" s="78"/>
      <c r="C1230" s="189"/>
      <c r="D1230" s="249"/>
      <c r="E1230" s="229"/>
      <c r="F1230" s="187"/>
    </row>
    <row r="1231" spans="1:6" x14ac:dyDescent="0.2">
      <c r="A1231" s="275"/>
      <c r="B1231" s="78"/>
      <c r="C1231" s="189"/>
      <c r="D1231" s="249"/>
      <c r="E1231" s="229"/>
      <c r="F1231" s="187"/>
    </row>
    <row r="1232" spans="1:6" x14ac:dyDescent="0.2">
      <c r="A1232" s="275"/>
      <c r="B1232" s="78"/>
      <c r="C1232" s="189"/>
      <c r="D1232" s="249"/>
      <c r="E1232" s="229"/>
      <c r="F1232" s="187"/>
    </row>
    <row r="1233" spans="1:6" x14ac:dyDescent="0.2">
      <c r="A1233" s="275"/>
      <c r="B1233" s="78"/>
      <c r="C1233" s="189"/>
      <c r="D1233" s="249"/>
      <c r="E1233" s="229"/>
      <c r="F1233" s="187"/>
    </row>
    <row r="1234" spans="1:6" x14ac:dyDescent="0.2">
      <c r="A1234" s="275"/>
      <c r="B1234" s="78"/>
      <c r="C1234" s="189"/>
      <c r="D1234" s="249"/>
      <c r="E1234" s="229"/>
      <c r="F1234" s="187"/>
    </row>
    <row r="1235" spans="1:6" x14ac:dyDescent="0.2">
      <c r="A1235" s="275"/>
      <c r="B1235" s="78"/>
      <c r="C1235" s="189"/>
      <c r="D1235" s="249"/>
      <c r="E1235" s="229"/>
      <c r="F1235" s="187"/>
    </row>
    <row r="1236" spans="1:6" x14ac:dyDescent="0.2">
      <c r="A1236" s="275"/>
      <c r="B1236" s="78"/>
      <c r="C1236" s="189"/>
      <c r="D1236" s="249"/>
      <c r="E1236" s="229"/>
      <c r="F1236" s="187"/>
    </row>
    <row r="1237" spans="1:6" x14ac:dyDescent="0.2">
      <c r="A1237" s="275"/>
      <c r="B1237" s="78"/>
      <c r="C1237" s="189"/>
      <c r="D1237" s="249"/>
      <c r="E1237" s="229"/>
      <c r="F1237" s="187"/>
    </row>
    <row r="1238" spans="1:6" x14ac:dyDescent="0.2">
      <c r="A1238" s="275"/>
      <c r="B1238" s="78"/>
      <c r="C1238" s="189"/>
      <c r="D1238" s="249"/>
      <c r="E1238" s="229"/>
      <c r="F1238" s="187"/>
    </row>
    <row r="1239" spans="1:6" x14ac:dyDescent="0.2">
      <c r="A1239" s="275"/>
      <c r="B1239" s="78"/>
      <c r="C1239" s="189"/>
      <c r="D1239" s="249"/>
      <c r="E1239" s="229"/>
      <c r="F1239" s="187"/>
    </row>
    <row r="1240" spans="1:6" x14ac:dyDescent="0.2">
      <c r="A1240" s="275"/>
      <c r="B1240" s="78"/>
      <c r="C1240" s="189"/>
      <c r="D1240" s="249"/>
      <c r="E1240" s="229"/>
      <c r="F1240" s="187"/>
    </row>
    <row r="1241" spans="1:6" x14ac:dyDescent="0.2">
      <c r="A1241" s="275"/>
      <c r="B1241" s="78"/>
      <c r="C1241" s="189"/>
      <c r="D1241" s="249"/>
      <c r="E1241" s="229"/>
      <c r="F1241" s="187"/>
    </row>
    <row r="1242" spans="1:6" x14ac:dyDescent="0.2">
      <c r="A1242" s="275"/>
      <c r="B1242" s="78"/>
      <c r="C1242" s="189"/>
      <c r="D1242" s="249"/>
      <c r="E1242" s="229"/>
      <c r="F1242" s="187"/>
    </row>
    <row r="1243" spans="1:6" x14ac:dyDescent="0.2">
      <c r="A1243" s="275"/>
      <c r="B1243" s="78"/>
      <c r="C1243" s="189"/>
      <c r="D1243" s="249"/>
      <c r="E1243" s="229"/>
      <c r="F1243" s="187"/>
    </row>
    <row r="1244" spans="1:6" x14ac:dyDescent="0.2">
      <c r="A1244" s="275"/>
      <c r="B1244" s="78"/>
      <c r="C1244" s="189"/>
      <c r="D1244" s="249"/>
      <c r="E1244" s="229"/>
      <c r="F1244" s="187"/>
    </row>
    <row r="1245" spans="1:6" x14ac:dyDescent="0.2">
      <c r="A1245" s="275"/>
      <c r="B1245" s="78"/>
      <c r="C1245" s="189"/>
      <c r="D1245" s="249"/>
      <c r="E1245" s="229"/>
      <c r="F1245" s="187"/>
    </row>
    <row r="1246" spans="1:6" x14ac:dyDescent="0.2">
      <c r="A1246" s="275"/>
      <c r="B1246" s="78"/>
      <c r="C1246" s="189"/>
      <c r="D1246" s="249"/>
      <c r="E1246" s="229"/>
      <c r="F1246" s="187"/>
    </row>
    <row r="1247" spans="1:6" x14ac:dyDescent="0.2">
      <c r="A1247" s="275"/>
      <c r="B1247" s="78"/>
      <c r="C1247" s="189"/>
      <c r="D1247" s="249"/>
      <c r="E1247" s="229"/>
      <c r="F1247" s="187"/>
    </row>
    <row r="1248" spans="1:6" x14ac:dyDescent="0.2">
      <c r="A1248" s="275"/>
      <c r="B1248" s="78"/>
      <c r="C1248" s="189"/>
      <c r="D1248" s="249"/>
      <c r="E1248" s="229"/>
      <c r="F1248" s="187"/>
    </row>
    <row r="1249" spans="1:6" x14ac:dyDescent="0.2">
      <c r="A1249" s="275"/>
      <c r="B1249" s="78"/>
      <c r="C1249" s="189"/>
      <c r="D1249" s="249"/>
      <c r="E1249" s="229"/>
      <c r="F1249" s="187"/>
    </row>
    <row r="1250" spans="1:6" x14ac:dyDescent="0.2">
      <c r="A1250" s="275"/>
      <c r="B1250" s="78"/>
      <c r="C1250" s="189"/>
      <c r="D1250" s="249"/>
      <c r="E1250" s="229"/>
      <c r="F1250" s="187"/>
    </row>
    <row r="1251" spans="1:6" x14ac:dyDescent="0.2">
      <c r="A1251" s="275"/>
      <c r="B1251" s="78"/>
      <c r="C1251" s="189"/>
      <c r="D1251" s="249"/>
      <c r="E1251" s="229"/>
      <c r="F1251" s="187"/>
    </row>
    <row r="1252" spans="1:6" x14ac:dyDescent="0.2">
      <c r="A1252" s="275"/>
      <c r="B1252" s="78"/>
      <c r="C1252" s="189"/>
      <c r="D1252" s="249"/>
      <c r="E1252" s="229"/>
      <c r="F1252" s="187"/>
    </row>
    <row r="1253" spans="1:6" x14ac:dyDescent="0.2">
      <c r="A1253" s="275"/>
      <c r="B1253" s="78"/>
      <c r="C1253" s="189"/>
      <c r="D1253" s="249"/>
      <c r="E1253" s="229"/>
      <c r="F1253" s="187"/>
    </row>
    <row r="1254" spans="1:6" x14ac:dyDescent="0.2">
      <c r="A1254" s="275"/>
      <c r="B1254" s="78"/>
      <c r="C1254" s="189"/>
      <c r="D1254" s="249"/>
      <c r="E1254" s="229"/>
      <c r="F1254" s="187"/>
    </row>
    <row r="1255" spans="1:6" x14ac:dyDescent="0.2">
      <c r="A1255" s="275"/>
      <c r="B1255" s="78"/>
      <c r="C1255" s="189"/>
      <c r="D1255" s="249"/>
      <c r="E1255" s="229"/>
      <c r="F1255" s="187"/>
    </row>
    <row r="1256" spans="1:6" x14ac:dyDescent="0.2">
      <c r="A1256" s="275"/>
      <c r="B1256" s="78"/>
      <c r="C1256" s="189"/>
      <c r="D1256" s="249"/>
      <c r="E1256" s="229"/>
      <c r="F1256" s="187"/>
    </row>
    <row r="1257" spans="1:6" x14ac:dyDescent="0.2">
      <c r="A1257" s="275"/>
      <c r="B1257" s="78"/>
      <c r="C1257" s="189"/>
      <c r="D1257" s="249"/>
      <c r="E1257" s="229"/>
      <c r="F1257" s="187"/>
    </row>
    <row r="1258" spans="1:6" x14ac:dyDescent="0.2">
      <c r="A1258" s="275"/>
      <c r="B1258" s="78"/>
      <c r="C1258" s="189"/>
      <c r="D1258" s="249"/>
      <c r="E1258" s="229"/>
      <c r="F1258" s="187"/>
    </row>
    <row r="1259" spans="1:6" x14ac:dyDescent="0.2">
      <c r="A1259" s="275"/>
      <c r="B1259" s="78"/>
      <c r="C1259" s="189"/>
      <c r="D1259" s="249"/>
      <c r="E1259" s="229"/>
      <c r="F1259" s="187"/>
    </row>
    <row r="1260" spans="1:6" x14ac:dyDescent="0.2">
      <c r="A1260" s="275"/>
      <c r="B1260" s="78"/>
      <c r="C1260" s="189"/>
      <c r="D1260" s="249"/>
      <c r="E1260" s="229"/>
      <c r="F1260" s="187"/>
    </row>
    <row r="1261" spans="1:6" x14ac:dyDescent="0.2">
      <c r="A1261" s="275"/>
      <c r="B1261" s="78"/>
      <c r="C1261" s="189"/>
      <c r="D1261" s="249"/>
      <c r="E1261" s="229"/>
      <c r="F1261" s="187"/>
    </row>
    <row r="1262" spans="1:6" x14ac:dyDescent="0.2">
      <c r="A1262" s="275"/>
      <c r="B1262" s="78"/>
      <c r="C1262" s="189"/>
      <c r="D1262" s="249"/>
      <c r="E1262" s="229"/>
      <c r="F1262" s="187"/>
    </row>
    <row r="1263" spans="1:6" x14ac:dyDescent="0.2">
      <c r="A1263" s="275"/>
      <c r="B1263" s="78"/>
      <c r="C1263" s="189"/>
      <c r="D1263" s="249"/>
      <c r="E1263" s="229"/>
      <c r="F1263" s="187"/>
    </row>
    <row r="1264" spans="1:6" x14ac:dyDescent="0.2">
      <c r="A1264" s="275"/>
      <c r="B1264" s="78"/>
      <c r="C1264" s="189"/>
      <c r="D1264" s="249"/>
      <c r="E1264" s="229"/>
      <c r="F1264" s="187"/>
    </row>
    <row r="1265" spans="1:6" x14ac:dyDescent="0.2">
      <c r="A1265" s="275"/>
      <c r="B1265" s="78"/>
      <c r="C1265" s="189"/>
      <c r="D1265" s="249"/>
      <c r="E1265" s="229"/>
      <c r="F1265" s="187"/>
    </row>
    <row r="1266" spans="1:6" x14ac:dyDescent="0.2">
      <c r="A1266" s="275"/>
      <c r="B1266" s="78"/>
      <c r="C1266" s="189"/>
      <c r="D1266" s="249"/>
      <c r="E1266" s="229"/>
      <c r="F1266" s="187"/>
    </row>
    <row r="1267" spans="1:6" x14ac:dyDescent="0.2">
      <c r="A1267" s="275"/>
      <c r="B1267" s="78"/>
      <c r="C1267" s="189"/>
      <c r="D1267" s="249"/>
      <c r="E1267" s="229"/>
      <c r="F1267" s="187"/>
    </row>
    <row r="1268" spans="1:6" x14ac:dyDescent="0.2">
      <c r="A1268" s="275"/>
      <c r="B1268" s="78"/>
      <c r="C1268" s="189"/>
      <c r="D1268" s="249"/>
      <c r="E1268" s="229"/>
      <c r="F1268" s="187"/>
    </row>
    <row r="1269" spans="1:6" x14ac:dyDescent="0.2">
      <c r="A1269" s="275"/>
      <c r="B1269" s="78"/>
      <c r="C1269" s="189"/>
      <c r="D1269" s="249"/>
      <c r="E1269" s="229"/>
      <c r="F1269" s="187"/>
    </row>
    <row r="1270" spans="1:6" x14ac:dyDescent="0.2">
      <c r="A1270" s="275"/>
      <c r="B1270" s="78"/>
      <c r="C1270" s="189"/>
      <c r="D1270" s="249"/>
      <c r="E1270" s="229"/>
      <c r="F1270" s="187"/>
    </row>
    <row r="1271" spans="1:6" x14ac:dyDescent="0.2">
      <c r="A1271" s="275"/>
      <c r="B1271" s="78"/>
      <c r="C1271" s="189"/>
      <c r="D1271" s="249"/>
      <c r="E1271" s="229"/>
      <c r="F1271" s="187"/>
    </row>
    <row r="1272" spans="1:6" x14ac:dyDescent="0.2">
      <c r="A1272" s="275"/>
      <c r="B1272" s="78"/>
      <c r="C1272" s="189"/>
      <c r="D1272" s="249"/>
      <c r="E1272" s="229"/>
      <c r="F1272" s="187"/>
    </row>
    <row r="1273" spans="1:6" x14ac:dyDescent="0.2">
      <c r="A1273" s="275"/>
      <c r="B1273" s="78"/>
      <c r="C1273" s="189"/>
      <c r="D1273" s="249"/>
      <c r="E1273" s="229"/>
      <c r="F1273" s="187"/>
    </row>
    <row r="1274" spans="1:6" x14ac:dyDescent="0.2">
      <c r="A1274" s="275"/>
      <c r="B1274" s="78"/>
      <c r="C1274" s="189"/>
      <c r="D1274" s="249"/>
      <c r="E1274" s="229"/>
      <c r="F1274" s="187"/>
    </row>
    <row r="1275" spans="1:6" x14ac:dyDescent="0.2">
      <c r="A1275" s="275"/>
      <c r="B1275" s="78"/>
      <c r="C1275" s="189"/>
      <c r="D1275" s="249"/>
      <c r="E1275" s="229"/>
      <c r="F1275" s="187"/>
    </row>
    <row r="1276" spans="1:6" x14ac:dyDescent="0.2">
      <c r="A1276" s="275"/>
      <c r="B1276" s="78"/>
      <c r="C1276" s="189"/>
      <c r="D1276" s="249"/>
      <c r="E1276" s="229"/>
      <c r="F1276" s="187"/>
    </row>
    <row r="1277" spans="1:6" x14ac:dyDescent="0.2">
      <c r="A1277" s="275"/>
      <c r="B1277" s="78"/>
      <c r="C1277" s="189"/>
      <c r="D1277" s="249"/>
      <c r="E1277" s="229"/>
      <c r="F1277" s="187"/>
    </row>
    <row r="1278" spans="1:6" x14ac:dyDescent="0.2">
      <c r="A1278" s="275"/>
      <c r="B1278" s="78"/>
      <c r="C1278" s="189"/>
      <c r="D1278" s="249"/>
      <c r="E1278" s="229"/>
      <c r="F1278" s="187"/>
    </row>
    <row r="1279" spans="1:6" x14ac:dyDescent="0.2">
      <c r="A1279" s="275"/>
      <c r="B1279" s="78"/>
      <c r="C1279" s="189"/>
      <c r="D1279" s="249"/>
      <c r="E1279" s="229"/>
      <c r="F1279" s="187"/>
    </row>
    <row r="1280" spans="1:6" x14ac:dyDescent="0.2">
      <c r="A1280" s="275"/>
      <c r="B1280" s="78"/>
      <c r="C1280" s="189"/>
      <c r="D1280" s="249"/>
      <c r="E1280" s="229"/>
      <c r="F1280" s="187"/>
    </row>
    <row r="1281" spans="1:6" x14ac:dyDescent="0.2">
      <c r="A1281" s="275"/>
      <c r="B1281" s="78"/>
      <c r="C1281" s="189"/>
      <c r="D1281" s="249"/>
      <c r="E1281" s="229"/>
      <c r="F1281" s="187"/>
    </row>
    <row r="1282" spans="1:6" x14ac:dyDescent="0.2">
      <c r="A1282" s="275"/>
      <c r="B1282" s="78"/>
      <c r="C1282" s="189"/>
      <c r="D1282" s="249"/>
      <c r="E1282" s="229"/>
      <c r="F1282" s="187"/>
    </row>
    <row r="1283" spans="1:6" x14ac:dyDescent="0.2">
      <c r="A1283" s="275"/>
      <c r="B1283" s="78"/>
      <c r="C1283" s="189"/>
      <c r="D1283" s="249"/>
      <c r="E1283" s="229"/>
      <c r="F1283" s="187"/>
    </row>
    <row r="1284" spans="1:6" x14ac:dyDescent="0.2">
      <c r="A1284" s="275"/>
      <c r="B1284" s="78"/>
      <c r="C1284" s="189"/>
      <c r="D1284" s="249"/>
      <c r="E1284" s="229"/>
      <c r="F1284" s="187"/>
    </row>
    <row r="1285" spans="1:6" x14ac:dyDescent="0.2">
      <c r="A1285" s="275"/>
      <c r="B1285" s="78"/>
      <c r="C1285" s="189"/>
      <c r="D1285" s="249"/>
      <c r="E1285" s="229"/>
      <c r="F1285" s="187"/>
    </row>
    <row r="1286" spans="1:6" x14ac:dyDescent="0.2">
      <c r="A1286" s="275"/>
      <c r="B1286" s="78"/>
      <c r="C1286" s="189"/>
      <c r="D1286" s="249"/>
      <c r="E1286" s="229"/>
      <c r="F1286" s="187"/>
    </row>
    <row r="1287" spans="1:6" x14ac:dyDescent="0.2">
      <c r="A1287" s="275"/>
      <c r="B1287" s="78"/>
      <c r="C1287" s="189"/>
      <c r="D1287" s="249"/>
      <c r="E1287" s="229"/>
      <c r="F1287" s="187"/>
    </row>
    <row r="1288" spans="1:6" x14ac:dyDescent="0.2">
      <c r="A1288" s="275"/>
      <c r="B1288" s="78"/>
      <c r="C1288" s="189"/>
      <c r="D1288" s="249"/>
      <c r="E1288" s="229"/>
      <c r="F1288" s="187"/>
    </row>
    <row r="1289" spans="1:6" x14ac:dyDescent="0.2">
      <c r="A1289" s="275"/>
      <c r="B1289" s="78"/>
      <c r="C1289" s="189"/>
      <c r="D1289" s="249"/>
      <c r="E1289" s="229"/>
      <c r="F1289" s="187"/>
    </row>
    <row r="1290" spans="1:6" x14ac:dyDescent="0.2">
      <c r="A1290" s="275"/>
      <c r="B1290" s="78"/>
      <c r="C1290" s="189"/>
      <c r="D1290" s="249"/>
      <c r="E1290" s="229"/>
      <c r="F1290" s="187"/>
    </row>
    <row r="1291" spans="1:6" x14ac:dyDescent="0.2">
      <c r="A1291" s="275"/>
      <c r="B1291" s="78"/>
      <c r="C1291" s="189"/>
      <c r="D1291" s="249"/>
      <c r="E1291" s="229"/>
      <c r="F1291" s="187"/>
    </row>
    <row r="1292" spans="1:6" x14ac:dyDescent="0.2">
      <c r="A1292" s="275"/>
      <c r="B1292" s="78"/>
      <c r="C1292" s="189"/>
      <c r="D1292" s="249"/>
      <c r="E1292" s="229"/>
      <c r="F1292" s="187"/>
    </row>
    <row r="1293" spans="1:6" x14ac:dyDescent="0.2">
      <c r="A1293" s="275"/>
      <c r="B1293" s="78"/>
      <c r="C1293" s="189"/>
      <c r="D1293" s="249"/>
      <c r="E1293" s="229"/>
      <c r="F1293" s="187"/>
    </row>
    <row r="1294" spans="1:6" x14ac:dyDescent="0.2">
      <c r="A1294" s="275"/>
      <c r="B1294" s="78"/>
      <c r="C1294" s="189"/>
      <c r="D1294" s="249"/>
      <c r="E1294" s="229"/>
      <c r="F1294" s="187"/>
    </row>
    <row r="1295" spans="1:6" x14ac:dyDescent="0.2">
      <c r="A1295" s="275"/>
      <c r="B1295" s="78"/>
      <c r="C1295" s="189"/>
      <c r="D1295" s="249"/>
      <c r="E1295" s="229"/>
      <c r="F1295" s="187"/>
    </row>
    <row r="1296" spans="1:6" x14ac:dyDescent="0.2">
      <c r="A1296" s="275"/>
      <c r="B1296" s="78"/>
      <c r="C1296" s="189"/>
      <c r="D1296" s="249"/>
      <c r="E1296" s="229"/>
      <c r="F1296" s="187"/>
    </row>
    <row r="1297" spans="1:6" x14ac:dyDescent="0.2">
      <c r="A1297" s="275"/>
      <c r="B1297" s="78"/>
      <c r="C1297" s="189"/>
      <c r="D1297" s="249"/>
      <c r="E1297" s="229"/>
      <c r="F1297" s="187"/>
    </row>
    <row r="1298" spans="1:6" x14ac:dyDescent="0.2">
      <c r="A1298" s="275"/>
      <c r="B1298" s="78"/>
      <c r="C1298" s="189"/>
      <c r="D1298" s="249"/>
      <c r="E1298" s="229"/>
      <c r="F1298" s="187"/>
    </row>
    <row r="1299" spans="1:6" x14ac:dyDescent="0.2">
      <c r="A1299" s="275"/>
      <c r="B1299" s="78"/>
      <c r="C1299" s="189"/>
      <c r="D1299" s="249"/>
      <c r="E1299" s="229"/>
      <c r="F1299" s="187"/>
    </row>
    <row r="1300" spans="1:6" x14ac:dyDescent="0.2">
      <c r="A1300" s="275"/>
      <c r="B1300" s="78"/>
      <c r="C1300" s="189"/>
      <c r="D1300" s="249"/>
      <c r="E1300" s="229"/>
      <c r="F1300" s="187"/>
    </row>
    <row r="1301" spans="1:6" x14ac:dyDescent="0.2">
      <c r="A1301" s="275"/>
      <c r="B1301" s="78"/>
      <c r="C1301" s="189"/>
      <c r="D1301" s="249"/>
      <c r="E1301" s="229"/>
      <c r="F1301" s="187"/>
    </row>
    <row r="1302" spans="1:6" x14ac:dyDescent="0.2">
      <c r="A1302" s="275"/>
      <c r="B1302" s="78"/>
      <c r="C1302" s="189"/>
      <c r="D1302" s="249"/>
      <c r="E1302" s="229"/>
      <c r="F1302" s="187"/>
    </row>
    <row r="1303" spans="1:6" x14ac:dyDescent="0.2">
      <c r="A1303" s="275"/>
      <c r="B1303" s="78"/>
      <c r="C1303" s="189"/>
      <c r="D1303" s="249"/>
      <c r="E1303" s="229"/>
      <c r="F1303" s="187"/>
    </row>
    <row r="1304" spans="1:6" x14ac:dyDescent="0.2">
      <c r="A1304" s="275"/>
      <c r="B1304" s="78"/>
      <c r="C1304" s="189"/>
      <c r="D1304" s="249"/>
      <c r="E1304" s="229"/>
      <c r="F1304" s="187"/>
    </row>
    <row r="1305" spans="1:6" x14ac:dyDescent="0.2">
      <c r="A1305" s="275"/>
      <c r="B1305" s="78"/>
      <c r="C1305" s="189"/>
      <c r="D1305" s="249"/>
      <c r="E1305" s="229"/>
      <c r="F1305" s="187"/>
    </row>
    <row r="1306" spans="1:6" x14ac:dyDescent="0.2">
      <c r="A1306" s="275"/>
      <c r="B1306" s="78"/>
      <c r="C1306" s="189"/>
      <c r="D1306" s="249"/>
      <c r="E1306" s="229"/>
      <c r="F1306" s="187"/>
    </row>
    <row r="1307" spans="1:6" x14ac:dyDescent="0.2">
      <c r="A1307" s="275"/>
      <c r="B1307" s="78"/>
      <c r="C1307" s="189"/>
      <c r="D1307" s="249"/>
      <c r="E1307" s="229"/>
      <c r="F1307" s="187"/>
    </row>
    <row r="1308" spans="1:6" x14ac:dyDescent="0.2">
      <c r="A1308" s="275"/>
      <c r="B1308" s="78"/>
      <c r="C1308" s="189"/>
      <c r="D1308" s="249"/>
      <c r="E1308" s="229"/>
      <c r="F1308" s="187"/>
    </row>
    <row r="1309" spans="1:6" x14ac:dyDescent="0.2">
      <c r="A1309" s="275"/>
      <c r="B1309" s="78"/>
      <c r="C1309" s="189"/>
      <c r="D1309" s="249"/>
      <c r="E1309" s="229"/>
      <c r="F1309" s="187"/>
    </row>
    <row r="1310" spans="1:6" x14ac:dyDescent="0.2">
      <c r="A1310" s="275"/>
      <c r="B1310" s="78"/>
      <c r="C1310" s="189"/>
      <c r="D1310" s="249"/>
      <c r="E1310" s="229"/>
      <c r="F1310" s="187"/>
    </row>
    <row r="1311" spans="1:6" x14ac:dyDescent="0.2">
      <c r="A1311" s="275"/>
      <c r="B1311" s="78"/>
      <c r="C1311" s="189"/>
      <c r="D1311" s="249"/>
      <c r="E1311" s="229"/>
      <c r="F1311" s="187"/>
    </row>
    <row r="1312" spans="1:6" x14ac:dyDescent="0.2">
      <c r="A1312" s="275"/>
      <c r="B1312" s="78"/>
      <c r="C1312" s="189"/>
      <c r="D1312" s="249"/>
      <c r="E1312" s="229"/>
      <c r="F1312" s="187"/>
    </row>
    <row r="1313" spans="1:6" x14ac:dyDescent="0.2">
      <c r="A1313" s="275"/>
      <c r="B1313" s="78"/>
      <c r="C1313" s="189"/>
      <c r="D1313" s="249"/>
      <c r="E1313" s="229"/>
      <c r="F1313" s="187"/>
    </row>
    <row r="1314" spans="1:6" x14ac:dyDescent="0.2">
      <c r="A1314" s="275"/>
      <c r="B1314" s="78"/>
      <c r="C1314" s="189"/>
      <c r="D1314" s="249"/>
      <c r="E1314" s="229"/>
      <c r="F1314" s="187"/>
    </row>
    <row r="1315" spans="1:6" x14ac:dyDescent="0.2">
      <c r="A1315" s="275"/>
      <c r="B1315" s="78"/>
      <c r="C1315" s="189"/>
      <c r="D1315" s="249"/>
      <c r="E1315" s="229"/>
      <c r="F1315" s="187"/>
    </row>
    <row r="1316" spans="1:6" x14ac:dyDescent="0.2">
      <c r="A1316" s="275"/>
      <c r="B1316" s="78"/>
      <c r="C1316" s="189"/>
      <c r="D1316" s="249"/>
      <c r="E1316" s="229"/>
      <c r="F1316" s="187"/>
    </row>
    <row r="1317" spans="1:6" x14ac:dyDescent="0.2">
      <c r="A1317" s="275"/>
      <c r="B1317" s="78"/>
      <c r="C1317" s="189"/>
      <c r="D1317" s="249"/>
      <c r="E1317" s="229"/>
      <c r="F1317" s="187"/>
    </row>
    <row r="1318" spans="1:6" x14ac:dyDescent="0.2">
      <c r="A1318" s="275"/>
      <c r="B1318" s="78"/>
      <c r="C1318" s="189"/>
      <c r="D1318" s="249"/>
      <c r="E1318" s="229"/>
      <c r="F1318" s="187"/>
    </row>
    <row r="1319" spans="1:6" x14ac:dyDescent="0.2">
      <c r="A1319" s="275"/>
      <c r="B1319" s="78"/>
      <c r="C1319" s="189"/>
      <c r="D1319" s="249"/>
      <c r="E1319" s="229"/>
      <c r="F1319" s="187"/>
    </row>
    <row r="1320" spans="1:6" x14ac:dyDescent="0.2">
      <c r="A1320" s="275"/>
      <c r="B1320" s="78"/>
      <c r="C1320" s="189"/>
      <c r="D1320" s="249"/>
      <c r="E1320" s="229"/>
      <c r="F1320" s="187"/>
    </row>
    <row r="1321" spans="1:6" x14ac:dyDescent="0.2">
      <c r="A1321" s="275"/>
      <c r="B1321" s="78"/>
      <c r="C1321" s="189"/>
      <c r="D1321" s="249"/>
      <c r="E1321" s="229"/>
      <c r="F1321" s="187"/>
    </row>
    <row r="1322" spans="1:6" x14ac:dyDescent="0.2">
      <c r="A1322" s="275"/>
      <c r="B1322" s="78"/>
      <c r="C1322" s="189"/>
      <c r="D1322" s="249"/>
      <c r="E1322" s="229"/>
      <c r="F1322" s="187"/>
    </row>
    <row r="1323" spans="1:6" x14ac:dyDescent="0.2">
      <c r="A1323" s="275"/>
      <c r="B1323" s="78"/>
      <c r="C1323" s="189"/>
      <c r="D1323" s="249"/>
      <c r="E1323" s="229"/>
      <c r="F1323" s="187"/>
    </row>
    <row r="1324" spans="1:6" x14ac:dyDescent="0.2">
      <c r="A1324" s="275"/>
      <c r="B1324" s="78"/>
      <c r="C1324" s="189"/>
      <c r="D1324" s="249"/>
      <c r="E1324" s="229"/>
      <c r="F1324" s="187"/>
    </row>
    <row r="1325" spans="1:6" x14ac:dyDescent="0.2">
      <c r="A1325" s="275"/>
      <c r="B1325" s="78"/>
      <c r="C1325" s="189"/>
      <c r="D1325" s="249"/>
      <c r="E1325" s="229"/>
      <c r="F1325" s="187"/>
    </row>
    <row r="1326" spans="1:6" x14ac:dyDescent="0.2">
      <c r="A1326" s="275"/>
      <c r="B1326" s="78"/>
      <c r="C1326" s="189"/>
      <c r="D1326" s="249"/>
      <c r="E1326" s="229"/>
      <c r="F1326" s="187"/>
    </row>
    <row r="1327" spans="1:6" x14ac:dyDescent="0.2">
      <c r="A1327" s="275"/>
      <c r="B1327" s="78"/>
      <c r="C1327" s="189"/>
      <c r="D1327" s="249"/>
      <c r="E1327" s="229"/>
      <c r="F1327" s="187"/>
    </row>
    <row r="1328" spans="1:6" x14ac:dyDescent="0.2">
      <c r="A1328" s="275"/>
      <c r="B1328" s="78"/>
      <c r="C1328" s="189"/>
      <c r="D1328" s="249"/>
      <c r="E1328" s="229"/>
      <c r="F1328" s="187"/>
    </row>
    <row r="1329" spans="1:6" x14ac:dyDescent="0.2">
      <c r="A1329" s="275"/>
      <c r="B1329" s="78"/>
      <c r="C1329" s="189"/>
      <c r="D1329" s="249"/>
      <c r="E1329" s="229"/>
      <c r="F1329" s="187"/>
    </row>
    <row r="1330" spans="1:6" x14ac:dyDescent="0.2">
      <c r="A1330" s="275"/>
      <c r="B1330" s="78"/>
      <c r="C1330" s="189"/>
      <c r="D1330" s="249"/>
      <c r="E1330" s="229"/>
      <c r="F1330" s="187"/>
    </row>
    <row r="1331" spans="1:6" x14ac:dyDescent="0.2">
      <c r="A1331" s="275"/>
      <c r="B1331" s="78"/>
      <c r="C1331" s="189"/>
      <c r="D1331" s="249"/>
      <c r="E1331" s="229"/>
      <c r="F1331" s="187"/>
    </row>
    <row r="1332" spans="1:6" x14ac:dyDescent="0.2">
      <c r="A1332" s="275"/>
      <c r="B1332" s="78"/>
      <c r="C1332" s="189"/>
      <c r="D1332" s="249"/>
      <c r="E1332" s="229"/>
      <c r="F1332" s="187"/>
    </row>
    <row r="1333" spans="1:6" x14ac:dyDescent="0.2">
      <c r="A1333" s="275"/>
      <c r="B1333" s="78"/>
      <c r="C1333" s="189"/>
      <c r="D1333" s="249"/>
      <c r="E1333" s="229"/>
      <c r="F1333" s="187"/>
    </row>
    <row r="1334" spans="1:6" x14ac:dyDescent="0.2">
      <c r="A1334" s="275"/>
      <c r="B1334" s="78"/>
      <c r="C1334" s="189"/>
      <c r="D1334" s="249"/>
      <c r="E1334" s="229"/>
      <c r="F1334" s="187"/>
    </row>
    <row r="1335" spans="1:6" x14ac:dyDescent="0.2">
      <c r="A1335" s="275"/>
      <c r="B1335" s="78"/>
      <c r="C1335" s="189"/>
      <c r="D1335" s="249"/>
      <c r="E1335" s="229"/>
      <c r="F1335" s="187"/>
    </row>
    <row r="1336" spans="1:6" x14ac:dyDescent="0.2">
      <c r="A1336" s="275"/>
      <c r="B1336" s="78"/>
      <c r="C1336" s="189"/>
      <c r="D1336" s="249"/>
      <c r="E1336" s="229"/>
      <c r="F1336" s="187"/>
    </row>
    <row r="1337" spans="1:6" x14ac:dyDescent="0.2">
      <c r="A1337" s="275"/>
      <c r="B1337" s="78"/>
      <c r="C1337" s="189"/>
      <c r="D1337" s="249"/>
      <c r="E1337" s="229"/>
      <c r="F1337" s="187"/>
    </row>
    <row r="1338" spans="1:6" x14ac:dyDescent="0.2">
      <c r="A1338" s="275"/>
      <c r="B1338" s="78"/>
      <c r="C1338" s="189"/>
      <c r="D1338" s="249"/>
      <c r="E1338" s="229"/>
      <c r="F1338" s="187"/>
    </row>
    <row r="1339" spans="1:6" x14ac:dyDescent="0.2">
      <c r="A1339" s="275"/>
      <c r="B1339" s="78"/>
      <c r="C1339" s="189"/>
      <c r="D1339" s="249"/>
      <c r="E1339" s="229"/>
      <c r="F1339" s="187"/>
    </row>
    <row r="1340" spans="1:6" x14ac:dyDescent="0.2">
      <c r="A1340" s="275"/>
      <c r="B1340" s="78"/>
      <c r="C1340" s="189"/>
      <c r="D1340" s="249"/>
      <c r="E1340" s="229"/>
      <c r="F1340" s="187"/>
    </row>
    <row r="1341" spans="1:6" x14ac:dyDescent="0.2">
      <c r="A1341" s="275"/>
      <c r="B1341" s="78"/>
      <c r="C1341" s="189"/>
      <c r="D1341" s="249"/>
      <c r="E1341" s="229"/>
      <c r="F1341" s="187"/>
    </row>
    <row r="1342" spans="1:6" x14ac:dyDescent="0.2">
      <c r="A1342" s="275"/>
      <c r="B1342" s="78"/>
      <c r="C1342" s="189"/>
      <c r="D1342" s="249"/>
      <c r="E1342" s="229"/>
      <c r="F1342" s="187"/>
    </row>
    <row r="1343" spans="1:6" x14ac:dyDescent="0.2">
      <c r="A1343" s="275"/>
      <c r="B1343" s="78"/>
      <c r="C1343" s="189"/>
      <c r="D1343" s="249"/>
      <c r="E1343" s="229"/>
      <c r="F1343" s="187"/>
    </row>
    <row r="1344" spans="1:6" x14ac:dyDescent="0.2">
      <c r="A1344" s="275"/>
      <c r="B1344" s="78"/>
      <c r="C1344" s="189"/>
      <c r="D1344" s="249"/>
      <c r="E1344" s="229"/>
      <c r="F1344" s="187"/>
    </row>
    <row r="1345" spans="1:6" x14ac:dyDescent="0.2">
      <c r="A1345" s="275"/>
      <c r="B1345" s="78"/>
      <c r="C1345" s="189"/>
      <c r="D1345" s="249"/>
      <c r="E1345" s="229"/>
      <c r="F1345" s="187"/>
    </row>
    <row r="1346" spans="1:6" x14ac:dyDescent="0.2">
      <c r="A1346" s="275"/>
      <c r="B1346" s="78"/>
      <c r="C1346" s="189"/>
      <c r="D1346" s="249"/>
      <c r="E1346" s="229"/>
      <c r="F1346" s="187"/>
    </row>
    <row r="1347" spans="1:6" x14ac:dyDescent="0.2">
      <c r="A1347" s="275"/>
      <c r="B1347" s="78"/>
      <c r="C1347" s="189"/>
      <c r="D1347" s="249"/>
      <c r="E1347" s="229"/>
      <c r="F1347" s="187"/>
    </row>
    <row r="1348" spans="1:6" x14ac:dyDescent="0.2">
      <c r="A1348" s="275"/>
      <c r="B1348" s="78"/>
      <c r="C1348" s="189"/>
      <c r="D1348" s="249"/>
      <c r="E1348" s="229"/>
      <c r="F1348" s="187"/>
    </row>
    <row r="1349" spans="1:6" x14ac:dyDescent="0.2">
      <c r="A1349" s="275"/>
      <c r="B1349" s="78"/>
      <c r="C1349" s="189"/>
      <c r="D1349" s="249"/>
      <c r="E1349" s="229"/>
      <c r="F1349" s="187"/>
    </row>
    <row r="1350" spans="1:6" x14ac:dyDescent="0.2">
      <c r="A1350" s="275"/>
      <c r="B1350" s="78"/>
      <c r="C1350" s="189"/>
      <c r="D1350" s="249"/>
      <c r="E1350" s="229"/>
      <c r="F1350" s="187"/>
    </row>
    <row r="1351" spans="1:6" x14ac:dyDescent="0.2">
      <c r="A1351" s="275"/>
      <c r="B1351" s="78"/>
      <c r="C1351" s="189"/>
      <c r="D1351" s="249"/>
      <c r="E1351" s="229"/>
      <c r="F1351" s="187"/>
    </row>
    <row r="1352" spans="1:6" x14ac:dyDescent="0.2">
      <c r="A1352" s="275"/>
      <c r="B1352" s="78"/>
      <c r="C1352" s="189"/>
      <c r="D1352" s="249"/>
      <c r="E1352" s="229"/>
      <c r="F1352" s="187"/>
    </row>
    <row r="1353" spans="1:6" x14ac:dyDescent="0.2">
      <c r="A1353" s="275"/>
      <c r="B1353" s="78"/>
      <c r="C1353" s="189"/>
      <c r="D1353" s="249"/>
      <c r="E1353" s="229"/>
      <c r="F1353" s="187"/>
    </row>
    <row r="1354" spans="1:6" x14ac:dyDescent="0.2">
      <c r="A1354" s="275"/>
      <c r="B1354" s="78"/>
      <c r="C1354" s="189"/>
      <c r="D1354" s="249"/>
      <c r="E1354" s="229"/>
      <c r="F1354" s="187"/>
    </row>
    <row r="1355" spans="1:6" x14ac:dyDescent="0.2">
      <c r="A1355" s="275"/>
      <c r="B1355" s="78"/>
      <c r="C1355" s="189"/>
      <c r="D1355" s="249"/>
      <c r="E1355" s="229"/>
      <c r="F1355" s="187"/>
    </row>
    <row r="1356" spans="1:6" x14ac:dyDescent="0.2">
      <c r="A1356" s="275"/>
      <c r="B1356" s="78"/>
      <c r="C1356" s="189"/>
      <c r="D1356" s="249"/>
      <c r="E1356" s="229"/>
      <c r="F1356" s="187"/>
    </row>
    <row r="1357" spans="1:6" x14ac:dyDescent="0.2">
      <c r="A1357" s="275"/>
      <c r="B1357" s="78"/>
      <c r="C1357" s="189"/>
      <c r="D1357" s="249"/>
      <c r="E1357" s="229"/>
      <c r="F1357" s="187"/>
    </row>
    <row r="1358" spans="1:6" x14ac:dyDescent="0.2">
      <c r="A1358" s="275"/>
      <c r="B1358" s="78"/>
      <c r="C1358" s="189"/>
      <c r="D1358" s="249"/>
      <c r="E1358" s="229"/>
      <c r="F1358" s="187"/>
    </row>
    <row r="1359" spans="1:6" x14ac:dyDescent="0.2">
      <c r="A1359" s="275"/>
      <c r="B1359" s="78"/>
      <c r="C1359" s="189"/>
      <c r="D1359" s="249"/>
      <c r="E1359" s="229"/>
      <c r="F1359" s="187"/>
    </row>
    <row r="1360" spans="1:6" x14ac:dyDescent="0.2">
      <c r="A1360" s="275"/>
      <c r="B1360" s="78"/>
      <c r="C1360" s="189"/>
      <c r="D1360" s="249"/>
      <c r="E1360" s="229"/>
      <c r="F1360" s="187"/>
    </row>
    <row r="1361" spans="1:6" x14ac:dyDescent="0.2">
      <c r="A1361" s="275"/>
      <c r="B1361" s="78"/>
      <c r="C1361" s="189"/>
      <c r="D1361" s="249"/>
      <c r="E1361" s="229"/>
      <c r="F1361" s="187"/>
    </row>
    <row r="1362" spans="1:6" x14ac:dyDescent="0.2">
      <c r="A1362" s="275"/>
      <c r="B1362" s="78"/>
      <c r="C1362" s="189"/>
      <c r="D1362" s="249"/>
      <c r="E1362" s="229"/>
      <c r="F1362" s="187"/>
    </row>
    <row r="1363" spans="1:6" x14ac:dyDescent="0.2">
      <c r="A1363" s="275"/>
      <c r="B1363" s="78"/>
      <c r="C1363" s="189"/>
      <c r="D1363" s="249"/>
      <c r="E1363" s="229"/>
      <c r="F1363" s="187"/>
    </row>
    <row r="1364" spans="1:6" x14ac:dyDescent="0.2">
      <c r="A1364" s="275"/>
      <c r="B1364" s="78"/>
      <c r="C1364" s="189"/>
      <c r="D1364" s="249"/>
      <c r="E1364" s="229"/>
      <c r="F1364" s="187"/>
    </row>
    <row r="1365" spans="1:6" x14ac:dyDescent="0.2">
      <c r="A1365" s="275"/>
      <c r="B1365" s="78"/>
      <c r="C1365" s="189"/>
      <c r="D1365" s="249"/>
      <c r="E1365" s="229"/>
      <c r="F1365" s="187"/>
    </row>
    <row r="1366" spans="1:6" x14ac:dyDescent="0.2">
      <c r="A1366" s="275"/>
      <c r="B1366" s="78"/>
      <c r="C1366" s="189"/>
      <c r="D1366" s="249"/>
      <c r="E1366" s="229"/>
      <c r="F1366" s="187"/>
    </row>
    <row r="1367" spans="1:6" x14ac:dyDescent="0.2">
      <c r="A1367" s="275"/>
      <c r="B1367" s="78"/>
      <c r="C1367" s="189"/>
      <c r="D1367" s="249"/>
      <c r="E1367" s="229"/>
      <c r="F1367" s="187"/>
    </row>
    <row r="1368" spans="1:6" x14ac:dyDescent="0.2">
      <c r="A1368" s="275"/>
      <c r="B1368" s="78"/>
      <c r="C1368" s="189"/>
      <c r="D1368" s="249"/>
      <c r="E1368" s="229"/>
      <c r="F1368" s="187"/>
    </row>
    <row r="1369" spans="1:6" x14ac:dyDescent="0.2">
      <c r="A1369" s="275"/>
      <c r="B1369" s="78"/>
      <c r="C1369" s="189"/>
      <c r="D1369" s="249"/>
      <c r="E1369" s="229"/>
      <c r="F1369" s="187"/>
    </row>
    <row r="1370" spans="1:6" x14ac:dyDescent="0.2">
      <c r="A1370" s="275"/>
      <c r="B1370" s="78"/>
      <c r="C1370" s="189"/>
      <c r="D1370" s="249"/>
      <c r="E1370" s="229"/>
      <c r="F1370" s="187"/>
    </row>
    <row r="1371" spans="1:6" x14ac:dyDescent="0.2">
      <c r="A1371" s="275"/>
      <c r="B1371" s="78"/>
      <c r="C1371" s="189"/>
      <c r="D1371" s="249"/>
      <c r="E1371" s="229"/>
      <c r="F1371" s="187"/>
    </row>
    <row r="1372" spans="1:6" x14ac:dyDescent="0.2">
      <c r="A1372" s="275"/>
      <c r="B1372" s="78"/>
      <c r="C1372" s="189"/>
      <c r="D1372" s="249"/>
      <c r="E1372" s="229"/>
      <c r="F1372" s="187"/>
    </row>
    <row r="1373" spans="1:6" x14ac:dyDescent="0.2">
      <c r="A1373" s="275"/>
      <c r="B1373" s="78"/>
      <c r="C1373" s="189"/>
      <c r="D1373" s="249"/>
      <c r="E1373" s="229"/>
      <c r="F1373" s="187"/>
    </row>
    <row r="1374" spans="1:6" x14ac:dyDescent="0.2">
      <c r="A1374" s="275"/>
      <c r="B1374" s="78"/>
      <c r="C1374" s="189"/>
      <c r="D1374" s="249"/>
      <c r="E1374" s="229"/>
      <c r="F1374" s="187"/>
    </row>
    <row r="1375" spans="1:6" x14ac:dyDescent="0.2">
      <c r="A1375" s="275"/>
      <c r="B1375" s="78"/>
      <c r="C1375" s="189"/>
      <c r="D1375" s="249"/>
      <c r="E1375" s="229"/>
      <c r="F1375" s="187"/>
    </row>
    <row r="1376" spans="1:6" x14ac:dyDescent="0.2">
      <c r="A1376" s="275"/>
      <c r="B1376" s="78"/>
      <c r="C1376" s="189"/>
      <c r="D1376" s="249"/>
      <c r="E1376" s="229"/>
      <c r="F1376" s="187"/>
    </row>
    <row r="1377" spans="1:6" x14ac:dyDescent="0.2">
      <c r="A1377" s="275"/>
      <c r="B1377" s="78"/>
      <c r="C1377" s="189"/>
      <c r="D1377" s="249"/>
      <c r="E1377" s="229"/>
      <c r="F1377" s="187"/>
    </row>
    <row r="1378" spans="1:6" x14ac:dyDescent="0.2">
      <c r="A1378" s="275"/>
      <c r="B1378" s="78"/>
      <c r="C1378" s="189"/>
      <c r="D1378" s="249"/>
      <c r="E1378" s="229"/>
      <c r="F1378" s="187"/>
    </row>
    <row r="1379" spans="1:6" x14ac:dyDescent="0.2">
      <c r="A1379" s="275"/>
      <c r="B1379" s="78"/>
      <c r="C1379" s="189"/>
      <c r="D1379" s="249"/>
      <c r="E1379" s="229"/>
      <c r="F1379" s="187"/>
    </row>
    <row r="1380" spans="1:6" x14ac:dyDescent="0.2">
      <c r="A1380" s="275"/>
      <c r="B1380" s="78"/>
      <c r="C1380" s="189"/>
      <c r="D1380" s="249"/>
      <c r="E1380" s="229"/>
      <c r="F1380" s="187"/>
    </row>
    <row r="1381" spans="1:6" x14ac:dyDescent="0.2">
      <c r="A1381" s="275"/>
      <c r="B1381" s="78"/>
      <c r="C1381" s="189"/>
      <c r="D1381" s="249"/>
      <c r="E1381" s="229"/>
      <c r="F1381" s="187"/>
    </row>
    <row r="1382" spans="1:6" x14ac:dyDescent="0.2">
      <c r="A1382" s="275"/>
      <c r="B1382" s="78"/>
      <c r="C1382" s="189"/>
      <c r="D1382" s="249"/>
      <c r="E1382" s="229"/>
      <c r="F1382" s="187"/>
    </row>
    <row r="1383" spans="1:6" x14ac:dyDescent="0.2">
      <c r="A1383" s="275"/>
      <c r="B1383" s="78"/>
      <c r="C1383" s="189"/>
      <c r="D1383" s="249"/>
      <c r="E1383" s="229"/>
      <c r="F1383" s="187"/>
    </row>
    <row r="1384" spans="1:6" x14ac:dyDescent="0.2">
      <c r="A1384" s="275"/>
      <c r="B1384" s="78"/>
      <c r="C1384" s="189"/>
      <c r="D1384" s="249"/>
      <c r="E1384" s="229"/>
      <c r="F1384" s="187"/>
    </row>
    <row r="1385" spans="1:6" x14ac:dyDescent="0.2">
      <c r="A1385" s="275"/>
      <c r="B1385" s="78"/>
      <c r="C1385" s="189"/>
      <c r="D1385" s="249"/>
      <c r="E1385" s="229"/>
      <c r="F1385" s="187"/>
    </row>
    <row r="1386" spans="1:6" x14ac:dyDescent="0.2">
      <c r="A1386" s="275"/>
      <c r="B1386" s="78"/>
      <c r="C1386" s="189"/>
      <c r="D1386" s="249"/>
      <c r="E1386" s="229"/>
      <c r="F1386" s="187"/>
    </row>
    <row r="1387" spans="1:6" x14ac:dyDescent="0.2">
      <c r="A1387" s="275"/>
      <c r="B1387" s="78"/>
      <c r="C1387" s="189"/>
      <c r="D1387" s="249"/>
      <c r="E1387" s="229"/>
      <c r="F1387" s="187"/>
    </row>
    <row r="1388" spans="1:6" x14ac:dyDescent="0.2">
      <c r="A1388" s="275"/>
      <c r="B1388" s="78"/>
      <c r="C1388" s="189"/>
      <c r="D1388" s="249"/>
      <c r="E1388" s="229"/>
      <c r="F1388" s="187"/>
    </row>
    <row r="1389" spans="1:6" x14ac:dyDescent="0.2">
      <c r="A1389" s="275"/>
      <c r="B1389" s="78"/>
      <c r="C1389" s="189"/>
      <c r="D1389" s="249"/>
      <c r="E1389" s="229"/>
      <c r="F1389" s="187"/>
    </row>
    <row r="1390" spans="1:6" x14ac:dyDescent="0.2">
      <c r="A1390" s="275"/>
      <c r="B1390" s="78"/>
      <c r="C1390" s="189"/>
      <c r="D1390" s="249"/>
      <c r="E1390" s="229"/>
      <c r="F1390" s="187"/>
    </row>
    <row r="1391" spans="1:6" x14ac:dyDescent="0.2">
      <c r="A1391" s="275"/>
      <c r="B1391" s="78"/>
      <c r="C1391" s="189"/>
      <c r="D1391" s="249"/>
      <c r="E1391" s="229"/>
      <c r="F1391" s="187"/>
    </row>
    <row r="1392" spans="1:6" x14ac:dyDescent="0.2">
      <c r="A1392" s="275"/>
      <c r="B1392" s="78"/>
      <c r="C1392" s="189"/>
      <c r="D1392" s="249"/>
      <c r="E1392" s="229"/>
      <c r="F1392" s="187"/>
    </row>
    <row r="1393" spans="1:6" x14ac:dyDescent="0.2">
      <c r="A1393" s="275"/>
      <c r="B1393" s="78"/>
      <c r="C1393" s="189"/>
      <c r="D1393" s="249"/>
      <c r="E1393" s="229"/>
      <c r="F1393" s="187"/>
    </row>
    <row r="1394" spans="1:6" x14ac:dyDescent="0.2">
      <c r="A1394" s="275"/>
      <c r="B1394" s="78"/>
      <c r="C1394" s="189"/>
      <c r="D1394" s="249"/>
      <c r="E1394" s="229"/>
      <c r="F1394" s="187"/>
    </row>
    <row r="1395" spans="1:6" x14ac:dyDescent="0.2">
      <c r="A1395" s="275"/>
      <c r="B1395" s="78"/>
      <c r="C1395" s="189"/>
      <c r="D1395" s="249"/>
      <c r="E1395" s="229"/>
      <c r="F1395" s="187"/>
    </row>
    <row r="1396" spans="1:6" x14ac:dyDescent="0.2">
      <c r="A1396" s="275"/>
      <c r="B1396" s="78"/>
      <c r="C1396" s="189"/>
      <c r="D1396" s="249"/>
      <c r="E1396" s="229"/>
      <c r="F1396" s="187"/>
    </row>
    <row r="1397" spans="1:6" x14ac:dyDescent="0.2">
      <c r="A1397" s="275"/>
      <c r="B1397" s="78"/>
      <c r="C1397" s="189"/>
      <c r="D1397" s="249"/>
      <c r="E1397" s="229"/>
      <c r="F1397" s="187"/>
    </row>
    <row r="1398" spans="1:6" x14ac:dyDescent="0.2">
      <c r="A1398" s="275"/>
      <c r="B1398" s="78"/>
      <c r="C1398" s="189"/>
      <c r="D1398" s="249"/>
      <c r="E1398" s="229"/>
      <c r="F1398" s="187"/>
    </row>
    <row r="1399" spans="1:6" x14ac:dyDescent="0.2">
      <c r="A1399" s="275"/>
      <c r="B1399" s="78"/>
      <c r="C1399" s="189"/>
      <c r="D1399" s="249"/>
      <c r="E1399" s="229"/>
      <c r="F1399" s="187"/>
    </row>
    <row r="1400" spans="1:6" x14ac:dyDescent="0.2">
      <c r="A1400" s="275"/>
      <c r="B1400" s="78"/>
      <c r="C1400" s="189"/>
      <c r="D1400" s="249"/>
      <c r="E1400" s="229"/>
      <c r="F1400" s="187"/>
    </row>
    <row r="1401" spans="1:6" x14ac:dyDescent="0.2">
      <c r="A1401" s="275"/>
      <c r="B1401" s="78"/>
      <c r="C1401" s="189"/>
      <c r="D1401" s="249"/>
      <c r="E1401" s="229"/>
      <c r="F1401" s="187"/>
    </row>
    <row r="1402" spans="1:6" x14ac:dyDescent="0.2">
      <c r="A1402" s="275"/>
      <c r="B1402" s="78"/>
      <c r="C1402" s="189"/>
      <c r="D1402" s="249"/>
      <c r="E1402" s="229"/>
      <c r="F1402" s="187"/>
    </row>
    <row r="1403" spans="1:6" x14ac:dyDescent="0.2">
      <c r="A1403" s="275"/>
      <c r="B1403" s="78"/>
      <c r="C1403" s="189"/>
      <c r="D1403" s="249"/>
      <c r="E1403" s="229"/>
      <c r="F1403" s="187"/>
    </row>
    <row r="1404" spans="1:6" x14ac:dyDescent="0.2">
      <c r="A1404" s="275"/>
      <c r="B1404" s="78"/>
      <c r="C1404" s="189"/>
      <c r="D1404" s="249"/>
      <c r="E1404" s="229"/>
      <c r="F1404" s="187"/>
    </row>
    <row r="1405" spans="1:6" x14ac:dyDescent="0.2">
      <c r="A1405" s="275"/>
      <c r="B1405" s="78"/>
      <c r="C1405" s="189"/>
      <c r="D1405" s="249"/>
      <c r="E1405" s="229"/>
      <c r="F1405" s="187"/>
    </row>
    <row r="1406" spans="1:6" x14ac:dyDescent="0.2">
      <c r="A1406" s="275"/>
      <c r="B1406" s="78"/>
      <c r="C1406" s="189"/>
      <c r="D1406" s="249"/>
      <c r="E1406" s="229"/>
      <c r="F1406" s="187"/>
    </row>
    <row r="1407" spans="1:6" x14ac:dyDescent="0.2">
      <c r="A1407" s="275"/>
      <c r="B1407" s="78"/>
      <c r="C1407" s="189"/>
      <c r="D1407" s="249"/>
      <c r="E1407" s="229"/>
      <c r="F1407" s="187"/>
    </row>
    <row r="1408" spans="1:6" x14ac:dyDescent="0.2">
      <c r="A1408" s="275"/>
      <c r="B1408" s="78"/>
      <c r="C1408" s="189"/>
      <c r="D1408" s="249"/>
      <c r="E1408" s="229"/>
      <c r="F1408" s="187"/>
    </row>
    <row r="1409" spans="1:6" x14ac:dyDescent="0.2">
      <c r="A1409" s="275"/>
      <c r="B1409" s="78"/>
      <c r="C1409" s="189"/>
      <c r="D1409" s="249"/>
      <c r="E1409" s="229"/>
      <c r="F1409" s="187"/>
    </row>
    <row r="1410" spans="1:6" x14ac:dyDescent="0.2">
      <c r="A1410" s="275"/>
      <c r="B1410" s="78"/>
      <c r="C1410" s="189"/>
      <c r="D1410" s="249"/>
      <c r="E1410" s="229"/>
      <c r="F1410" s="187"/>
    </row>
    <row r="1411" spans="1:6" x14ac:dyDescent="0.2">
      <c r="A1411" s="275"/>
      <c r="B1411" s="78"/>
      <c r="C1411" s="189"/>
      <c r="D1411" s="249"/>
      <c r="E1411" s="229"/>
      <c r="F1411" s="187"/>
    </row>
    <row r="1412" spans="1:6" x14ac:dyDescent="0.2">
      <c r="A1412" s="275"/>
      <c r="B1412" s="78"/>
      <c r="C1412" s="189"/>
      <c r="D1412" s="249"/>
      <c r="E1412" s="229"/>
      <c r="F1412" s="187"/>
    </row>
    <row r="1413" spans="1:6" x14ac:dyDescent="0.2">
      <c r="A1413" s="275"/>
      <c r="B1413" s="78"/>
      <c r="C1413" s="189"/>
      <c r="D1413" s="249"/>
      <c r="E1413" s="229"/>
      <c r="F1413" s="187"/>
    </row>
    <row r="1414" spans="1:6" x14ac:dyDescent="0.2">
      <c r="A1414" s="275"/>
      <c r="B1414" s="78"/>
      <c r="C1414" s="189"/>
      <c r="D1414" s="249"/>
      <c r="E1414" s="229"/>
      <c r="F1414" s="187"/>
    </row>
    <row r="1415" spans="1:6" x14ac:dyDescent="0.2">
      <c r="A1415" s="275"/>
      <c r="B1415" s="78"/>
      <c r="C1415" s="189"/>
      <c r="D1415" s="249"/>
      <c r="E1415" s="229"/>
      <c r="F1415" s="187"/>
    </row>
    <row r="1416" spans="1:6" x14ac:dyDescent="0.2">
      <c r="A1416" s="275"/>
      <c r="B1416" s="78"/>
      <c r="C1416" s="189"/>
      <c r="D1416" s="249"/>
      <c r="E1416" s="229"/>
      <c r="F1416" s="187"/>
    </row>
    <row r="1417" spans="1:6" x14ac:dyDescent="0.2">
      <c r="A1417" s="275"/>
      <c r="B1417" s="78"/>
      <c r="C1417" s="189"/>
      <c r="D1417" s="249"/>
      <c r="E1417" s="229"/>
      <c r="F1417" s="187"/>
    </row>
    <row r="1418" spans="1:6" x14ac:dyDescent="0.2">
      <c r="A1418" s="275"/>
      <c r="B1418" s="78"/>
      <c r="C1418" s="189"/>
      <c r="D1418" s="249"/>
      <c r="E1418" s="229"/>
      <c r="F1418" s="187"/>
    </row>
    <row r="1419" spans="1:6" x14ac:dyDescent="0.2">
      <c r="A1419" s="275"/>
      <c r="B1419" s="78"/>
      <c r="C1419" s="189"/>
      <c r="D1419" s="249"/>
      <c r="E1419" s="229"/>
      <c r="F1419" s="187"/>
    </row>
    <row r="1420" spans="1:6" x14ac:dyDescent="0.2">
      <c r="A1420" s="275"/>
      <c r="B1420" s="78"/>
      <c r="C1420" s="189"/>
      <c r="D1420" s="249"/>
      <c r="E1420" s="229"/>
      <c r="F1420" s="187"/>
    </row>
    <row r="1421" spans="1:6" x14ac:dyDescent="0.2">
      <c r="A1421" s="275"/>
      <c r="B1421" s="78"/>
      <c r="C1421" s="189"/>
      <c r="D1421" s="249"/>
      <c r="E1421" s="229"/>
      <c r="F1421" s="187"/>
    </row>
    <row r="1422" spans="1:6" x14ac:dyDescent="0.2">
      <c r="A1422" s="275"/>
      <c r="B1422" s="78"/>
      <c r="C1422" s="189"/>
      <c r="D1422" s="249"/>
      <c r="E1422" s="229"/>
      <c r="F1422" s="187"/>
    </row>
    <row r="1423" spans="1:6" x14ac:dyDescent="0.2">
      <c r="A1423" s="275"/>
      <c r="B1423" s="78"/>
      <c r="C1423" s="189"/>
      <c r="D1423" s="249"/>
      <c r="E1423" s="229"/>
      <c r="F1423" s="187"/>
    </row>
    <row r="1424" spans="1:6" x14ac:dyDescent="0.2">
      <c r="A1424" s="275"/>
      <c r="B1424" s="78"/>
      <c r="C1424" s="189"/>
      <c r="D1424" s="249"/>
      <c r="E1424" s="229"/>
      <c r="F1424" s="187"/>
    </row>
    <row r="1425" spans="1:6" x14ac:dyDescent="0.2">
      <c r="A1425" s="275"/>
      <c r="B1425" s="78"/>
      <c r="C1425" s="189"/>
      <c r="D1425" s="249"/>
      <c r="E1425" s="229"/>
      <c r="F1425" s="187"/>
    </row>
    <row r="1426" spans="1:6" x14ac:dyDescent="0.2">
      <c r="A1426" s="275"/>
      <c r="B1426" s="78"/>
      <c r="C1426" s="189"/>
      <c r="D1426" s="249"/>
      <c r="E1426" s="229"/>
      <c r="F1426" s="187"/>
    </row>
    <row r="1427" spans="1:6" x14ac:dyDescent="0.2">
      <c r="A1427" s="275"/>
      <c r="B1427" s="78"/>
      <c r="C1427" s="189"/>
      <c r="D1427" s="249"/>
      <c r="E1427" s="229"/>
      <c r="F1427" s="187"/>
    </row>
    <row r="1428" spans="1:6" x14ac:dyDescent="0.2">
      <c r="A1428" s="275"/>
      <c r="B1428" s="78"/>
      <c r="C1428" s="189"/>
      <c r="D1428" s="249"/>
      <c r="E1428" s="229"/>
      <c r="F1428" s="187"/>
    </row>
    <row r="1429" spans="1:6" x14ac:dyDescent="0.2">
      <c r="A1429" s="275"/>
      <c r="B1429" s="78"/>
      <c r="C1429" s="189"/>
      <c r="D1429" s="249"/>
      <c r="E1429" s="229"/>
      <c r="F1429" s="187"/>
    </row>
    <row r="1430" spans="1:6" x14ac:dyDescent="0.2">
      <c r="A1430" s="275"/>
      <c r="B1430" s="78"/>
      <c r="C1430" s="189"/>
      <c r="D1430" s="249"/>
      <c r="E1430" s="229"/>
      <c r="F1430" s="187"/>
    </row>
    <row r="1431" spans="1:6" x14ac:dyDescent="0.2">
      <c r="A1431" s="275"/>
      <c r="B1431" s="78"/>
      <c r="C1431" s="189"/>
      <c r="D1431" s="249"/>
      <c r="E1431" s="229"/>
      <c r="F1431" s="187"/>
    </row>
    <row r="1432" spans="1:6" x14ac:dyDescent="0.2">
      <c r="A1432" s="275"/>
      <c r="B1432" s="78"/>
      <c r="C1432" s="189"/>
      <c r="D1432" s="249"/>
      <c r="E1432" s="229"/>
      <c r="F1432" s="187"/>
    </row>
    <row r="1433" spans="1:6" x14ac:dyDescent="0.2">
      <c r="A1433" s="275"/>
      <c r="B1433" s="78"/>
      <c r="C1433" s="189"/>
      <c r="D1433" s="249"/>
      <c r="E1433" s="229"/>
      <c r="F1433" s="187"/>
    </row>
    <row r="1434" spans="1:6" x14ac:dyDescent="0.2">
      <c r="A1434" s="275"/>
      <c r="B1434" s="78"/>
      <c r="C1434" s="189"/>
      <c r="D1434" s="249"/>
      <c r="E1434" s="229"/>
      <c r="F1434" s="187"/>
    </row>
    <row r="1435" spans="1:6" x14ac:dyDescent="0.2">
      <c r="A1435" s="275"/>
      <c r="B1435" s="78"/>
      <c r="C1435" s="189"/>
      <c r="D1435" s="249"/>
      <c r="E1435" s="229"/>
      <c r="F1435" s="187"/>
    </row>
    <row r="1436" spans="1:6" x14ac:dyDescent="0.2">
      <c r="A1436" s="275"/>
      <c r="B1436" s="78"/>
      <c r="C1436" s="189"/>
      <c r="D1436" s="249"/>
      <c r="E1436" s="229"/>
      <c r="F1436" s="187"/>
    </row>
    <row r="1437" spans="1:6" x14ac:dyDescent="0.2">
      <c r="A1437" s="275"/>
      <c r="B1437" s="78"/>
      <c r="C1437" s="189"/>
      <c r="D1437" s="249"/>
      <c r="E1437" s="229"/>
      <c r="F1437" s="187"/>
    </row>
    <row r="1438" spans="1:6" x14ac:dyDescent="0.2">
      <c r="A1438" s="275"/>
      <c r="B1438" s="78"/>
      <c r="C1438" s="189"/>
      <c r="D1438" s="249"/>
      <c r="E1438" s="229"/>
      <c r="F1438" s="187"/>
    </row>
    <row r="1439" spans="1:6" x14ac:dyDescent="0.2">
      <c r="A1439" s="275"/>
      <c r="B1439" s="78"/>
      <c r="C1439" s="189"/>
      <c r="D1439" s="249"/>
      <c r="E1439" s="229"/>
      <c r="F1439" s="187"/>
    </row>
    <row r="1440" spans="1:6" x14ac:dyDescent="0.2">
      <c r="A1440" s="275"/>
      <c r="B1440" s="78"/>
      <c r="C1440" s="189"/>
      <c r="D1440" s="249"/>
      <c r="E1440" s="229"/>
      <c r="F1440" s="187"/>
    </row>
    <row r="1441" spans="1:6" x14ac:dyDescent="0.2">
      <c r="A1441" s="275"/>
      <c r="B1441" s="78"/>
      <c r="C1441" s="189"/>
      <c r="D1441" s="249"/>
      <c r="E1441" s="229"/>
      <c r="F1441" s="187"/>
    </row>
    <row r="1442" spans="1:6" x14ac:dyDescent="0.2">
      <c r="A1442" s="275"/>
      <c r="B1442" s="78"/>
      <c r="C1442" s="189"/>
      <c r="D1442" s="249"/>
      <c r="E1442" s="229"/>
      <c r="F1442" s="187"/>
    </row>
    <row r="1443" spans="1:6" x14ac:dyDescent="0.2">
      <c r="A1443" s="275"/>
      <c r="B1443" s="78"/>
      <c r="C1443" s="189"/>
      <c r="D1443" s="249"/>
      <c r="E1443" s="229"/>
      <c r="F1443" s="187"/>
    </row>
    <row r="1444" spans="1:6" x14ac:dyDescent="0.2">
      <c r="A1444" s="275"/>
      <c r="B1444" s="78"/>
      <c r="C1444" s="189"/>
      <c r="D1444" s="249"/>
      <c r="E1444" s="229"/>
      <c r="F1444" s="187"/>
    </row>
    <row r="1445" spans="1:6" x14ac:dyDescent="0.2">
      <c r="A1445" s="275"/>
      <c r="B1445" s="78"/>
      <c r="C1445" s="189"/>
      <c r="D1445" s="249"/>
      <c r="E1445" s="229"/>
      <c r="F1445" s="187"/>
    </row>
    <row r="1446" spans="1:6" x14ac:dyDescent="0.2">
      <c r="A1446" s="275"/>
      <c r="B1446" s="78"/>
      <c r="C1446" s="189"/>
      <c r="D1446" s="249"/>
      <c r="E1446" s="229"/>
      <c r="F1446" s="187"/>
    </row>
    <row r="1447" spans="1:6" x14ac:dyDescent="0.2">
      <c r="A1447" s="275"/>
      <c r="B1447" s="78"/>
      <c r="C1447" s="189"/>
      <c r="D1447" s="249"/>
      <c r="E1447" s="229"/>
      <c r="F1447" s="187"/>
    </row>
    <row r="1448" spans="1:6" x14ac:dyDescent="0.2">
      <c r="A1448" s="275"/>
      <c r="B1448" s="78"/>
      <c r="C1448" s="189"/>
      <c r="D1448" s="249"/>
      <c r="E1448" s="229"/>
      <c r="F1448" s="187"/>
    </row>
    <row r="1449" spans="1:6" x14ac:dyDescent="0.2">
      <c r="A1449" s="275"/>
      <c r="B1449" s="78"/>
      <c r="C1449" s="189"/>
      <c r="D1449" s="249"/>
      <c r="E1449" s="229"/>
      <c r="F1449" s="187"/>
    </row>
    <row r="1450" spans="1:6" x14ac:dyDescent="0.2">
      <c r="A1450" s="275"/>
      <c r="B1450" s="78"/>
      <c r="C1450" s="189"/>
      <c r="D1450" s="249"/>
      <c r="E1450" s="229"/>
      <c r="F1450" s="187"/>
    </row>
    <row r="1451" spans="1:6" x14ac:dyDescent="0.2">
      <c r="A1451" s="275"/>
      <c r="B1451" s="78"/>
      <c r="C1451" s="189"/>
      <c r="D1451" s="249"/>
      <c r="E1451" s="229"/>
      <c r="F1451" s="187"/>
    </row>
    <row r="1452" spans="1:6" x14ac:dyDescent="0.2">
      <c r="A1452" s="275"/>
      <c r="B1452" s="78"/>
      <c r="C1452" s="189"/>
      <c r="D1452" s="249"/>
      <c r="E1452" s="229"/>
      <c r="F1452" s="187"/>
    </row>
    <row r="1453" spans="1:6" x14ac:dyDescent="0.2">
      <c r="A1453" s="275"/>
      <c r="B1453" s="78"/>
      <c r="C1453" s="189"/>
      <c r="D1453" s="249"/>
      <c r="E1453" s="229"/>
      <c r="F1453" s="187"/>
    </row>
    <row r="1454" spans="1:6" x14ac:dyDescent="0.2">
      <c r="A1454" s="275"/>
      <c r="B1454" s="78"/>
      <c r="C1454" s="189"/>
      <c r="D1454" s="249"/>
      <c r="E1454" s="229"/>
      <c r="F1454" s="187"/>
    </row>
    <row r="1455" spans="1:6" x14ac:dyDescent="0.2">
      <c r="A1455" s="275"/>
      <c r="B1455" s="78"/>
      <c r="C1455" s="189"/>
      <c r="D1455" s="249"/>
      <c r="E1455" s="229"/>
      <c r="F1455" s="187"/>
    </row>
    <row r="1456" spans="1:6" x14ac:dyDescent="0.2">
      <c r="A1456" s="275"/>
      <c r="B1456" s="78"/>
      <c r="C1456" s="189"/>
      <c r="D1456" s="249"/>
      <c r="E1456" s="229"/>
      <c r="F1456" s="187"/>
    </row>
    <row r="1457" spans="1:6" x14ac:dyDescent="0.2">
      <c r="A1457" s="275"/>
      <c r="B1457" s="78"/>
      <c r="C1457" s="189"/>
      <c r="D1457" s="249"/>
      <c r="E1457" s="229"/>
      <c r="F1457" s="187"/>
    </row>
    <row r="1458" spans="1:6" x14ac:dyDescent="0.2">
      <c r="A1458" s="275"/>
      <c r="B1458" s="78"/>
      <c r="C1458" s="189"/>
      <c r="D1458" s="249"/>
      <c r="E1458" s="229"/>
      <c r="F1458" s="187"/>
    </row>
    <row r="1459" spans="1:6" x14ac:dyDescent="0.2">
      <c r="A1459" s="275"/>
      <c r="B1459" s="78"/>
      <c r="C1459" s="189"/>
      <c r="D1459" s="249"/>
      <c r="E1459" s="229"/>
      <c r="F1459" s="187"/>
    </row>
    <row r="1460" spans="1:6" x14ac:dyDescent="0.2">
      <c r="A1460" s="275"/>
      <c r="B1460" s="78"/>
      <c r="C1460" s="189"/>
      <c r="D1460" s="249"/>
      <c r="E1460" s="229"/>
      <c r="F1460" s="187"/>
    </row>
    <row r="1461" spans="1:6" x14ac:dyDescent="0.2">
      <c r="A1461" s="275"/>
      <c r="B1461" s="78"/>
      <c r="C1461" s="189"/>
      <c r="D1461" s="249"/>
      <c r="E1461" s="229"/>
      <c r="F1461" s="187"/>
    </row>
    <row r="1462" spans="1:6" x14ac:dyDescent="0.2">
      <c r="A1462" s="275"/>
      <c r="B1462" s="78"/>
      <c r="C1462" s="189"/>
      <c r="D1462" s="249"/>
      <c r="E1462" s="229"/>
      <c r="F1462" s="187"/>
    </row>
    <row r="1463" spans="1:6" x14ac:dyDescent="0.2">
      <c r="A1463" s="275"/>
      <c r="B1463" s="78"/>
      <c r="C1463" s="189"/>
      <c r="D1463" s="249"/>
      <c r="E1463" s="229"/>
      <c r="F1463" s="187"/>
    </row>
    <row r="1464" spans="1:6" x14ac:dyDescent="0.2">
      <c r="A1464" s="275"/>
      <c r="B1464" s="78"/>
      <c r="C1464" s="189"/>
      <c r="D1464" s="249"/>
      <c r="E1464" s="229"/>
      <c r="F1464" s="187"/>
    </row>
    <row r="1465" spans="1:6" x14ac:dyDescent="0.2">
      <c r="A1465" s="275"/>
      <c r="B1465" s="78"/>
      <c r="C1465" s="189"/>
      <c r="D1465" s="249"/>
      <c r="E1465" s="229"/>
      <c r="F1465" s="187"/>
    </row>
    <row r="1466" spans="1:6" x14ac:dyDescent="0.2">
      <c r="A1466" s="275"/>
      <c r="B1466" s="78"/>
      <c r="C1466" s="189"/>
      <c r="D1466" s="249"/>
      <c r="E1466" s="229"/>
      <c r="F1466" s="187"/>
    </row>
    <row r="1467" spans="1:6" x14ac:dyDescent="0.2">
      <c r="A1467" s="275"/>
      <c r="B1467" s="78"/>
      <c r="C1467" s="189"/>
      <c r="D1467" s="249"/>
      <c r="E1467" s="229"/>
      <c r="F1467" s="187"/>
    </row>
    <row r="1468" spans="1:6" x14ac:dyDescent="0.2">
      <c r="A1468" s="275"/>
      <c r="B1468" s="78"/>
      <c r="C1468" s="189"/>
      <c r="D1468" s="249"/>
      <c r="E1468" s="229"/>
      <c r="F1468" s="187"/>
    </row>
    <row r="1469" spans="1:6" x14ac:dyDescent="0.2">
      <c r="A1469" s="275"/>
      <c r="B1469" s="78"/>
      <c r="C1469" s="189"/>
      <c r="D1469" s="249"/>
      <c r="E1469" s="229"/>
      <c r="F1469" s="187"/>
    </row>
    <row r="1470" spans="1:6" x14ac:dyDescent="0.2">
      <c r="A1470" s="275"/>
      <c r="B1470" s="78"/>
      <c r="C1470" s="189"/>
      <c r="D1470" s="249"/>
      <c r="E1470" s="229"/>
      <c r="F1470" s="187"/>
    </row>
    <row r="1471" spans="1:6" x14ac:dyDescent="0.2">
      <c r="A1471" s="275"/>
      <c r="B1471" s="78"/>
      <c r="C1471" s="189"/>
      <c r="D1471" s="249"/>
      <c r="E1471" s="229"/>
      <c r="F1471" s="187"/>
    </row>
    <row r="1472" spans="1:6" x14ac:dyDescent="0.2">
      <c r="A1472" s="275"/>
      <c r="B1472" s="78"/>
      <c r="C1472" s="189"/>
      <c r="D1472" s="249"/>
      <c r="E1472" s="229"/>
      <c r="F1472" s="187"/>
    </row>
    <row r="1473" spans="1:6" x14ac:dyDescent="0.2">
      <c r="A1473" s="275"/>
      <c r="B1473" s="78"/>
      <c r="C1473" s="189"/>
      <c r="D1473" s="249"/>
      <c r="E1473" s="229"/>
      <c r="F1473" s="187"/>
    </row>
    <row r="1474" spans="1:6" x14ac:dyDescent="0.2">
      <c r="A1474" s="275"/>
      <c r="B1474" s="78"/>
      <c r="C1474" s="189"/>
      <c r="D1474" s="249"/>
      <c r="E1474" s="229"/>
      <c r="F1474" s="187"/>
    </row>
    <row r="1475" spans="1:6" x14ac:dyDescent="0.2">
      <c r="A1475" s="275"/>
      <c r="B1475" s="78"/>
      <c r="C1475" s="189"/>
      <c r="D1475" s="249"/>
      <c r="E1475" s="229"/>
      <c r="F1475" s="187"/>
    </row>
    <row r="1476" spans="1:6" x14ac:dyDescent="0.2">
      <c r="A1476" s="275"/>
      <c r="B1476" s="78"/>
      <c r="C1476" s="189"/>
      <c r="D1476" s="249"/>
      <c r="E1476" s="229"/>
      <c r="F1476" s="187"/>
    </row>
    <row r="1477" spans="1:6" x14ac:dyDescent="0.2">
      <c r="A1477" s="275"/>
      <c r="B1477" s="78"/>
      <c r="C1477" s="189"/>
      <c r="D1477" s="249"/>
      <c r="E1477" s="229"/>
      <c r="F1477" s="187"/>
    </row>
    <row r="1478" spans="1:6" x14ac:dyDescent="0.2">
      <c r="A1478" s="275"/>
      <c r="B1478" s="78"/>
      <c r="C1478" s="189"/>
      <c r="D1478" s="249"/>
      <c r="E1478" s="229"/>
      <c r="F1478" s="187"/>
    </row>
    <row r="1479" spans="1:6" x14ac:dyDescent="0.2">
      <c r="A1479" s="275"/>
      <c r="B1479" s="78"/>
      <c r="C1479" s="189"/>
      <c r="D1479" s="249"/>
      <c r="E1479" s="229"/>
      <c r="F1479" s="187"/>
    </row>
    <row r="1480" spans="1:6" x14ac:dyDescent="0.2">
      <c r="A1480" s="275"/>
      <c r="B1480" s="78"/>
      <c r="C1480" s="189"/>
      <c r="D1480" s="249"/>
      <c r="E1480" s="229"/>
      <c r="F1480" s="187"/>
    </row>
    <row r="1481" spans="1:6" x14ac:dyDescent="0.2">
      <c r="A1481" s="275"/>
      <c r="B1481" s="78"/>
      <c r="C1481" s="189"/>
      <c r="D1481" s="249"/>
      <c r="E1481" s="229"/>
      <c r="F1481" s="187"/>
    </row>
    <row r="1482" spans="1:6" x14ac:dyDescent="0.2">
      <c r="A1482" s="275"/>
      <c r="B1482" s="78"/>
      <c r="C1482" s="189"/>
      <c r="D1482" s="249"/>
      <c r="E1482" s="229"/>
      <c r="F1482" s="187"/>
    </row>
    <row r="1483" spans="1:6" x14ac:dyDescent="0.2">
      <c r="A1483" s="275"/>
      <c r="B1483" s="78"/>
      <c r="C1483" s="189"/>
      <c r="D1483" s="249"/>
      <c r="E1483" s="229"/>
      <c r="F1483" s="187"/>
    </row>
    <row r="1484" spans="1:6" x14ac:dyDescent="0.2">
      <c r="A1484" s="275"/>
      <c r="B1484" s="78"/>
      <c r="C1484" s="189"/>
      <c r="D1484" s="249"/>
      <c r="E1484" s="229"/>
      <c r="F1484" s="187"/>
    </row>
    <row r="1485" spans="1:6" x14ac:dyDescent="0.2">
      <c r="A1485" s="275"/>
      <c r="B1485" s="78"/>
      <c r="C1485" s="189"/>
      <c r="D1485" s="249"/>
      <c r="E1485" s="229"/>
      <c r="F1485" s="187"/>
    </row>
    <row r="1486" spans="1:6" x14ac:dyDescent="0.2">
      <c r="A1486" s="275"/>
      <c r="B1486" s="78"/>
      <c r="C1486" s="189"/>
      <c r="D1486" s="249"/>
      <c r="E1486" s="229"/>
      <c r="F1486" s="187"/>
    </row>
    <row r="1487" spans="1:6" x14ac:dyDescent="0.2">
      <c r="A1487" s="275"/>
      <c r="B1487" s="78"/>
      <c r="C1487" s="189"/>
      <c r="D1487" s="249"/>
      <c r="E1487" s="229"/>
      <c r="F1487" s="187"/>
    </row>
    <row r="1488" spans="1:6" x14ac:dyDescent="0.2">
      <c r="A1488" s="275"/>
      <c r="B1488" s="78"/>
      <c r="C1488" s="189"/>
      <c r="D1488" s="249"/>
      <c r="E1488" s="229"/>
      <c r="F1488" s="187"/>
    </row>
    <row r="1489" spans="1:6" x14ac:dyDescent="0.2">
      <c r="A1489" s="275"/>
      <c r="B1489" s="78"/>
      <c r="C1489" s="189"/>
      <c r="D1489" s="249"/>
      <c r="E1489" s="229"/>
      <c r="F1489" s="187"/>
    </row>
    <row r="1490" spans="1:6" x14ac:dyDescent="0.2">
      <c r="A1490" s="275"/>
      <c r="B1490" s="78"/>
      <c r="C1490" s="189"/>
      <c r="D1490" s="249"/>
      <c r="E1490" s="229"/>
      <c r="F1490" s="187"/>
    </row>
    <row r="1491" spans="1:6" x14ac:dyDescent="0.2">
      <c r="A1491" s="275"/>
      <c r="B1491" s="78"/>
      <c r="C1491" s="189"/>
      <c r="D1491" s="249"/>
      <c r="E1491" s="229"/>
      <c r="F1491" s="187"/>
    </row>
    <row r="1492" spans="1:6" x14ac:dyDescent="0.2">
      <c r="A1492" s="275"/>
      <c r="B1492" s="78"/>
      <c r="C1492" s="189"/>
      <c r="D1492" s="249"/>
      <c r="E1492" s="229"/>
      <c r="F1492" s="187"/>
    </row>
    <row r="1493" spans="1:6" x14ac:dyDescent="0.2">
      <c r="A1493" s="275"/>
      <c r="B1493" s="78"/>
      <c r="C1493" s="189"/>
      <c r="D1493" s="249"/>
      <c r="E1493" s="229"/>
      <c r="F1493" s="187"/>
    </row>
    <row r="1494" spans="1:6" x14ac:dyDescent="0.2">
      <c r="A1494" s="275"/>
      <c r="B1494" s="78"/>
      <c r="C1494" s="189"/>
      <c r="D1494" s="249"/>
      <c r="E1494" s="229"/>
      <c r="F1494" s="187"/>
    </row>
    <row r="1495" spans="1:6" x14ac:dyDescent="0.2">
      <c r="A1495" s="275"/>
      <c r="B1495" s="78"/>
      <c r="C1495" s="189"/>
      <c r="D1495" s="249"/>
      <c r="E1495" s="229"/>
      <c r="F1495" s="187"/>
    </row>
    <row r="1496" spans="1:6" x14ac:dyDescent="0.2">
      <c r="A1496" s="275"/>
      <c r="B1496" s="78"/>
      <c r="C1496" s="189"/>
      <c r="D1496" s="249"/>
      <c r="E1496" s="229"/>
      <c r="F1496" s="187"/>
    </row>
    <row r="1497" spans="1:6" x14ac:dyDescent="0.2">
      <c r="A1497" s="275"/>
      <c r="B1497" s="78"/>
      <c r="C1497" s="189"/>
      <c r="D1497" s="249"/>
      <c r="E1497" s="229"/>
      <c r="F1497" s="187"/>
    </row>
    <row r="1498" spans="1:6" x14ac:dyDescent="0.2">
      <c r="A1498" s="275"/>
      <c r="B1498" s="78"/>
      <c r="C1498" s="189"/>
      <c r="D1498" s="249"/>
      <c r="E1498" s="229"/>
      <c r="F1498" s="187"/>
    </row>
    <row r="1499" spans="1:6" x14ac:dyDescent="0.2">
      <c r="A1499" s="275"/>
      <c r="B1499" s="78"/>
      <c r="C1499" s="189"/>
      <c r="D1499" s="249"/>
      <c r="E1499" s="229"/>
      <c r="F1499" s="187"/>
    </row>
    <row r="1500" spans="1:6" x14ac:dyDescent="0.2">
      <c r="A1500" s="275"/>
      <c r="B1500" s="78"/>
      <c r="C1500" s="189"/>
      <c r="D1500" s="249"/>
      <c r="E1500" s="229"/>
      <c r="F1500" s="187"/>
    </row>
    <row r="1501" spans="1:6" x14ac:dyDescent="0.2">
      <c r="A1501" s="275"/>
      <c r="B1501" s="78"/>
      <c r="C1501" s="189"/>
      <c r="D1501" s="249"/>
      <c r="E1501" s="229"/>
      <c r="F1501" s="187"/>
    </row>
    <row r="1502" spans="1:6" x14ac:dyDescent="0.2">
      <c r="A1502" s="275"/>
      <c r="B1502" s="78"/>
      <c r="C1502" s="189"/>
      <c r="D1502" s="249"/>
      <c r="E1502" s="229"/>
      <c r="F1502" s="187"/>
    </row>
    <row r="1503" spans="1:6" x14ac:dyDescent="0.2">
      <c r="A1503" s="275"/>
      <c r="B1503" s="78"/>
      <c r="C1503" s="189"/>
      <c r="D1503" s="249"/>
      <c r="E1503" s="229"/>
      <c r="F1503" s="187"/>
    </row>
    <row r="1504" spans="1:6" x14ac:dyDescent="0.2">
      <c r="A1504" s="275"/>
      <c r="B1504" s="78"/>
      <c r="C1504" s="189"/>
      <c r="D1504" s="249"/>
      <c r="E1504" s="229"/>
      <c r="F1504" s="187"/>
    </row>
    <row r="1505" spans="1:6" x14ac:dyDescent="0.2">
      <c r="A1505" s="275"/>
      <c r="B1505" s="78"/>
      <c r="C1505" s="189"/>
      <c r="D1505" s="249"/>
      <c r="E1505" s="229"/>
      <c r="F1505" s="187"/>
    </row>
    <row r="1506" spans="1:6" x14ac:dyDescent="0.2">
      <c r="A1506" s="275"/>
      <c r="B1506" s="78"/>
      <c r="C1506" s="189"/>
      <c r="D1506" s="249"/>
      <c r="E1506" s="229"/>
      <c r="F1506" s="187"/>
    </row>
    <row r="1507" spans="1:6" x14ac:dyDescent="0.2">
      <c r="A1507" s="275"/>
      <c r="B1507" s="78"/>
      <c r="C1507" s="189"/>
      <c r="D1507" s="249"/>
      <c r="E1507" s="229"/>
      <c r="F1507" s="187"/>
    </row>
    <row r="1508" spans="1:6" x14ac:dyDescent="0.2">
      <c r="A1508" s="275"/>
      <c r="B1508" s="78"/>
      <c r="C1508" s="189"/>
      <c r="D1508" s="249"/>
      <c r="E1508" s="229"/>
      <c r="F1508" s="187"/>
    </row>
    <row r="1509" spans="1:6" x14ac:dyDescent="0.2">
      <c r="A1509" s="275"/>
      <c r="B1509" s="78"/>
      <c r="C1509" s="189"/>
      <c r="D1509" s="249"/>
      <c r="E1509" s="229"/>
      <c r="F1509" s="187"/>
    </row>
    <row r="1510" spans="1:6" x14ac:dyDescent="0.2">
      <c r="A1510" s="275"/>
      <c r="B1510" s="78"/>
      <c r="C1510" s="189"/>
      <c r="D1510" s="249"/>
      <c r="E1510" s="229"/>
      <c r="F1510" s="187"/>
    </row>
    <row r="1511" spans="1:6" x14ac:dyDescent="0.2">
      <c r="A1511" s="275"/>
      <c r="B1511" s="78"/>
      <c r="C1511" s="189"/>
      <c r="D1511" s="249"/>
      <c r="E1511" s="229"/>
      <c r="F1511" s="187"/>
    </row>
    <row r="1512" spans="1:6" x14ac:dyDescent="0.2">
      <c r="A1512" s="275"/>
      <c r="B1512" s="78"/>
      <c r="C1512" s="189"/>
      <c r="D1512" s="249"/>
      <c r="E1512" s="229"/>
      <c r="F1512" s="187"/>
    </row>
    <row r="1513" spans="1:6" x14ac:dyDescent="0.2">
      <c r="A1513" s="275"/>
      <c r="B1513" s="78"/>
      <c r="C1513" s="189"/>
      <c r="D1513" s="249"/>
      <c r="E1513" s="229"/>
      <c r="F1513" s="187"/>
    </row>
    <row r="1514" spans="1:6" x14ac:dyDescent="0.2">
      <c r="A1514" s="275"/>
      <c r="B1514" s="78"/>
      <c r="C1514" s="189"/>
      <c r="D1514" s="249"/>
      <c r="E1514" s="229"/>
      <c r="F1514" s="187"/>
    </row>
    <row r="1515" spans="1:6" x14ac:dyDescent="0.2">
      <c r="A1515" s="275"/>
      <c r="B1515" s="78"/>
      <c r="C1515" s="189"/>
      <c r="D1515" s="249"/>
      <c r="E1515" s="229"/>
      <c r="F1515" s="187"/>
    </row>
    <row r="1516" spans="1:6" x14ac:dyDescent="0.2">
      <c r="A1516" s="275"/>
      <c r="B1516" s="78"/>
      <c r="C1516" s="189"/>
      <c r="D1516" s="249"/>
      <c r="E1516" s="229"/>
      <c r="F1516" s="187"/>
    </row>
    <row r="1517" spans="1:6" x14ac:dyDescent="0.2">
      <c r="A1517" s="275"/>
      <c r="B1517" s="78"/>
      <c r="C1517" s="189"/>
      <c r="D1517" s="249"/>
      <c r="E1517" s="229"/>
      <c r="F1517" s="187"/>
    </row>
    <row r="1518" spans="1:6" x14ac:dyDescent="0.2">
      <c r="A1518" s="275"/>
      <c r="B1518" s="78"/>
      <c r="C1518" s="189"/>
      <c r="D1518" s="249"/>
      <c r="E1518" s="229"/>
      <c r="F1518" s="187"/>
    </row>
    <row r="1519" spans="1:6" x14ac:dyDescent="0.2">
      <c r="A1519" s="275"/>
      <c r="B1519" s="78"/>
      <c r="C1519" s="189"/>
      <c r="D1519" s="249"/>
      <c r="E1519" s="229"/>
      <c r="F1519" s="187"/>
    </row>
    <row r="1520" spans="1:6" x14ac:dyDescent="0.2">
      <c r="A1520" s="275"/>
      <c r="B1520" s="78"/>
      <c r="C1520" s="189"/>
      <c r="D1520" s="249"/>
      <c r="E1520" s="229"/>
      <c r="F1520" s="187"/>
    </row>
    <row r="1521" spans="1:6" x14ac:dyDescent="0.2">
      <c r="A1521" s="275"/>
      <c r="B1521" s="78"/>
      <c r="C1521" s="189"/>
      <c r="D1521" s="249"/>
      <c r="E1521" s="229"/>
      <c r="F1521" s="187"/>
    </row>
    <row r="1522" spans="1:6" x14ac:dyDescent="0.2">
      <c r="A1522" s="275"/>
      <c r="B1522" s="78"/>
      <c r="C1522" s="189"/>
      <c r="D1522" s="249"/>
      <c r="E1522" s="229"/>
      <c r="F1522" s="187"/>
    </row>
    <row r="1523" spans="1:6" x14ac:dyDescent="0.2">
      <c r="A1523" s="275"/>
      <c r="B1523" s="78"/>
      <c r="C1523" s="189"/>
      <c r="D1523" s="249"/>
      <c r="E1523" s="229"/>
      <c r="F1523" s="187"/>
    </row>
    <row r="1524" spans="1:6" x14ac:dyDescent="0.2">
      <c r="A1524" s="275"/>
      <c r="B1524" s="78"/>
      <c r="C1524" s="189"/>
      <c r="D1524" s="249"/>
      <c r="E1524" s="229"/>
      <c r="F1524" s="187"/>
    </row>
    <row r="1525" spans="1:6" x14ac:dyDescent="0.2">
      <c r="A1525" s="275"/>
      <c r="B1525" s="78"/>
      <c r="C1525" s="189"/>
      <c r="D1525" s="249"/>
      <c r="E1525" s="229"/>
      <c r="F1525" s="187"/>
    </row>
    <row r="1526" spans="1:6" x14ac:dyDescent="0.2">
      <c r="A1526" s="275"/>
      <c r="B1526" s="78"/>
      <c r="C1526" s="189"/>
      <c r="D1526" s="249"/>
      <c r="E1526" s="229"/>
      <c r="F1526" s="187"/>
    </row>
    <row r="1527" spans="1:6" x14ac:dyDescent="0.2">
      <c r="A1527" s="275"/>
      <c r="B1527" s="78"/>
      <c r="C1527" s="189"/>
      <c r="D1527" s="249"/>
      <c r="E1527" s="229"/>
      <c r="F1527" s="187"/>
    </row>
    <row r="1528" spans="1:6" x14ac:dyDescent="0.2">
      <c r="A1528" s="275"/>
      <c r="B1528" s="78"/>
      <c r="C1528" s="189"/>
      <c r="D1528" s="249"/>
      <c r="E1528" s="229"/>
      <c r="F1528" s="187"/>
    </row>
    <row r="1529" spans="1:6" x14ac:dyDescent="0.2">
      <c r="A1529" s="275"/>
      <c r="B1529" s="78"/>
      <c r="C1529" s="189"/>
      <c r="D1529" s="249"/>
      <c r="E1529" s="229"/>
      <c r="F1529" s="187"/>
    </row>
    <row r="1530" spans="1:6" x14ac:dyDescent="0.2">
      <c r="A1530" s="275"/>
      <c r="B1530" s="78"/>
      <c r="C1530" s="189"/>
      <c r="D1530" s="249"/>
      <c r="E1530" s="229"/>
      <c r="F1530" s="187"/>
    </row>
    <row r="1531" spans="1:6" x14ac:dyDescent="0.2">
      <c r="A1531" s="275"/>
      <c r="B1531" s="78"/>
      <c r="C1531" s="189"/>
      <c r="D1531" s="249"/>
      <c r="E1531" s="229"/>
      <c r="F1531" s="187"/>
    </row>
    <row r="1532" spans="1:6" x14ac:dyDescent="0.2">
      <c r="A1532" s="275"/>
      <c r="B1532" s="78"/>
      <c r="C1532" s="189"/>
      <c r="D1532" s="249"/>
      <c r="E1532" s="229"/>
      <c r="F1532" s="187"/>
    </row>
    <row r="1533" spans="1:6" x14ac:dyDescent="0.2">
      <c r="A1533" s="275"/>
      <c r="B1533" s="78"/>
      <c r="C1533" s="189"/>
      <c r="D1533" s="249"/>
      <c r="E1533" s="229"/>
      <c r="F1533" s="187"/>
    </row>
    <row r="1534" spans="1:6" x14ac:dyDescent="0.2">
      <c r="A1534" s="275"/>
      <c r="B1534" s="78"/>
      <c r="C1534" s="189"/>
      <c r="D1534" s="249"/>
      <c r="E1534" s="229"/>
      <c r="F1534" s="187"/>
    </row>
    <row r="1535" spans="1:6" x14ac:dyDescent="0.2">
      <c r="A1535" s="275"/>
      <c r="B1535" s="78"/>
      <c r="C1535" s="189"/>
      <c r="D1535" s="249"/>
      <c r="E1535" s="229"/>
      <c r="F1535" s="187"/>
    </row>
    <row r="1536" spans="1:6" x14ac:dyDescent="0.2">
      <c r="A1536" s="275"/>
      <c r="B1536" s="78"/>
      <c r="C1536" s="189"/>
      <c r="D1536" s="249"/>
      <c r="E1536" s="229"/>
      <c r="F1536" s="187"/>
    </row>
    <row r="1537" spans="1:6" x14ac:dyDescent="0.2">
      <c r="A1537" s="275"/>
      <c r="B1537" s="78"/>
      <c r="C1537" s="189"/>
      <c r="D1537" s="249"/>
      <c r="E1537" s="229"/>
      <c r="F1537" s="187"/>
    </row>
    <row r="1538" spans="1:6" x14ac:dyDescent="0.2">
      <c r="A1538" s="275"/>
      <c r="B1538" s="78"/>
      <c r="C1538" s="189"/>
      <c r="D1538" s="249"/>
      <c r="E1538" s="229"/>
      <c r="F1538" s="187"/>
    </row>
    <row r="1539" spans="1:6" x14ac:dyDescent="0.2">
      <c r="A1539" s="275"/>
      <c r="B1539" s="78"/>
      <c r="C1539" s="189"/>
      <c r="D1539" s="249"/>
      <c r="E1539" s="229"/>
      <c r="F1539" s="187"/>
    </row>
    <row r="1540" spans="1:6" x14ac:dyDescent="0.2">
      <c r="A1540" s="275"/>
      <c r="B1540" s="78"/>
      <c r="C1540" s="189"/>
      <c r="D1540" s="249"/>
      <c r="E1540" s="229"/>
      <c r="F1540" s="187"/>
    </row>
    <row r="1541" spans="1:6" x14ac:dyDescent="0.2">
      <c r="A1541" s="275"/>
      <c r="B1541" s="78"/>
      <c r="C1541" s="189"/>
      <c r="D1541" s="249"/>
      <c r="E1541" s="229"/>
      <c r="F1541" s="187"/>
    </row>
    <row r="1542" spans="1:6" x14ac:dyDescent="0.2">
      <c r="A1542" s="275"/>
      <c r="B1542" s="78"/>
      <c r="C1542" s="189"/>
      <c r="D1542" s="249"/>
      <c r="E1542" s="229"/>
      <c r="F1542" s="187"/>
    </row>
    <row r="1543" spans="1:6" x14ac:dyDescent="0.2">
      <c r="A1543" s="275"/>
      <c r="B1543" s="78"/>
      <c r="C1543" s="189"/>
      <c r="D1543" s="249"/>
      <c r="E1543" s="229"/>
      <c r="F1543" s="187"/>
    </row>
    <row r="1544" spans="1:6" x14ac:dyDescent="0.2">
      <c r="A1544" s="275"/>
      <c r="B1544" s="78"/>
      <c r="C1544" s="189"/>
      <c r="D1544" s="249"/>
      <c r="E1544" s="229"/>
      <c r="F1544" s="187"/>
    </row>
    <row r="1545" spans="1:6" x14ac:dyDescent="0.2">
      <c r="A1545" s="275"/>
      <c r="B1545" s="78"/>
      <c r="C1545" s="189"/>
      <c r="D1545" s="249"/>
      <c r="E1545" s="229"/>
      <c r="F1545" s="187"/>
    </row>
    <row r="1546" spans="1:6" x14ac:dyDescent="0.2">
      <c r="A1546" s="275"/>
      <c r="B1546" s="78"/>
      <c r="C1546" s="189"/>
      <c r="D1546" s="249"/>
      <c r="E1546" s="229"/>
      <c r="F1546" s="187"/>
    </row>
    <row r="1547" spans="1:6" x14ac:dyDescent="0.2">
      <c r="A1547" s="275"/>
      <c r="B1547" s="78"/>
      <c r="C1547" s="189"/>
      <c r="D1547" s="249"/>
      <c r="E1547" s="229"/>
      <c r="F1547" s="187"/>
    </row>
    <row r="1548" spans="1:6" x14ac:dyDescent="0.2">
      <c r="A1548" s="275"/>
      <c r="B1548" s="78"/>
      <c r="C1548" s="189"/>
      <c r="D1548" s="249"/>
      <c r="E1548" s="229"/>
      <c r="F1548" s="187"/>
    </row>
    <row r="1549" spans="1:6" x14ac:dyDescent="0.2">
      <c r="A1549" s="275"/>
      <c r="B1549" s="78"/>
      <c r="C1549" s="189"/>
      <c r="D1549" s="249"/>
      <c r="E1549" s="229"/>
      <c r="F1549" s="187"/>
    </row>
    <row r="1550" spans="1:6" x14ac:dyDescent="0.2">
      <c r="A1550" s="275"/>
      <c r="B1550" s="78"/>
      <c r="C1550" s="189"/>
      <c r="D1550" s="249"/>
      <c r="E1550" s="229"/>
      <c r="F1550" s="187"/>
    </row>
    <row r="1551" spans="1:6" x14ac:dyDescent="0.2">
      <c r="A1551" s="275"/>
      <c r="B1551" s="78"/>
      <c r="C1551" s="189"/>
      <c r="D1551" s="249"/>
      <c r="E1551" s="229"/>
      <c r="F1551" s="187"/>
    </row>
    <row r="1552" spans="1:6" x14ac:dyDescent="0.2">
      <c r="A1552" s="275"/>
      <c r="B1552" s="78"/>
      <c r="C1552" s="189"/>
      <c r="D1552" s="249"/>
      <c r="E1552" s="229"/>
      <c r="F1552" s="187"/>
    </row>
    <row r="1553" spans="1:6" x14ac:dyDescent="0.2">
      <c r="A1553" s="275"/>
      <c r="B1553" s="78"/>
      <c r="C1553" s="189"/>
      <c r="D1553" s="249"/>
      <c r="E1553" s="229"/>
      <c r="F1553" s="187"/>
    </row>
    <row r="1554" spans="1:6" x14ac:dyDescent="0.2">
      <c r="A1554" s="275"/>
      <c r="B1554" s="78"/>
      <c r="C1554" s="189"/>
      <c r="D1554" s="249"/>
      <c r="E1554" s="229"/>
      <c r="F1554" s="187"/>
    </row>
    <row r="1555" spans="1:6" x14ac:dyDescent="0.2">
      <c r="A1555" s="275"/>
      <c r="B1555" s="78"/>
      <c r="C1555" s="189"/>
      <c r="D1555" s="249"/>
      <c r="E1555" s="229"/>
      <c r="F1555" s="187"/>
    </row>
    <row r="1556" spans="1:6" x14ac:dyDescent="0.2">
      <c r="A1556" s="275"/>
      <c r="B1556" s="78"/>
      <c r="C1556" s="189"/>
      <c r="D1556" s="249"/>
      <c r="E1556" s="229"/>
      <c r="F1556" s="187"/>
    </row>
    <row r="1557" spans="1:6" x14ac:dyDescent="0.2">
      <c r="A1557" s="275"/>
      <c r="B1557" s="78"/>
      <c r="C1557" s="189"/>
      <c r="D1557" s="249"/>
      <c r="E1557" s="229"/>
      <c r="F1557" s="187"/>
    </row>
    <row r="1558" spans="1:6" x14ac:dyDescent="0.2">
      <c r="A1558" s="275"/>
      <c r="B1558" s="78"/>
      <c r="C1558" s="189"/>
      <c r="D1558" s="249"/>
      <c r="E1558" s="229"/>
      <c r="F1558" s="187"/>
    </row>
    <row r="1559" spans="1:6" x14ac:dyDescent="0.2">
      <c r="A1559" s="275"/>
      <c r="B1559" s="78"/>
      <c r="C1559" s="189"/>
      <c r="D1559" s="249"/>
      <c r="E1559" s="229"/>
      <c r="F1559" s="187"/>
    </row>
    <row r="1560" spans="1:6" x14ac:dyDescent="0.2">
      <c r="A1560" s="275"/>
      <c r="B1560" s="78"/>
      <c r="C1560" s="189"/>
      <c r="D1560" s="249"/>
      <c r="E1560" s="229"/>
      <c r="F1560" s="187"/>
    </row>
    <row r="1561" spans="1:6" x14ac:dyDescent="0.2">
      <c r="A1561" s="275"/>
      <c r="B1561" s="78"/>
      <c r="C1561" s="189"/>
      <c r="D1561" s="249"/>
      <c r="E1561" s="229"/>
      <c r="F1561" s="187"/>
    </row>
    <row r="1562" spans="1:6" x14ac:dyDescent="0.2">
      <c r="A1562" s="275"/>
      <c r="B1562" s="78"/>
      <c r="C1562" s="189"/>
      <c r="D1562" s="249"/>
      <c r="E1562" s="229"/>
      <c r="F1562" s="187"/>
    </row>
    <row r="1563" spans="1:6" x14ac:dyDescent="0.2">
      <c r="A1563" s="275"/>
      <c r="B1563" s="78"/>
      <c r="C1563" s="189"/>
      <c r="D1563" s="249"/>
      <c r="E1563" s="229"/>
      <c r="F1563" s="187"/>
    </row>
    <row r="1564" spans="1:6" x14ac:dyDescent="0.2">
      <c r="A1564" s="275"/>
      <c r="B1564" s="78"/>
      <c r="C1564" s="189"/>
      <c r="D1564" s="249"/>
      <c r="E1564" s="229"/>
      <c r="F1564" s="187"/>
    </row>
    <row r="1565" spans="1:6" x14ac:dyDescent="0.2">
      <c r="A1565" s="275"/>
      <c r="B1565" s="78"/>
      <c r="C1565" s="189"/>
      <c r="D1565" s="249"/>
      <c r="E1565" s="229"/>
      <c r="F1565" s="187"/>
    </row>
    <row r="1566" spans="1:6" x14ac:dyDescent="0.2">
      <c r="A1566" s="275"/>
      <c r="B1566" s="78"/>
      <c r="C1566" s="189"/>
      <c r="D1566" s="249"/>
      <c r="E1566" s="229"/>
      <c r="F1566" s="187"/>
    </row>
    <row r="1567" spans="1:6" x14ac:dyDescent="0.2">
      <c r="A1567" s="275"/>
      <c r="B1567" s="78"/>
      <c r="C1567" s="189"/>
      <c r="D1567" s="249"/>
      <c r="E1567" s="229"/>
      <c r="F1567" s="187"/>
    </row>
    <row r="1568" spans="1:6" x14ac:dyDescent="0.2">
      <c r="A1568" s="275"/>
      <c r="B1568" s="78"/>
      <c r="C1568" s="189"/>
      <c r="D1568" s="249"/>
      <c r="E1568" s="229"/>
      <c r="F1568" s="187"/>
    </row>
    <row r="1569" spans="1:6" x14ac:dyDescent="0.2">
      <c r="A1569" s="275"/>
      <c r="B1569" s="78"/>
      <c r="C1569" s="189"/>
      <c r="D1569" s="249"/>
      <c r="E1569" s="229"/>
      <c r="F1569" s="187"/>
    </row>
    <row r="1570" spans="1:6" x14ac:dyDescent="0.2">
      <c r="A1570" s="275"/>
      <c r="B1570" s="78"/>
      <c r="C1570" s="189"/>
      <c r="D1570" s="249"/>
      <c r="E1570" s="229"/>
      <c r="F1570" s="187"/>
    </row>
    <row r="1571" spans="1:6" x14ac:dyDescent="0.2">
      <c r="A1571" s="275"/>
      <c r="B1571" s="78"/>
      <c r="C1571" s="189"/>
      <c r="D1571" s="249"/>
      <c r="E1571" s="229"/>
      <c r="F1571" s="187"/>
    </row>
    <row r="1572" spans="1:6" x14ac:dyDescent="0.2">
      <c r="A1572" s="275"/>
      <c r="B1572" s="78"/>
      <c r="C1572" s="189"/>
      <c r="D1572" s="249"/>
      <c r="E1572" s="229"/>
      <c r="F1572" s="187"/>
    </row>
    <row r="1573" spans="1:6" x14ac:dyDescent="0.2">
      <c r="A1573" s="275"/>
      <c r="B1573" s="78"/>
      <c r="C1573" s="189"/>
      <c r="D1573" s="249"/>
      <c r="E1573" s="229"/>
      <c r="F1573" s="187"/>
    </row>
    <row r="1574" spans="1:6" x14ac:dyDescent="0.2">
      <c r="A1574" s="275"/>
      <c r="B1574" s="78"/>
      <c r="C1574" s="189"/>
      <c r="D1574" s="249"/>
      <c r="E1574" s="229"/>
      <c r="F1574" s="187"/>
    </row>
    <row r="1575" spans="1:6" x14ac:dyDescent="0.2">
      <c r="A1575" s="275"/>
      <c r="B1575" s="78"/>
      <c r="C1575" s="189"/>
      <c r="D1575" s="249"/>
      <c r="E1575" s="229"/>
      <c r="F1575" s="187"/>
    </row>
    <row r="1576" spans="1:6" x14ac:dyDescent="0.2">
      <c r="A1576" s="275"/>
      <c r="B1576" s="78"/>
      <c r="C1576" s="189"/>
      <c r="D1576" s="249"/>
      <c r="E1576" s="229"/>
      <c r="F1576" s="187"/>
    </row>
    <row r="1577" spans="1:6" x14ac:dyDescent="0.2">
      <c r="A1577" s="275"/>
      <c r="B1577" s="78"/>
      <c r="C1577" s="189"/>
      <c r="D1577" s="249"/>
      <c r="E1577" s="229"/>
      <c r="F1577" s="187"/>
    </row>
    <row r="1578" spans="1:6" x14ac:dyDescent="0.2">
      <c r="A1578" s="275"/>
      <c r="B1578" s="78"/>
      <c r="C1578" s="189"/>
      <c r="D1578" s="249"/>
      <c r="E1578" s="229"/>
      <c r="F1578" s="187"/>
    </row>
    <row r="1579" spans="1:6" x14ac:dyDescent="0.2">
      <c r="A1579" s="275"/>
      <c r="B1579" s="78"/>
      <c r="C1579" s="189"/>
      <c r="D1579" s="249"/>
      <c r="E1579" s="229"/>
      <c r="F1579" s="187"/>
    </row>
    <row r="1580" spans="1:6" x14ac:dyDescent="0.2">
      <c r="A1580" s="275"/>
      <c r="B1580" s="78"/>
      <c r="C1580" s="189"/>
      <c r="D1580" s="249"/>
      <c r="E1580" s="229"/>
      <c r="F1580" s="187"/>
    </row>
    <row r="1581" spans="1:6" x14ac:dyDescent="0.2">
      <c r="A1581" s="275"/>
      <c r="B1581" s="78"/>
      <c r="C1581" s="189"/>
      <c r="D1581" s="249"/>
      <c r="E1581" s="229"/>
      <c r="F1581" s="187"/>
    </row>
    <row r="1582" spans="1:6" x14ac:dyDescent="0.2">
      <c r="A1582" s="275"/>
      <c r="B1582" s="78"/>
      <c r="C1582" s="189"/>
      <c r="D1582" s="249"/>
      <c r="E1582" s="229"/>
      <c r="F1582" s="187"/>
    </row>
    <row r="1583" spans="1:6" x14ac:dyDescent="0.2">
      <c r="A1583" s="275"/>
      <c r="B1583" s="78"/>
      <c r="C1583" s="189"/>
      <c r="D1583" s="249"/>
      <c r="E1583" s="229"/>
      <c r="F1583" s="187"/>
    </row>
    <row r="1584" spans="1:6" x14ac:dyDescent="0.2">
      <c r="A1584" s="275"/>
      <c r="B1584" s="78"/>
      <c r="C1584" s="189"/>
      <c r="D1584" s="249"/>
      <c r="E1584" s="229"/>
      <c r="F1584" s="187"/>
    </row>
    <row r="1585" spans="1:6" x14ac:dyDescent="0.2">
      <c r="A1585" s="275"/>
      <c r="B1585" s="78"/>
      <c r="C1585" s="189"/>
      <c r="D1585" s="249"/>
      <c r="E1585" s="229"/>
      <c r="F1585" s="187"/>
    </row>
    <row r="1586" spans="1:6" x14ac:dyDescent="0.2">
      <c r="A1586" s="275"/>
      <c r="B1586" s="78"/>
      <c r="C1586" s="189"/>
      <c r="D1586" s="249"/>
      <c r="E1586" s="229"/>
      <c r="F1586" s="187"/>
    </row>
    <row r="1587" spans="1:6" x14ac:dyDescent="0.2">
      <c r="A1587" s="275"/>
      <c r="B1587" s="78"/>
      <c r="C1587" s="189"/>
      <c r="D1587" s="249"/>
      <c r="E1587" s="229"/>
      <c r="F1587" s="187"/>
    </row>
    <row r="1588" spans="1:6" x14ac:dyDescent="0.2">
      <c r="A1588" s="275"/>
      <c r="B1588" s="78"/>
      <c r="C1588" s="189"/>
      <c r="D1588" s="249"/>
      <c r="E1588" s="229"/>
      <c r="F1588" s="187"/>
    </row>
    <row r="1589" spans="1:6" x14ac:dyDescent="0.2">
      <c r="A1589" s="275"/>
      <c r="B1589" s="78"/>
      <c r="C1589" s="189"/>
      <c r="D1589" s="249"/>
      <c r="E1589" s="229"/>
      <c r="F1589" s="187"/>
    </row>
    <row r="1590" spans="1:6" x14ac:dyDescent="0.2">
      <c r="A1590" s="275"/>
      <c r="B1590" s="78"/>
      <c r="C1590" s="189"/>
      <c r="D1590" s="249"/>
      <c r="E1590" s="229"/>
      <c r="F1590" s="187"/>
    </row>
    <row r="1591" spans="1:6" x14ac:dyDescent="0.2">
      <c r="A1591" s="275"/>
      <c r="B1591" s="78"/>
      <c r="C1591" s="189"/>
      <c r="D1591" s="249"/>
      <c r="E1591" s="229"/>
      <c r="F1591" s="187"/>
    </row>
    <row r="1592" spans="1:6" x14ac:dyDescent="0.2">
      <c r="A1592" s="275"/>
      <c r="B1592" s="78"/>
      <c r="C1592" s="189"/>
      <c r="D1592" s="249"/>
      <c r="E1592" s="229"/>
      <c r="F1592" s="187"/>
    </row>
    <row r="1593" spans="1:6" x14ac:dyDescent="0.2">
      <c r="A1593" s="275"/>
      <c r="B1593" s="78"/>
      <c r="C1593" s="189"/>
      <c r="D1593" s="249"/>
      <c r="E1593" s="229"/>
      <c r="F1593" s="187"/>
    </row>
    <row r="1594" spans="1:6" x14ac:dyDescent="0.2">
      <c r="A1594" s="275"/>
      <c r="B1594" s="78"/>
      <c r="C1594" s="189"/>
      <c r="D1594" s="249"/>
      <c r="E1594" s="229"/>
      <c r="F1594" s="187"/>
    </row>
    <row r="1595" spans="1:6" x14ac:dyDescent="0.2">
      <c r="A1595" s="275"/>
      <c r="B1595" s="78"/>
      <c r="C1595" s="189"/>
      <c r="D1595" s="249"/>
      <c r="E1595" s="229"/>
      <c r="F1595" s="187"/>
    </row>
    <row r="1596" spans="1:6" x14ac:dyDescent="0.2">
      <c r="A1596" s="275"/>
      <c r="B1596" s="78"/>
      <c r="C1596" s="189"/>
      <c r="D1596" s="249"/>
      <c r="E1596" s="229"/>
      <c r="F1596" s="187"/>
    </row>
    <row r="1597" spans="1:6" x14ac:dyDescent="0.2">
      <c r="A1597" s="275"/>
      <c r="B1597" s="78"/>
      <c r="C1597" s="189"/>
      <c r="D1597" s="249"/>
      <c r="E1597" s="229"/>
      <c r="F1597" s="187"/>
    </row>
    <row r="1598" spans="1:6" x14ac:dyDescent="0.2">
      <c r="A1598" s="275"/>
      <c r="B1598" s="78"/>
      <c r="C1598" s="189"/>
      <c r="D1598" s="249"/>
      <c r="E1598" s="229"/>
      <c r="F1598" s="187"/>
    </row>
    <row r="1599" spans="1:6" x14ac:dyDescent="0.2">
      <c r="A1599" s="275"/>
      <c r="B1599" s="78"/>
      <c r="C1599" s="189"/>
      <c r="D1599" s="249"/>
      <c r="E1599" s="229"/>
      <c r="F1599" s="187"/>
    </row>
    <row r="1600" spans="1:6" x14ac:dyDescent="0.2">
      <c r="A1600" s="275"/>
      <c r="B1600" s="78"/>
      <c r="C1600" s="189"/>
      <c r="D1600" s="249"/>
      <c r="E1600" s="229"/>
      <c r="F1600" s="187"/>
    </row>
    <row r="1601" spans="1:6" x14ac:dyDescent="0.2">
      <c r="A1601" s="275"/>
      <c r="B1601" s="78"/>
      <c r="C1601" s="189"/>
      <c r="D1601" s="249"/>
      <c r="E1601" s="229"/>
      <c r="F1601" s="187"/>
    </row>
    <row r="1602" spans="1:6" x14ac:dyDescent="0.2">
      <c r="A1602" s="275"/>
      <c r="B1602" s="78"/>
      <c r="C1602" s="189"/>
      <c r="D1602" s="249"/>
      <c r="E1602" s="229"/>
      <c r="F1602" s="187"/>
    </row>
    <row r="1603" spans="1:6" x14ac:dyDescent="0.2">
      <c r="A1603" s="275"/>
      <c r="B1603" s="78"/>
      <c r="C1603" s="189"/>
      <c r="D1603" s="249"/>
      <c r="E1603" s="229"/>
      <c r="F1603" s="187"/>
    </row>
    <row r="1604" spans="1:6" x14ac:dyDescent="0.2">
      <c r="A1604" s="275"/>
      <c r="B1604" s="78"/>
      <c r="C1604" s="189"/>
      <c r="D1604" s="249"/>
      <c r="E1604" s="229"/>
      <c r="F1604" s="187"/>
    </row>
    <row r="1605" spans="1:6" x14ac:dyDescent="0.2">
      <c r="A1605" s="275"/>
      <c r="B1605" s="78"/>
      <c r="C1605" s="189"/>
      <c r="D1605" s="249"/>
      <c r="E1605" s="229"/>
      <c r="F1605" s="187"/>
    </row>
    <row r="1606" spans="1:6" x14ac:dyDescent="0.2">
      <c r="A1606" s="275"/>
      <c r="B1606" s="78"/>
      <c r="C1606" s="189"/>
      <c r="D1606" s="249"/>
      <c r="E1606" s="229"/>
      <c r="F1606" s="187"/>
    </row>
    <row r="1607" spans="1:6" x14ac:dyDescent="0.2">
      <c r="A1607" s="275"/>
      <c r="B1607" s="78"/>
      <c r="C1607" s="189"/>
      <c r="D1607" s="249"/>
      <c r="E1607" s="229"/>
      <c r="F1607" s="187"/>
    </row>
    <row r="1608" spans="1:6" x14ac:dyDescent="0.2">
      <c r="A1608" s="275"/>
      <c r="B1608" s="78"/>
      <c r="C1608" s="189"/>
      <c r="D1608" s="249"/>
      <c r="E1608" s="229"/>
      <c r="F1608" s="187"/>
    </row>
    <row r="1609" spans="1:6" x14ac:dyDescent="0.2">
      <c r="A1609" s="275"/>
      <c r="B1609" s="78"/>
      <c r="C1609" s="189"/>
      <c r="D1609" s="249"/>
      <c r="E1609" s="229"/>
      <c r="F1609" s="187"/>
    </row>
    <row r="1610" spans="1:6" x14ac:dyDescent="0.2">
      <c r="A1610" s="275"/>
      <c r="B1610" s="78"/>
      <c r="C1610" s="189"/>
      <c r="D1610" s="249"/>
      <c r="E1610" s="229"/>
      <c r="F1610" s="187"/>
    </row>
    <row r="1611" spans="1:6" x14ac:dyDescent="0.2">
      <c r="A1611" s="275"/>
      <c r="B1611" s="78"/>
      <c r="C1611" s="189"/>
      <c r="D1611" s="249"/>
      <c r="E1611" s="229"/>
      <c r="F1611" s="187"/>
    </row>
    <row r="1612" spans="1:6" x14ac:dyDescent="0.2">
      <c r="A1612" s="275"/>
      <c r="B1612" s="78"/>
      <c r="C1612" s="189"/>
      <c r="D1612" s="249"/>
      <c r="E1612" s="229"/>
      <c r="F1612" s="187"/>
    </row>
    <row r="1613" spans="1:6" x14ac:dyDescent="0.2">
      <c r="A1613" s="275"/>
      <c r="B1613" s="78"/>
      <c r="C1613" s="189"/>
      <c r="D1613" s="249"/>
      <c r="E1613" s="229"/>
      <c r="F1613" s="187"/>
    </row>
    <row r="1614" spans="1:6" x14ac:dyDescent="0.2">
      <c r="A1614" s="275"/>
      <c r="B1614" s="78"/>
      <c r="C1614" s="189"/>
      <c r="D1614" s="249"/>
      <c r="E1614" s="229"/>
      <c r="F1614" s="187"/>
    </row>
    <row r="1615" spans="1:6" x14ac:dyDescent="0.2">
      <c r="A1615" s="275"/>
      <c r="B1615" s="78"/>
      <c r="C1615" s="189"/>
      <c r="D1615" s="249"/>
      <c r="E1615" s="229"/>
      <c r="F1615" s="187"/>
    </row>
    <row r="1616" spans="1:6" x14ac:dyDescent="0.2">
      <c r="A1616" s="275"/>
      <c r="B1616" s="78"/>
      <c r="C1616" s="189"/>
      <c r="D1616" s="249"/>
      <c r="E1616" s="229"/>
      <c r="F1616" s="187"/>
    </row>
    <row r="1617" spans="1:6" x14ac:dyDescent="0.2">
      <c r="A1617" s="275"/>
      <c r="B1617" s="78"/>
      <c r="C1617" s="189"/>
      <c r="D1617" s="249"/>
      <c r="E1617" s="229"/>
      <c r="F1617" s="187"/>
    </row>
    <row r="1618" spans="1:6" x14ac:dyDescent="0.2">
      <c r="A1618" s="275"/>
      <c r="B1618" s="78"/>
      <c r="C1618" s="189"/>
      <c r="D1618" s="249"/>
      <c r="E1618" s="229"/>
      <c r="F1618" s="187"/>
    </row>
    <row r="1619" spans="1:6" x14ac:dyDescent="0.2">
      <c r="A1619" s="275"/>
      <c r="B1619" s="78"/>
      <c r="C1619" s="189"/>
      <c r="D1619" s="249"/>
      <c r="E1619" s="229"/>
      <c r="F1619" s="187"/>
    </row>
    <row r="1620" spans="1:6" x14ac:dyDescent="0.2">
      <c r="A1620" s="275"/>
      <c r="B1620" s="78"/>
      <c r="C1620" s="189"/>
      <c r="D1620" s="249"/>
      <c r="E1620" s="229"/>
      <c r="F1620" s="187"/>
    </row>
    <row r="1621" spans="1:6" x14ac:dyDescent="0.2">
      <c r="A1621" s="275"/>
      <c r="B1621" s="78"/>
      <c r="C1621" s="189"/>
      <c r="D1621" s="249"/>
      <c r="E1621" s="229"/>
      <c r="F1621" s="187"/>
    </row>
    <row r="1622" spans="1:6" x14ac:dyDescent="0.2">
      <c r="A1622" s="275"/>
      <c r="B1622" s="78"/>
      <c r="C1622" s="189"/>
      <c r="D1622" s="249"/>
      <c r="E1622" s="229"/>
      <c r="F1622" s="187"/>
    </row>
    <row r="1623" spans="1:6" x14ac:dyDescent="0.2">
      <c r="A1623" s="275"/>
      <c r="B1623" s="78"/>
      <c r="C1623" s="189"/>
      <c r="D1623" s="249"/>
      <c r="E1623" s="229"/>
      <c r="F1623" s="187"/>
    </row>
    <row r="1624" spans="1:6" x14ac:dyDescent="0.2">
      <c r="A1624" s="275"/>
      <c r="B1624" s="78"/>
      <c r="C1624" s="189"/>
      <c r="D1624" s="249"/>
      <c r="E1624" s="229"/>
      <c r="F1624" s="187"/>
    </row>
    <row r="1625" spans="1:6" x14ac:dyDescent="0.2">
      <c r="A1625" s="275"/>
      <c r="B1625" s="78"/>
      <c r="C1625" s="189"/>
      <c r="D1625" s="249"/>
      <c r="E1625" s="229"/>
      <c r="F1625" s="187"/>
    </row>
    <row r="1626" spans="1:6" x14ac:dyDescent="0.2">
      <c r="A1626" s="275"/>
      <c r="B1626" s="78"/>
      <c r="C1626" s="189"/>
      <c r="D1626" s="249"/>
      <c r="E1626" s="229"/>
      <c r="F1626" s="187"/>
    </row>
    <row r="1627" spans="1:6" x14ac:dyDescent="0.2">
      <c r="A1627" s="275"/>
      <c r="B1627" s="78"/>
      <c r="C1627" s="189"/>
      <c r="D1627" s="249"/>
      <c r="E1627" s="229"/>
      <c r="F1627" s="187"/>
    </row>
    <row r="1628" spans="1:6" x14ac:dyDescent="0.2">
      <c r="A1628" s="275"/>
      <c r="B1628" s="78"/>
      <c r="C1628" s="189"/>
      <c r="D1628" s="249"/>
      <c r="E1628" s="229"/>
      <c r="F1628" s="187"/>
    </row>
    <row r="1629" spans="1:6" x14ac:dyDescent="0.2">
      <c r="A1629" s="275"/>
      <c r="B1629" s="78"/>
      <c r="C1629" s="189"/>
      <c r="D1629" s="249"/>
      <c r="E1629" s="229"/>
      <c r="F1629" s="187"/>
    </row>
    <row r="1630" spans="1:6" x14ac:dyDescent="0.2">
      <c r="A1630" s="275"/>
      <c r="B1630" s="78"/>
      <c r="C1630" s="189"/>
      <c r="D1630" s="249"/>
      <c r="E1630" s="229"/>
      <c r="F1630" s="187"/>
    </row>
    <row r="1631" spans="1:6" x14ac:dyDescent="0.2">
      <c r="A1631" s="275"/>
      <c r="B1631" s="78"/>
      <c r="C1631" s="189"/>
      <c r="D1631" s="249"/>
      <c r="E1631" s="229"/>
      <c r="F1631" s="187"/>
    </row>
    <row r="1632" spans="1:6" x14ac:dyDescent="0.2">
      <c r="A1632" s="275"/>
      <c r="B1632" s="78"/>
      <c r="C1632" s="189"/>
      <c r="D1632" s="249"/>
      <c r="E1632" s="229"/>
      <c r="F1632" s="187"/>
    </row>
    <row r="1633" spans="1:6" x14ac:dyDescent="0.2">
      <c r="A1633" s="275"/>
      <c r="B1633" s="78"/>
      <c r="C1633" s="189"/>
      <c r="D1633" s="249"/>
      <c r="E1633" s="229"/>
      <c r="F1633" s="187"/>
    </row>
    <row r="1634" spans="1:6" x14ac:dyDescent="0.2">
      <c r="A1634" s="275"/>
      <c r="B1634" s="78"/>
      <c r="C1634" s="189"/>
      <c r="D1634" s="249"/>
      <c r="E1634" s="229"/>
      <c r="F1634" s="187"/>
    </row>
    <row r="1635" spans="1:6" x14ac:dyDescent="0.2">
      <c r="A1635" s="275"/>
      <c r="B1635" s="78"/>
      <c r="C1635" s="189"/>
      <c r="D1635" s="249"/>
      <c r="E1635" s="229"/>
      <c r="F1635" s="187"/>
    </row>
    <row r="1636" spans="1:6" x14ac:dyDescent="0.2">
      <c r="A1636" s="275"/>
      <c r="B1636" s="78"/>
      <c r="C1636" s="189"/>
      <c r="D1636" s="249"/>
      <c r="E1636" s="229"/>
      <c r="F1636" s="187"/>
    </row>
    <row r="1637" spans="1:6" x14ac:dyDescent="0.2">
      <c r="A1637" s="275"/>
      <c r="B1637" s="78"/>
      <c r="C1637" s="189"/>
      <c r="D1637" s="249"/>
      <c r="E1637" s="229"/>
      <c r="F1637" s="187"/>
    </row>
    <row r="1638" spans="1:6" x14ac:dyDescent="0.2">
      <c r="A1638" s="275"/>
      <c r="B1638" s="78"/>
      <c r="C1638" s="189"/>
      <c r="D1638" s="249"/>
      <c r="E1638" s="229"/>
      <c r="F1638" s="187"/>
    </row>
    <row r="1639" spans="1:6" x14ac:dyDescent="0.2">
      <c r="A1639" s="275"/>
      <c r="B1639" s="78"/>
      <c r="C1639" s="189"/>
      <c r="D1639" s="249"/>
      <c r="E1639" s="229"/>
      <c r="F1639" s="187"/>
    </row>
    <row r="1640" spans="1:6" x14ac:dyDescent="0.2">
      <c r="A1640" s="275"/>
      <c r="B1640" s="78"/>
      <c r="C1640" s="189"/>
      <c r="D1640" s="249"/>
      <c r="E1640" s="229"/>
      <c r="F1640" s="187"/>
    </row>
    <row r="1641" spans="1:6" x14ac:dyDescent="0.2">
      <c r="A1641" s="275"/>
      <c r="B1641" s="78"/>
      <c r="C1641" s="189"/>
      <c r="D1641" s="249"/>
      <c r="E1641" s="229"/>
      <c r="F1641" s="187"/>
    </row>
    <row r="1642" spans="1:6" x14ac:dyDescent="0.2">
      <c r="A1642" s="275"/>
      <c r="B1642" s="78"/>
      <c r="C1642" s="189"/>
      <c r="D1642" s="249"/>
      <c r="E1642" s="229"/>
      <c r="F1642" s="187"/>
    </row>
    <row r="1643" spans="1:6" x14ac:dyDescent="0.2">
      <c r="A1643" s="275"/>
      <c r="B1643" s="78"/>
      <c r="C1643" s="189"/>
      <c r="D1643" s="249"/>
      <c r="E1643" s="229"/>
      <c r="F1643" s="187"/>
    </row>
    <row r="1644" spans="1:6" x14ac:dyDescent="0.2">
      <c r="A1644" s="275"/>
      <c r="B1644" s="78"/>
      <c r="C1644" s="189"/>
      <c r="D1644" s="249"/>
      <c r="E1644" s="229"/>
      <c r="F1644" s="187"/>
    </row>
    <row r="1645" spans="1:6" x14ac:dyDescent="0.2">
      <c r="A1645" s="275"/>
      <c r="B1645" s="78"/>
      <c r="C1645" s="189"/>
      <c r="D1645" s="249"/>
      <c r="E1645" s="229"/>
      <c r="F1645" s="187"/>
    </row>
    <row r="1646" spans="1:6" x14ac:dyDescent="0.2">
      <c r="A1646" s="275"/>
      <c r="B1646" s="78"/>
      <c r="C1646" s="189"/>
      <c r="D1646" s="249"/>
      <c r="E1646" s="229"/>
      <c r="F1646" s="187"/>
    </row>
    <row r="1647" spans="1:6" x14ac:dyDescent="0.2">
      <c r="A1647" s="275"/>
      <c r="B1647" s="78"/>
      <c r="C1647" s="189"/>
      <c r="D1647" s="249"/>
      <c r="E1647" s="229"/>
      <c r="F1647" s="187"/>
    </row>
    <row r="1648" spans="1:6" x14ac:dyDescent="0.2">
      <c r="A1648" s="275"/>
      <c r="B1648" s="78"/>
      <c r="C1648" s="189"/>
      <c r="D1648" s="249"/>
      <c r="E1648" s="229"/>
      <c r="F1648" s="187"/>
    </row>
    <row r="1649" spans="1:6" x14ac:dyDescent="0.2">
      <c r="A1649" s="275"/>
      <c r="B1649" s="78"/>
      <c r="C1649" s="189"/>
      <c r="D1649" s="249"/>
      <c r="E1649" s="229"/>
      <c r="F1649" s="187"/>
    </row>
    <row r="1650" spans="1:6" x14ac:dyDescent="0.2">
      <c r="A1650" s="275"/>
      <c r="B1650" s="78"/>
      <c r="C1650" s="189"/>
      <c r="D1650" s="249"/>
      <c r="E1650" s="229"/>
      <c r="F1650" s="187"/>
    </row>
    <row r="1651" spans="1:6" x14ac:dyDescent="0.2">
      <c r="A1651" s="275"/>
      <c r="B1651" s="78"/>
      <c r="C1651" s="189"/>
      <c r="D1651" s="249"/>
      <c r="E1651" s="229"/>
      <c r="F1651" s="187"/>
    </row>
    <row r="1652" spans="1:6" x14ac:dyDescent="0.2">
      <c r="A1652" s="275"/>
      <c r="B1652" s="78"/>
      <c r="C1652" s="189"/>
      <c r="D1652" s="249"/>
      <c r="E1652" s="229"/>
      <c r="F1652" s="187"/>
    </row>
    <row r="1653" spans="1:6" x14ac:dyDescent="0.2">
      <c r="A1653" s="275"/>
      <c r="B1653" s="78"/>
      <c r="C1653" s="189"/>
      <c r="D1653" s="249"/>
      <c r="E1653" s="229"/>
      <c r="F1653" s="187"/>
    </row>
    <row r="1654" spans="1:6" x14ac:dyDescent="0.2">
      <c r="A1654" s="275"/>
      <c r="B1654" s="78"/>
      <c r="C1654" s="189"/>
      <c r="D1654" s="249"/>
      <c r="E1654" s="229"/>
      <c r="F1654" s="187"/>
    </row>
    <row r="1655" spans="1:6" x14ac:dyDescent="0.2">
      <c r="A1655" s="275"/>
      <c r="B1655" s="78"/>
      <c r="C1655" s="189"/>
      <c r="D1655" s="249"/>
      <c r="E1655" s="229"/>
      <c r="F1655" s="187"/>
    </row>
    <row r="1656" spans="1:6" x14ac:dyDescent="0.2">
      <c r="A1656" s="275"/>
      <c r="B1656" s="78"/>
      <c r="C1656" s="189"/>
      <c r="D1656" s="249"/>
      <c r="E1656" s="229"/>
      <c r="F1656" s="187"/>
    </row>
    <row r="1657" spans="1:6" x14ac:dyDescent="0.2">
      <c r="A1657" s="275"/>
      <c r="B1657" s="78"/>
      <c r="C1657" s="189"/>
      <c r="D1657" s="249"/>
      <c r="E1657" s="229"/>
      <c r="F1657" s="187"/>
    </row>
    <row r="1658" spans="1:6" x14ac:dyDescent="0.2">
      <c r="A1658" s="275"/>
      <c r="B1658" s="78"/>
      <c r="C1658" s="189"/>
      <c r="D1658" s="249"/>
      <c r="E1658" s="229"/>
      <c r="F1658" s="187"/>
    </row>
    <row r="1659" spans="1:6" x14ac:dyDescent="0.2">
      <c r="A1659" s="275"/>
      <c r="B1659" s="78"/>
      <c r="C1659" s="189"/>
      <c r="D1659" s="249"/>
      <c r="E1659" s="229"/>
      <c r="F1659" s="187"/>
    </row>
    <row r="1660" spans="1:6" x14ac:dyDescent="0.2">
      <c r="A1660" s="275"/>
      <c r="B1660" s="78"/>
      <c r="C1660" s="189"/>
      <c r="D1660" s="249"/>
      <c r="E1660" s="229"/>
      <c r="F1660" s="187"/>
    </row>
    <row r="1661" spans="1:6" x14ac:dyDescent="0.2">
      <c r="A1661" s="275"/>
      <c r="B1661" s="78"/>
      <c r="C1661" s="189"/>
      <c r="D1661" s="249"/>
      <c r="E1661" s="229"/>
      <c r="F1661" s="187"/>
    </row>
    <row r="1662" spans="1:6" x14ac:dyDescent="0.2">
      <c r="A1662" s="275"/>
      <c r="B1662" s="78"/>
      <c r="C1662" s="189"/>
      <c r="D1662" s="249"/>
      <c r="E1662" s="229"/>
      <c r="F1662" s="187"/>
    </row>
    <row r="1663" spans="1:6" x14ac:dyDescent="0.2">
      <c r="A1663" s="275"/>
      <c r="B1663" s="78"/>
      <c r="C1663" s="189"/>
      <c r="D1663" s="249"/>
      <c r="E1663" s="229"/>
      <c r="F1663" s="187"/>
    </row>
    <row r="1664" spans="1:6" x14ac:dyDescent="0.2">
      <c r="A1664" s="275"/>
      <c r="B1664" s="78"/>
      <c r="C1664" s="189"/>
      <c r="D1664" s="249"/>
      <c r="E1664" s="229"/>
      <c r="F1664" s="187"/>
    </row>
    <row r="1665" spans="1:6" x14ac:dyDescent="0.2">
      <c r="A1665" s="275"/>
      <c r="B1665" s="78"/>
      <c r="C1665" s="189"/>
      <c r="D1665" s="249"/>
      <c r="E1665" s="229"/>
      <c r="F1665" s="187"/>
    </row>
    <row r="1666" spans="1:6" x14ac:dyDescent="0.2">
      <c r="A1666" s="275"/>
      <c r="B1666" s="78"/>
      <c r="C1666" s="189"/>
      <c r="D1666" s="249"/>
      <c r="E1666" s="229"/>
      <c r="F1666" s="187"/>
    </row>
    <row r="1667" spans="1:6" x14ac:dyDescent="0.2">
      <c r="A1667" s="275"/>
      <c r="B1667" s="78"/>
      <c r="C1667" s="189"/>
      <c r="D1667" s="249"/>
      <c r="E1667" s="229"/>
      <c r="F1667" s="187"/>
    </row>
    <row r="1668" spans="1:6" x14ac:dyDescent="0.2">
      <c r="A1668" s="275"/>
      <c r="B1668" s="78"/>
      <c r="C1668" s="189"/>
      <c r="D1668" s="249"/>
      <c r="E1668" s="229"/>
      <c r="F1668" s="187"/>
    </row>
    <row r="1669" spans="1:6" x14ac:dyDescent="0.2">
      <c r="A1669" s="275"/>
      <c r="B1669" s="78"/>
      <c r="C1669" s="189"/>
      <c r="D1669" s="249"/>
      <c r="E1669" s="229"/>
      <c r="F1669" s="187"/>
    </row>
    <row r="1670" spans="1:6" x14ac:dyDescent="0.2">
      <c r="A1670" s="275"/>
      <c r="B1670" s="78"/>
      <c r="C1670" s="189"/>
      <c r="D1670" s="249"/>
      <c r="E1670" s="229"/>
      <c r="F1670" s="187"/>
    </row>
    <row r="1671" spans="1:6" x14ac:dyDescent="0.2">
      <c r="A1671" s="275"/>
      <c r="B1671" s="78"/>
      <c r="C1671" s="189"/>
      <c r="D1671" s="249"/>
      <c r="E1671" s="229"/>
      <c r="F1671" s="187"/>
    </row>
    <row r="1672" spans="1:6" x14ac:dyDescent="0.2">
      <c r="A1672" s="275"/>
      <c r="B1672" s="78"/>
      <c r="C1672" s="189"/>
      <c r="D1672" s="249"/>
      <c r="E1672" s="229"/>
      <c r="F1672" s="187"/>
    </row>
    <row r="1673" spans="1:6" x14ac:dyDescent="0.2">
      <c r="A1673" s="275"/>
      <c r="B1673" s="78"/>
      <c r="C1673" s="189"/>
      <c r="D1673" s="249"/>
      <c r="E1673" s="229"/>
      <c r="F1673" s="187"/>
    </row>
    <row r="1674" spans="1:6" x14ac:dyDescent="0.2">
      <c r="A1674" s="275"/>
      <c r="B1674" s="78"/>
      <c r="C1674" s="189"/>
      <c r="D1674" s="249"/>
      <c r="E1674" s="229"/>
      <c r="F1674" s="187"/>
    </row>
    <row r="1675" spans="1:6" x14ac:dyDescent="0.2">
      <c r="A1675" s="275"/>
      <c r="B1675" s="78"/>
      <c r="C1675" s="189"/>
      <c r="D1675" s="249"/>
      <c r="E1675" s="229"/>
      <c r="F1675" s="187"/>
    </row>
    <row r="1676" spans="1:6" x14ac:dyDescent="0.2">
      <c r="A1676" s="275"/>
      <c r="B1676" s="78"/>
      <c r="C1676" s="189"/>
      <c r="D1676" s="249"/>
      <c r="E1676" s="229"/>
      <c r="F1676" s="187"/>
    </row>
    <row r="1677" spans="1:6" x14ac:dyDescent="0.2">
      <c r="A1677" s="275"/>
      <c r="B1677" s="78"/>
      <c r="C1677" s="189"/>
      <c r="D1677" s="249"/>
      <c r="E1677" s="229"/>
      <c r="F1677" s="187"/>
    </row>
    <row r="1678" spans="1:6" x14ac:dyDescent="0.2">
      <c r="A1678" s="275"/>
      <c r="B1678" s="78"/>
      <c r="C1678" s="189"/>
      <c r="D1678" s="249"/>
      <c r="E1678" s="229"/>
      <c r="F1678" s="187"/>
    </row>
    <row r="1679" spans="1:6" x14ac:dyDescent="0.2">
      <c r="A1679" s="275"/>
      <c r="B1679" s="78"/>
      <c r="C1679" s="189"/>
      <c r="D1679" s="249"/>
      <c r="E1679" s="229"/>
      <c r="F1679" s="187"/>
    </row>
    <row r="1680" spans="1:6" x14ac:dyDescent="0.2">
      <c r="A1680" s="275"/>
      <c r="B1680" s="78"/>
      <c r="C1680" s="189"/>
      <c r="D1680" s="249"/>
      <c r="E1680" s="229"/>
      <c r="F1680" s="187"/>
    </row>
    <row r="1681" spans="1:6" x14ac:dyDescent="0.2">
      <c r="A1681" s="275"/>
      <c r="B1681" s="78"/>
      <c r="C1681" s="189"/>
      <c r="D1681" s="249"/>
      <c r="E1681" s="229"/>
      <c r="F1681" s="187"/>
    </row>
    <row r="1682" spans="1:6" x14ac:dyDescent="0.2">
      <c r="A1682" s="275"/>
      <c r="B1682" s="78"/>
      <c r="C1682" s="189"/>
      <c r="D1682" s="249"/>
      <c r="E1682" s="229"/>
      <c r="F1682" s="187"/>
    </row>
    <row r="1683" spans="1:6" x14ac:dyDescent="0.2">
      <c r="A1683" s="275"/>
      <c r="B1683" s="78"/>
      <c r="C1683" s="189"/>
      <c r="D1683" s="249"/>
      <c r="E1683" s="229"/>
      <c r="F1683" s="187"/>
    </row>
    <row r="1684" spans="1:6" x14ac:dyDescent="0.2">
      <c r="A1684" s="275"/>
      <c r="B1684" s="78"/>
      <c r="C1684" s="189"/>
      <c r="D1684" s="249"/>
      <c r="E1684" s="229"/>
      <c r="F1684" s="187"/>
    </row>
    <row r="1685" spans="1:6" x14ac:dyDescent="0.2">
      <c r="A1685" s="275"/>
      <c r="B1685" s="78"/>
      <c r="C1685" s="189"/>
      <c r="D1685" s="249"/>
      <c r="E1685" s="229"/>
      <c r="F1685" s="187"/>
    </row>
    <row r="1686" spans="1:6" x14ac:dyDescent="0.2">
      <c r="A1686" s="275"/>
      <c r="B1686" s="78"/>
      <c r="C1686" s="189"/>
      <c r="D1686" s="249"/>
      <c r="E1686" s="229"/>
      <c r="F1686" s="187"/>
    </row>
    <row r="1687" spans="1:6" x14ac:dyDescent="0.2">
      <c r="A1687" s="275"/>
      <c r="B1687" s="78"/>
      <c r="C1687" s="189"/>
      <c r="D1687" s="249"/>
      <c r="E1687" s="229"/>
      <c r="F1687" s="187"/>
    </row>
    <row r="1688" spans="1:6" x14ac:dyDescent="0.2">
      <c r="A1688" s="275"/>
      <c r="B1688" s="78"/>
      <c r="C1688" s="189"/>
      <c r="D1688" s="249"/>
      <c r="E1688" s="229"/>
      <c r="F1688" s="187"/>
    </row>
    <row r="1689" spans="1:6" x14ac:dyDescent="0.2">
      <c r="A1689" s="275"/>
      <c r="B1689" s="78"/>
      <c r="C1689" s="189"/>
      <c r="D1689" s="249"/>
      <c r="E1689" s="229"/>
      <c r="F1689" s="187"/>
    </row>
    <row r="1690" spans="1:6" x14ac:dyDescent="0.2">
      <c r="A1690" s="275"/>
      <c r="B1690" s="78"/>
      <c r="C1690" s="189"/>
      <c r="D1690" s="249"/>
      <c r="E1690" s="229"/>
      <c r="F1690" s="187"/>
    </row>
    <row r="1691" spans="1:6" x14ac:dyDescent="0.2">
      <c r="A1691" s="275"/>
      <c r="B1691" s="78"/>
      <c r="C1691" s="189"/>
      <c r="D1691" s="249"/>
      <c r="E1691" s="229"/>
      <c r="F1691" s="187"/>
    </row>
    <row r="1692" spans="1:6" x14ac:dyDescent="0.2">
      <c r="A1692" s="275"/>
      <c r="B1692" s="78"/>
      <c r="C1692" s="189"/>
      <c r="D1692" s="249"/>
      <c r="E1692" s="229"/>
      <c r="F1692" s="187"/>
    </row>
    <row r="1693" spans="1:6" x14ac:dyDescent="0.2">
      <c r="A1693" s="275"/>
      <c r="B1693" s="78"/>
      <c r="C1693" s="189"/>
      <c r="D1693" s="249"/>
      <c r="E1693" s="229"/>
      <c r="F1693" s="187"/>
    </row>
    <row r="1694" spans="1:6" x14ac:dyDescent="0.2">
      <c r="A1694" s="275"/>
      <c r="B1694" s="78"/>
      <c r="C1694" s="189"/>
      <c r="D1694" s="249"/>
      <c r="E1694" s="229"/>
      <c r="F1694" s="187"/>
    </row>
    <row r="1695" spans="1:6" x14ac:dyDescent="0.2">
      <c r="A1695" s="275"/>
      <c r="B1695" s="78"/>
      <c r="C1695" s="189"/>
      <c r="D1695" s="249"/>
      <c r="E1695" s="229"/>
      <c r="F1695" s="187"/>
    </row>
    <row r="1696" spans="1:6" x14ac:dyDescent="0.2">
      <c r="A1696" s="275"/>
      <c r="B1696" s="78"/>
      <c r="C1696" s="189"/>
      <c r="D1696" s="249"/>
      <c r="E1696" s="229"/>
      <c r="F1696" s="187"/>
    </row>
    <row r="1697" spans="1:6" x14ac:dyDescent="0.2">
      <c r="A1697" s="275"/>
      <c r="B1697" s="78"/>
      <c r="C1697" s="189"/>
      <c r="D1697" s="249"/>
      <c r="E1697" s="229"/>
      <c r="F1697" s="187"/>
    </row>
    <row r="1698" spans="1:6" x14ac:dyDescent="0.2">
      <c r="A1698" s="275"/>
      <c r="B1698" s="78"/>
      <c r="C1698" s="189"/>
      <c r="D1698" s="249"/>
      <c r="E1698" s="229"/>
      <c r="F1698" s="187"/>
    </row>
    <row r="1699" spans="1:6" x14ac:dyDescent="0.2">
      <c r="A1699" s="275"/>
      <c r="B1699" s="78"/>
      <c r="C1699" s="189"/>
      <c r="D1699" s="249"/>
      <c r="E1699" s="229"/>
      <c r="F1699" s="187"/>
    </row>
    <row r="1700" spans="1:6" x14ac:dyDescent="0.2">
      <c r="A1700" s="275"/>
      <c r="B1700" s="78"/>
      <c r="C1700" s="189"/>
      <c r="D1700" s="249"/>
      <c r="E1700" s="229"/>
      <c r="F1700" s="187"/>
    </row>
    <row r="1701" spans="1:6" x14ac:dyDescent="0.2">
      <c r="A1701" s="275"/>
      <c r="B1701" s="78"/>
      <c r="C1701" s="189"/>
      <c r="D1701" s="249"/>
      <c r="E1701" s="229"/>
      <c r="F1701" s="187"/>
    </row>
    <row r="1702" spans="1:6" x14ac:dyDescent="0.2">
      <c r="A1702" s="275"/>
      <c r="B1702" s="78"/>
      <c r="C1702" s="189"/>
      <c r="D1702" s="249"/>
      <c r="E1702" s="229"/>
      <c r="F1702" s="187"/>
    </row>
    <row r="1703" spans="1:6" x14ac:dyDescent="0.2">
      <c r="A1703" s="275"/>
      <c r="B1703" s="78"/>
      <c r="C1703" s="189"/>
      <c r="D1703" s="249"/>
      <c r="E1703" s="229"/>
      <c r="F1703" s="187"/>
    </row>
    <row r="1704" spans="1:6" x14ac:dyDescent="0.2">
      <c r="A1704" s="275"/>
      <c r="B1704" s="78"/>
      <c r="C1704" s="189"/>
      <c r="D1704" s="249"/>
      <c r="E1704" s="229"/>
      <c r="F1704" s="187"/>
    </row>
    <row r="1705" spans="1:6" x14ac:dyDescent="0.2">
      <c r="A1705" s="275"/>
      <c r="B1705" s="78"/>
      <c r="C1705" s="189"/>
      <c r="D1705" s="249"/>
      <c r="E1705" s="229"/>
      <c r="F1705" s="187"/>
    </row>
    <row r="1706" spans="1:6" x14ac:dyDescent="0.2">
      <c r="A1706" s="275"/>
      <c r="B1706" s="78"/>
      <c r="C1706" s="189"/>
      <c r="D1706" s="249"/>
      <c r="E1706" s="229"/>
      <c r="F1706" s="187"/>
    </row>
    <row r="1707" spans="1:6" x14ac:dyDescent="0.2">
      <c r="A1707" s="275"/>
      <c r="B1707" s="78"/>
      <c r="C1707" s="189"/>
      <c r="D1707" s="249"/>
      <c r="E1707" s="229"/>
      <c r="F1707" s="187"/>
    </row>
    <row r="1708" spans="1:6" x14ac:dyDescent="0.2">
      <c r="A1708" s="275"/>
      <c r="B1708" s="78"/>
      <c r="C1708" s="189"/>
      <c r="D1708" s="249"/>
      <c r="E1708" s="229"/>
      <c r="F1708" s="187"/>
    </row>
    <row r="1709" spans="1:6" x14ac:dyDescent="0.2">
      <c r="A1709" s="275"/>
      <c r="B1709" s="78"/>
      <c r="C1709" s="189"/>
      <c r="D1709" s="249"/>
      <c r="E1709" s="229"/>
      <c r="F1709" s="187"/>
    </row>
    <row r="1710" spans="1:6" x14ac:dyDescent="0.2">
      <c r="A1710" s="275"/>
      <c r="B1710" s="78"/>
      <c r="C1710" s="189"/>
      <c r="D1710" s="249"/>
      <c r="E1710" s="229"/>
      <c r="F1710" s="187"/>
    </row>
    <row r="1711" spans="1:6" x14ac:dyDescent="0.2">
      <c r="A1711" s="275"/>
      <c r="B1711" s="78"/>
      <c r="C1711" s="189"/>
      <c r="D1711" s="249"/>
      <c r="E1711" s="229"/>
      <c r="F1711" s="187"/>
    </row>
    <row r="1712" spans="1:6" x14ac:dyDescent="0.2">
      <c r="A1712" s="275"/>
      <c r="B1712" s="78"/>
      <c r="C1712" s="189"/>
      <c r="D1712" s="249"/>
      <c r="E1712" s="229"/>
      <c r="F1712" s="187"/>
    </row>
    <row r="1713" spans="1:6" x14ac:dyDescent="0.2">
      <c r="A1713" s="275"/>
      <c r="B1713" s="78"/>
      <c r="C1713" s="189"/>
      <c r="D1713" s="249"/>
      <c r="E1713" s="229"/>
      <c r="F1713" s="187"/>
    </row>
    <row r="1714" spans="1:6" x14ac:dyDescent="0.2">
      <c r="A1714" s="275"/>
      <c r="B1714" s="78"/>
      <c r="C1714" s="189"/>
      <c r="D1714" s="249"/>
      <c r="E1714" s="229"/>
      <c r="F1714" s="187"/>
    </row>
    <row r="1715" spans="1:6" x14ac:dyDescent="0.2">
      <c r="A1715" s="275"/>
      <c r="B1715" s="78"/>
      <c r="C1715" s="189"/>
      <c r="D1715" s="249"/>
      <c r="E1715" s="229"/>
      <c r="F1715" s="187"/>
    </row>
    <row r="1716" spans="1:6" x14ac:dyDescent="0.2">
      <c r="A1716" s="275"/>
      <c r="B1716" s="78"/>
      <c r="C1716" s="189"/>
      <c r="D1716" s="249"/>
      <c r="E1716" s="229"/>
      <c r="F1716" s="187"/>
    </row>
    <row r="1717" spans="1:6" x14ac:dyDescent="0.2">
      <c r="A1717" s="275"/>
      <c r="B1717" s="78"/>
      <c r="C1717" s="189"/>
      <c r="D1717" s="249"/>
      <c r="E1717" s="229"/>
      <c r="F1717" s="187"/>
    </row>
    <row r="1718" spans="1:6" x14ac:dyDescent="0.2">
      <c r="A1718" s="275"/>
      <c r="B1718" s="78"/>
      <c r="C1718" s="189"/>
      <c r="D1718" s="249"/>
      <c r="E1718" s="229"/>
      <c r="F1718" s="187"/>
    </row>
    <row r="1719" spans="1:6" x14ac:dyDescent="0.2">
      <c r="A1719" s="275"/>
      <c r="B1719" s="78"/>
      <c r="C1719" s="189"/>
      <c r="D1719" s="249"/>
      <c r="E1719" s="229"/>
      <c r="F1719" s="187"/>
    </row>
    <row r="1720" spans="1:6" x14ac:dyDescent="0.2">
      <c r="A1720" s="275"/>
      <c r="B1720" s="78"/>
      <c r="C1720" s="189"/>
      <c r="D1720" s="249"/>
      <c r="E1720" s="229"/>
      <c r="F1720" s="187"/>
    </row>
    <row r="1721" spans="1:6" x14ac:dyDescent="0.2">
      <c r="A1721" s="275"/>
      <c r="B1721" s="78"/>
      <c r="C1721" s="189"/>
      <c r="D1721" s="249"/>
      <c r="E1721" s="229"/>
      <c r="F1721" s="187"/>
    </row>
    <row r="1722" spans="1:6" x14ac:dyDescent="0.2">
      <c r="A1722" s="275"/>
      <c r="B1722" s="78"/>
      <c r="C1722" s="189"/>
      <c r="D1722" s="249"/>
      <c r="E1722" s="229"/>
      <c r="F1722" s="187"/>
    </row>
    <row r="1723" spans="1:6" x14ac:dyDescent="0.2">
      <c r="A1723" s="275"/>
      <c r="B1723" s="78"/>
      <c r="C1723" s="189"/>
      <c r="D1723" s="249"/>
      <c r="E1723" s="229"/>
      <c r="F1723" s="187"/>
    </row>
    <row r="1724" spans="1:6" x14ac:dyDescent="0.2">
      <c r="A1724" s="275"/>
      <c r="B1724" s="78"/>
      <c r="C1724" s="189"/>
      <c r="D1724" s="249"/>
      <c r="E1724" s="229"/>
      <c r="F1724" s="187"/>
    </row>
    <row r="1725" spans="1:6" x14ac:dyDescent="0.2">
      <c r="A1725" s="275"/>
      <c r="B1725" s="78"/>
      <c r="C1725" s="189"/>
      <c r="D1725" s="249"/>
      <c r="E1725" s="229"/>
      <c r="F1725" s="187"/>
    </row>
    <row r="1726" spans="1:6" x14ac:dyDescent="0.2">
      <c r="A1726" s="275"/>
      <c r="B1726" s="78"/>
      <c r="C1726" s="189"/>
      <c r="D1726" s="249"/>
      <c r="E1726" s="229"/>
      <c r="F1726" s="187"/>
    </row>
    <row r="1727" spans="1:6" x14ac:dyDescent="0.2">
      <c r="A1727" s="275"/>
      <c r="B1727" s="78"/>
      <c r="C1727" s="189"/>
      <c r="D1727" s="249"/>
      <c r="E1727" s="229"/>
      <c r="F1727" s="187"/>
    </row>
    <row r="1728" spans="1:6" x14ac:dyDescent="0.2">
      <c r="A1728" s="275"/>
      <c r="B1728" s="78"/>
      <c r="C1728" s="189"/>
      <c r="D1728" s="249"/>
      <c r="E1728" s="229"/>
      <c r="F1728" s="187"/>
    </row>
    <row r="1729" spans="1:6" x14ac:dyDescent="0.2">
      <c r="A1729" s="275"/>
      <c r="B1729" s="78"/>
      <c r="C1729" s="189"/>
      <c r="D1729" s="249"/>
      <c r="E1729" s="229"/>
      <c r="F1729" s="187"/>
    </row>
    <row r="1730" spans="1:6" x14ac:dyDescent="0.2">
      <c r="A1730" s="275"/>
      <c r="B1730" s="78"/>
      <c r="C1730" s="189"/>
      <c r="D1730" s="249"/>
      <c r="E1730" s="229"/>
      <c r="F1730" s="187"/>
    </row>
    <row r="1731" spans="1:6" x14ac:dyDescent="0.2">
      <c r="A1731" s="275"/>
      <c r="B1731" s="78"/>
      <c r="C1731" s="189"/>
      <c r="D1731" s="249"/>
      <c r="E1731" s="229"/>
      <c r="F1731" s="187"/>
    </row>
    <row r="1732" spans="1:6" x14ac:dyDescent="0.2">
      <c r="A1732" s="275"/>
      <c r="B1732" s="78"/>
      <c r="C1732" s="189"/>
      <c r="D1732" s="249"/>
      <c r="E1732" s="229"/>
      <c r="F1732" s="187"/>
    </row>
    <row r="1733" spans="1:6" x14ac:dyDescent="0.2">
      <c r="A1733" s="275"/>
      <c r="B1733" s="78"/>
      <c r="C1733" s="189"/>
      <c r="D1733" s="249"/>
      <c r="E1733" s="229"/>
      <c r="F1733" s="187"/>
    </row>
    <row r="1734" spans="1:6" x14ac:dyDescent="0.2">
      <c r="A1734" s="275"/>
      <c r="B1734" s="78"/>
      <c r="C1734" s="189"/>
      <c r="D1734" s="249"/>
      <c r="E1734" s="229"/>
      <c r="F1734" s="187"/>
    </row>
    <row r="1735" spans="1:6" x14ac:dyDescent="0.2">
      <c r="A1735" s="275"/>
      <c r="B1735" s="78"/>
      <c r="C1735" s="189"/>
      <c r="D1735" s="249"/>
      <c r="E1735" s="229"/>
      <c r="F1735" s="187"/>
    </row>
    <row r="1736" spans="1:6" x14ac:dyDescent="0.2">
      <c r="A1736" s="275"/>
      <c r="B1736" s="78"/>
      <c r="C1736" s="189"/>
      <c r="D1736" s="249"/>
      <c r="E1736" s="229"/>
      <c r="F1736" s="187"/>
    </row>
    <row r="1737" spans="1:6" x14ac:dyDescent="0.2">
      <c r="A1737" s="275"/>
      <c r="B1737" s="78"/>
      <c r="C1737" s="189"/>
      <c r="D1737" s="249"/>
      <c r="E1737" s="229"/>
      <c r="F1737" s="187"/>
    </row>
    <row r="1738" spans="1:6" x14ac:dyDescent="0.2">
      <c r="A1738" s="275"/>
      <c r="B1738" s="78"/>
      <c r="C1738" s="189"/>
      <c r="D1738" s="249"/>
      <c r="E1738" s="229"/>
      <c r="F1738" s="187"/>
    </row>
    <row r="1739" spans="1:6" x14ac:dyDescent="0.2">
      <c r="A1739" s="275"/>
      <c r="B1739" s="78"/>
      <c r="C1739" s="189"/>
      <c r="D1739" s="249"/>
      <c r="E1739" s="229"/>
      <c r="F1739" s="187"/>
    </row>
    <row r="1740" spans="1:6" x14ac:dyDescent="0.2">
      <c r="A1740" s="275"/>
      <c r="B1740" s="78"/>
      <c r="C1740" s="189"/>
      <c r="D1740" s="249"/>
      <c r="E1740" s="229"/>
      <c r="F1740" s="187"/>
    </row>
    <row r="1741" spans="1:6" x14ac:dyDescent="0.2">
      <c r="A1741" s="275"/>
      <c r="B1741" s="78"/>
      <c r="C1741" s="189"/>
      <c r="D1741" s="249"/>
      <c r="E1741" s="229"/>
      <c r="F1741" s="187"/>
    </row>
    <row r="1742" spans="1:6" x14ac:dyDescent="0.2">
      <c r="A1742" s="275"/>
      <c r="B1742" s="78"/>
      <c r="C1742" s="189"/>
      <c r="D1742" s="249"/>
      <c r="E1742" s="229"/>
      <c r="F1742" s="187"/>
    </row>
    <row r="1743" spans="1:6" x14ac:dyDescent="0.2">
      <c r="A1743" s="275"/>
      <c r="B1743" s="78"/>
      <c r="C1743" s="189"/>
      <c r="D1743" s="249"/>
      <c r="E1743" s="229"/>
      <c r="F1743" s="187"/>
    </row>
    <row r="1744" spans="1:6" x14ac:dyDescent="0.2">
      <c r="A1744" s="275"/>
      <c r="B1744" s="78"/>
      <c r="C1744" s="189"/>
      <c r="D1744" s="249"/>
      <c r="E1744" s="229"/>
      <c r="F1744" s="187"/>
    </row>
    <row r="1745" spans="1:6" x14ac:dyDescent="0.2">
      <c r="A1745" s="275"/>
      <c r="B1745" s="78"/>
      <c r="C1745" s="189"/>
      <c r="D1745" s="249"/>
      <c r="E1745" s="229"/>
      <c r="F1745" s="187"/>
    </row>
    <row r="1746" spans="1:6" x14ac:dyDescent="0.2">
      <c r="A1746" s="275"/>
      <c r="B1746" s="78"/>
      <c r="C1746" s="189"/>
      <c r="D1746" s="249"/>
      <c r="E1746" s="229"/>
      <c r="F1746" s="187"/>
    </row>
    <row r="1747" spans="1:6" x14ac:dyDescent="0.2">
      <c r="A1747" s="275"/>
      <c r="B1747" s="78"/>
      <c r="C1747" s="189"/>
      <c r="D1747" s="249"/>
      <c r="E1747" s="229"/>
      <c r="F1747" s="187"/>
    </row>
    <row r="1748" spans="1:6" x14ac:dyDescent="0.2">
      <c r="A1748" s="275"/>
      <c r="B1748" s="78"/>
      <c r="C1748" s="189"/>
      <c r="D1748" s="249"/>
      <c r="E1748" s="229"/>
      <c r="F1748" s="187"/>
    </row>
    <row r="1749" spans="1:6" x14ac:dyDescent="0.2">
      <c r="A1749" s="275"/>
      <c r="B1749" s="78"/>
      <c r="C1749" s="189"/>
      <c r="D1749" s="249"/>
      <c r="E1749" s="229"/>
      <c r="F1749" s="187"/>
    </row>
    <row r="1750" spans="1:6" x14ac:dyDescent="0.2">
      <c r="A1750" s="275"/>
      <c r="B1750" s="78"/>
      <c r="C1750" s="189"/>
      <c r="D1750" s="249"/>
      <c r="E1750" s="229"/>
      <c r="F1750" s="187"/>
    </row>
    <row r="1751" spans="1:6" x14ac:dyDescent="0.2">
      <c r="A1751" s="275"/>
      <c r="B1751" s="78"/>
      <c r="C1751" s="189"/>
      <c r="D1751" s="249"/>
      <c r="E1751" s="229"/>
      <c r="F1751" s="187"/>
    </row>
    <row r="1752" spans="1:6" x14ac:dyDescent="0.2">
      <c r="A1752" s="275"/>
      <c r="B1752" s="78"/>
      <c r="C1752" s="189"/>
      <c r="D1752" s="249"/>
      <c r="E1752" s="229"/>
      <c r="F1752" s="187"/>
    </row>
    <row r="1753" spans="1:6" x14ac:dyDescent="0.2">
      <c r="A1753" s="275"/>
      <c r="B1753" s="78"/>
      <c r="C1753" s="189"/>
      <c r="D1753" s="249"/>
      <c r="E1753" s="229"/>
      <c r="F1753" s="187"/>
    </row>
    <row r="1754" spans="1:6" x14ac:dyDescent="0.2">
      <c r="A1754" s="275"/>
      <c r="B1754" s="78"/>
      <c r="C1754" s="189"/>
      <c r="D1754" s="249"/>
      <c r="E1754" s="229"/>
      <c r="F1754" s="187"/>
    </row>
    <row r="1755" spans="1:6" x14ac:dyDescent="0.2">
      <c r="A1755" s="275"/>
      <c r="B1755" s="78"/>
      <c r="C1755" s="189"/>
      <c r="D1755" s="249"/>
      <c r="E1755" s="229"/>
      <c r="F1755" s="187"/>
    </row>
    <row r="1756" spans="1:6" x14ac:dyDescent="0.2">
      <c r="A1756" s="275"/>
      <c r="B1756" s="78"/>
      <c r="C1756" s="189"/>
      <c r="D1756" s="249"/>
      <c r="E1756" s="229"/>
      <c r="F1756" s="187"/>
    </row>
    <row r="1757" spans="1:6" x14ac:dyDescent="0.2">
      <c r="A1757" s="275"/>
      <c r="B1757" s="78"/>
      <c r="C1757" s="189"/>
      <c r="D1757" s="249"/>
      <c r="E1757" s="229"/>
      <c r="F1757" s="187"/>
    </row>
    <row r="1758" spans="1:6" x14ac:dyDescent="0.2">
      <c r="A1758" s="275"/>
      <c r="B1758" s="78"/>
      <c r="C1758" s="189"/>
      <c r="D1758" s="249"/>
      <c r="E1758" s="229"/>
      <c r="F1758" s="187"/>
    </row>
    <row r="1759" spans="1:6" x14ac:dyDescent="0.2">
      <c r="A1759" s="275"/>
      <c r="B1759" s="78"/>
      <c r="C1759" s="189"/>
      <c r="D1759" s="249"/>
      <c r="E1759" s="229"/>
      <c r="F1759" s="187"/>
    </row>
    <row r="1760" spans="1:6" x14ac:dyDescent="0.2">
      <c r="A1760" s="275"/>
      <c r="B1760" s="78"/>
      <c r="C1760" s="189"/>
      <c r="D1760" s="249"/>
      <c r="E1760" s="229"/>
      <c r="F1760" s="187"/>
    </row>
    <row r="1761" spans="1:6" x14ac:dyDescent="0.2">
      <c r="A1761" s="275"/>
      <c r="B1761" s="78"/>
      <c r="C1761" s="189"/>
      <c r="D1761" s="249"/>
      <c r="E1761" s="229"/>
      <c r="F1761" s="187"/>
    </row>
    <row r="1762" spans="1:6" x14ac:dyDescent="0.2">
      <c r="A1762" s="275"/>
      <c r="B1762" s="78"/>
      <c r="C1762" s="189"/>
      <c r="D1762" s="249"/>
      <c r="E1762" s="229"/>
      <c r="F1762" s="187"/>
    </row>
    <row r="1763" spans="1:6" x14ac:dyDescent="0.2">
      <c r="A1763" s="275"/>
      <c r="B1763" s="78"/>
      <c r="C1763" s="189"/>
      <c r="D1763" s="249"/>
      <c r="E1763" s="229"/>
      <c r="F1763" s="187"/>
    </row>
    <row r="1764" spans="1:6" x14ac:dyDescent="0.2">
      <c r="A1764" s="275"/>
      <c r="B1764" s="78"/>
      <c r="C1764" s="189"/>
      <c r="D1764" s="249"/>
      <c r="E1764" s="229"/>
      <c r="F1764" s="187"/>
    </row>
    <row r="1765" spans="1:6" x14ac:dyDescent="0.2">
      <c r="A1765" s="275"/>
      <c r="B1765" s="78"/>
      <c r="C1765" s="189"/>
      <c r="D1765" s="249"/>
      <c r="E1765" s="229"/>
      <c r="F1765" s="187"/>
    </row>
    <row r="1766" spans="1:6" x14ac:dyDescent="0.2">
      <c r="A1766" s="275"/>
      <c r="B1766" s="78"/>
      <c r="C1766" s="189"/>
      <c r="D1766" s="249"/>
      <c r="E1766" s="229"/>
      <c r="F1766" s="187"/>
    </row>
    <row r="1767" spans="1:6" x14ac:dyDescent="0.2">
      <c r="A1767" s="275"/>
      <c r="B1767" s="78"/>
      <c r="C1767" s="189"/>
      <c r="D1767" s="249"/>
      <c r="E1767" s="229"/>
      <c r="F1767" s="187"/>
    </row>
    <row r="1768" spans="1:6" x14ac:dyDescent="0.2">
      <c r="A1768" s="275"/>
      <c r="B1768" s="78"/>
      <c r="C1768" s="189"/>
      <c r="D1768" s="249"/>
      <c r="E1768" s="229"/>
      <c r="F1768" s="187"/>
    </row>
    <row r="1769" spans="1:6" x14ac:dyDescent="0.2">
      <c r="A1769" s="275"/>
      <c r="B1769" s="78"/>
      <c r="C1769" s="189"/>
      <c r="D1769" s="249"/>
      <c r="E1769" s="229"/>
      <c r="F1769" s="187"/>
    </row>
    <row r="1770" spans="1:6" x14ac:dyDescent="0.2">
      <c r="A1770" s="275"/>
      <c r="B1770" s="78"/>
      <c r="C1770" s="189"/>
      <c r="D1770" s="249"/>
      <c r="E1770" s="229"/>
      <c r="F1770" s="187"/>
    </row>
    <row r="1771" spans="1:6" x14ac:dyDescent="0.2">
      <c r="A1771" s="275"/>
      <c r="B1771" s="78"/>
      <c r="C1771" s="189"/>
      <c r="D1771" s="249"/>
      <c r="E1771" s="229"/>
      <c r="F1771" s="187"/>
    </row>
    <row r="1772" spans="1:6" x14ac:dyDescent="0.2">
      <c r="A1772" s="275"/>
      <c r="B1772" s="78"/>
      <c r="C1772" s="189"/>
      <c r="D1772" s="249"/>
      <c r="E1772" s="229"/>
      <c r="F1772" s="187"/>
    </row>
    <row r="1773" spans="1:6" x14ac:dyDescent="0.2">
      <c r="A1773" s="275"/>
      <c r="B1773" s="78"/>
      <c r="C1773" s="189"/>
      <c r="D1773" s="249"/>
      <c r="E1773" s="229"/>
      <c r="F1773" s="187"/>
    </row>
    <row r="1774" spans="1:6" x14ac:dyDescent="0.2">
      <c r="A1774" s="275"/>
      <c r="B1774" s="78"/>
      <c r="C1774" s="189"/>
      <c r="D1774" s="249"/>
      <c r="E1774" s="229"/>
      <c r="F1774" s="187"/>
    </row>
    <row r="1775" spans="1:6" x14ac:dyDescent="0.2">
      <c r="A1775" s="275"/>
      <c r="B1775" s="78"/>
      <c r="C1775" s="189"/>
      <c r="D1775" s="249"/>
      <c r="E1775" s="229"/>
      <c r="F1775" s="187"/>
    </row>
    <row r="1776" spans="1:6" x14ac:dyDescent="0.2">
      <c r="A1776" s="275"/>
      <c r="B1776" s="78"/>
      <c r="C1776" s="189"/>
      <c r="D1776" s="249"/>
      <c r="E1776" s="229"/>
      <c r="F1776" s="187"/>
    </row>
    <row r="1777" spans="1:6" x14ac:dyDescent="0.2">
      <c r="A1777" s="275"/>
      <c r="B1777" s="78"/>
      <c r="C1777" s="189"/>
      <c r="D1777" s="249"/>
      <c r="E1777" s="229"/>
      <c r="F1777" s="187"/>
    </row>
    <row r="1778" spans="1:6" x14ac:dyDescent="0.2">
      <c r="A1778" s="275"/>
      <c r="B1778" s="78"/>
      <c r="C1778" s="189"/>
      <c r="D1778" s="249"/>
      <c r="E1778" s="229"/>
      <c r="F1778" s="187"/>
    </row>
    <row r="1779" spans="1:6" x14ac:dyDescent="0.2">
      <c r="A1779" s="275"/>
      <c r="B1779" s="78"/>
      <c r="C1779" s="189"/>
      <c r="D1779" s="249"/>
      <c r="E1779" s="229"/>
      <c r="F1779" s="187"/>
    </row>
    <row r="1780" spans="1:6" x14ac:dyDescent="0.2">
      <c r="A1780" s="275"/>
      <c r="B1780" s="78"/>
      <c r="C1780" s="189"/>
      <c r="D1780" s="249"/>
      <c r="E1780" s="229"/>
      <c r="F1780" s="187"/>
    </row>
    <row r="1781" spans="1:6" x14ac:dyDescent="0.2">
      <c r="A1781" s="275"/>
      <c r="B1781" s="78"/>
      <c r="C1781" s="189"/>
      <c r="D1781" s="249"/>
      <c r="E1781" s="229"/>
      <c r="F1781" s="187"/>
    </row>
    <row r="1782" spans="1:6" x14ac:dyDescent="0.2">
      <c r="A1782" s="275"/>
      <c r="B1782" s="78"/>
      <c r="C1782" s="189"/>
      <c r="D1782" s="249"/>
      <c r="E1782" s="229"/>
      <c r="F1782" s="187"/>
    </row>
    <row r="1783" spans="1:6" x14ac:dyDescent="0.2">
      <c r="A1783" s="275"/>
      <c r="B1783" s="78"/>
      <c r="C1783" s="189"/>
      <c r="D1783" s="249"/>
      <c r="E1783" s="229"/>
      <c r="F1783" s="187"/>
    </row>
    <row r="1784" spans="1:6" x14ac:dyDescent="0.2">
      <c r="A1784" s="275"/>
      <c r="B1784" s="78"/>
      <c r="C1784" s="189"/>
      <c r="D1784" s="249"/>
      <c r="E1784" s="229"/>
      <c r="F1784" s="187"/>
    </row>
    <row r="1785" spans="1:6" x14ac:dyDescent="0.2">
      <c r="A1785" s="275"/>
      <c r="B1785" s="78"/>
      <c r="C1785" s="189"/>
      <c r="D1785" s="249"/>
      <c r="E1785" s="229"/>
      <c r="F1785" s="187"/>
    </row>
    <row r="1786" spans="1:6" x14ac:dyDescent="0.2">
      <c r="A1786" s="275"/>
      <c r="B1786" s="78"/>
      <c r="C1786" s="189"/>
      <c r="D1786" s="249"/>
      <c r="E1786" s="229"/>
      <c r="F1786" s="187"/>
    </row>
    <row r="1787" spans="1:6" x14ac:dyDescent="0.2">
      <c r="A1787" s="275"/>
      <c r="B1787" s="78"/>
      <c r="C1787" s="189"/>
      <c r="D1787" s="249"/>
      <c r="E1787" s="229"/>
      <c r="F1787" s="187"/>
    </row>
    <row r="1788" spans="1:6" x14ac:dyDescent="0.2">
      <c r="A1788" s="275"/>
      <c r="B1788" s="78"/>
      <c r="C1788" s="189"/>
      <c r="D1788" s="249"/>
      <c r="E1788" s="229"/>
      <c r="F1788" s="187"/>
    </row>
    <row r="1789" spans="1:6" x14ac:dyDescent="0.2">
      <c r="A1789" s="275"/>
      <c r="B1789" s="78"/>
      <c r="C1789" s="189"/>
      <c r="D1789" s="249"/>
      <c r="E1789" s="229"/>
      <c r="F1789" s="187"/>
    </row>
    <row r="1790" spans="1:6" x14ac:dyDescent="0.2">
      <c r="A1790" s="275"/>
      <c r="B1790" s="78"/>
      <c r="C1790" s="189"/>
      <c r="D1790" s="249"/>
      <c r="E1790" s="229"/>
      <c r="F1790" s="187"/>
    </row>
    <row r="1791" spans="1:6" x14ac:dyDescent="0.2">
      <c r="A1791" s="275"/>
      <c r="B1791" s="78"/>
      <c r="C1791" s="189"/>
      <c r="D1791" s="249"/>
      <c r="E1791" s="229"/>
      <c r="F1791" s="187"/>
    </row>
    <row r="1792" spans="1:6" x14ac:dyDescent="0.2">
      <c r="A1792" s="275"/>
      <c r="B1792" s="78"/>
      <c r="C1792" s="189"/>
      <c r="D1792" s="249"/>
      <c r="E1792" s="229"/>
      <c r="F1792" s="187"/>
    </row>
    <row r="1793" spans="1:6" x14ac:dyDescent="0.2">
      <c r="A1793" s="275"/>
      <c r="B1793" s="78"/>
      <c r="C1793" s="189"/>
      <c r="D1793" s="249"/>
      <c r="E1793" s="229"/>
      <c r="F1793" s="187"/>
    </row>
    <row r="1794" spans="1:6" x14ac:dyDescent="0.2">
      <c r="A1794" s="275"/>
      <c r="B1794" s="78"/>
      <c r="C1794" s="189"/>
      <c r="D1794" s="249"/>
      <c r="E1794" s="229"/>
      <c r="F1794" s="187"/>
    </row>
    <row r="1795" spans="1:6" x14ac:dyDescent="0.2">
      <c r="A1795" s="275"/>
      <c r="B1795" s="78"/>
      <c r="C1795" s="189"/>
      <c r="D1795" s="249"/>
      <c r="E1795" s="229"/>
      <c r="F1795" s="187"/>
    </row>
    <row r="1796" spans="1:6" x14ac:dyDescent="0.2">
      <c r="A1796" s="275"/>
      <c r="B1796" s="78"/>
      <c r="C1796" s="189"/>
      <c r="D1796" s="249"/>
      <c r="E1796" s="229"/>
      <c r="F1796" s="187"/>
    </row>
    <row r="1797" spans="1:6" x14ac:dyDescent="0.2">
      <c r="A1797" s="275"/>
      <c r="B1797" s="78"/>
      <c r="C1797" s="189"/>
      <c r="D1797" s="249"/>
      <c r="E1797" s="229"/>
      <c r="F1797" s="187"/>
    </row>
    <row r="1798" spans="1:6" x14ac:dyDescent="0.2">
      <c r="A1798" s="275"/>
      <c r="B1798" s="78"/>
      <c r="C1798" s="189"/>
      <c r="D1798" s="249"/>
      <c r="E1798" s="229"/>
      <c r="F1798" s="187"/>
    </row>
    <row r="1799" spans="1:6" x14ac:dyDescent="0.2">
      <c r="A1799" s="275"/>
      <c r="B1799" s="78"/>
      <c r="C1799" s="189"/>
      <c r="D1799" s="249"/>
      <c r="E1799" s="229"/>
      <c r="F1799" s="187"/>
    </row>
    <row r="1800" spans="1:6" x14ac:dyDescent="0.2">
      <c r="A1800" s="275"/>
      <c r="B1800" s="78"/>
      <c r="C1800" s="189"/>
      <c r="D1800" s="249"/>
      <c r="E1800" s="229"/>
      <c r="F1800" s="187"/>
    </row>
    <row r="1801" spans="1:6" x14ac:dyDescent="0.2">
      <c r="A1801" s="275"/>
      <c r="B1801" s="78"/>
      <c r="C1801" s="189"/>
      <c r="D1801" s="249"/>
      <c r="E1801" s="229"/>
      <c r="F1801" s="187"/>
    </row>
    <row r="1802" spans="1:6" x14ac:dyDescent="0.2">
      <c r="A1802" s="275"/>
      <c r="B1802" s="78"/>
      <c r="C1802" s="189"/>
      <c r="D1802" s="249"/>
      <c r="E1802" s="229"/>
      <c r="F1802" s="187"/>
    </row>
    <row r="1803" spans="1:6" x14ac:dyDescent="0.2">
      <c r="A1803" s="275"/>
      <c r="B1803" s="78"/>
      <c r="C1803" s="189"/>
      <c r="D1803" s="249"/>
      <c r="E1803" s="229"/>
      <c r="F1803" s="187"/>
    </row>
    <row r="1804" spans="1:6" x14ac:dyDescent="0.2">
      <c r="A1804" s="275"/>
      <c r="B1804" s="78"/>
      <c r="C1804" s="189"/>
      <c r="D1804" s="249"/>
      <c r="E1804" s="229"/>
      <c r="F1804" s="187"/>
    </row>
    <row r="1805" spans="1:6" x14ac:dyDescent="0.2">
      <c r="A1805" s="275"/>
      <c r="B1805" s="78"/>
      <c r="C1805" s="189"/>
      <c r="D1805" s="249"/>
      <c r="E1805" s="229"/>
      <c r="F1805" s="187"/>
    </row>
    <row r="1806" spans="1:6" x14ac:dyDescent="0.2">
      <c r="A1806" s="275"/>
      <c r="B1806" s="78"/>
      <c r="C1806" s="189"/>
      <c r="D1806" s="249"/>
      <c r="E1806" s="229"/>
      <c r="F1806" s="187"/>
    </row>
    <row r="1807" spans="1:6" x14ac:dyDescent="0.2">
      <c r="A1807" s="275"/>
      <c r="B1807" s="78"/>
      <c r="C1807" s="189"/>
      <c r="D1807" s="249"/>
      <c r="E1807" s="229"/>
      <c r="F1807" s="187"/>
    </row>
    <row r="1808" spans="1:6" x14ac:dyDescent="0.2">
      <c r="A1808" s="275"/>
      <c r="B1808" s="78"/>
      <c r="C1808" s="189"/>
      <c r="D1808" s="249"/>
      <c r="E1808" s="229"/>
      <c r="F1808" s="187"/>
    </row>
    <row r="1809" spans="1:6" x14ac:dyDescent="0.2">
      <c r="A1809" s="275"/>
      <c r="B1809" s="78"/>
      <c r="C1809" s="189"/>
      <c r="D1809" s="249"/>
      <c r="E1809" s="229"/>
      <c r="F1809" s="187"/>
    </row>
    <row r="1810" spans="1:6" x14ac:dyDescent="0.2">
      <c r="A1810" s="275"/>
      <c r="B1810" s="78"/>
      <c r="C1810" s="189"/>
      <c r="D1810" s="249"/>
      <c r="E1810" s="229"/>
      <c r="F1810" s="187"/>
    </row>
    <row r="1811" spans="1:6" x14ac:dyDescent="0.2">
      <c r="A1811" s="275"/>
      <c r="B1811" s="78"/>
      <c r="C1811" s="189"/>
      <c r="D1811" s="249"/>
      <c r="E1811" s="229"/>
      <c r="F1811" s="187"/>
    </row>
    <row r="1812" spans="1:6" x14ac:dyDescent="0.2">
      <c r="A1812" s="275"/>
      <c r="B1812" s="78"/>
      <c r="C1812" s="189"/>
      <c r="D1812" s="249"/>
      <c r="E1812" s="229"/>
      <c r="F1812" s="187"/>
    </row>
    <row r="1813" spans="1:6" x14ac:dyDescent="0.2">
      <c r="A1813" s="275"/>
      <c r="B1813" s="78"/>
      <c r="C1813" s="189"/>
      <c r="D1813" s="249"/>
      <c r="E1813" s="229"/>
      <c r="F1813" s="187"/>
    </row>
    <row r="1814" spans="1:6" x14ac:dyDescent="0.2">
      <c r="A1814" s="275"/>
      <c r="B1814" s="78"/>
      <c r="C1814" s="189"/>
      <c r="D1814" s="249"/>
      <c r="E1814" s="229"/>
      <c r="F1814" s="187"/>
    </row>
    <row r="1815" spans="1:6" x14ac:dyDescent="0.2">
      <c r="A1815" s="275"/>
      <c r="B1815" s="78"/>
      <c r="C1815" s="189"/>
      <c r="D1815" s="249"/>
      <c r="E1815" s="229"/>
      <c r="F1815" s="187"/>
    </row>
    <row r="1816" spans="1:6" x14ac:dyDescent="0.2">
      <c r="A1816" s="275"/>
      <c r="B1816" s="78"/>
      <c r="C1816" s="189"/>
      <c r="D1816" s="249"/>
      <c r="E1816" s="229"/>
      <c r="F1816" s="187"/>
    </row>
    <row r="1817" spans="1:6" x14ac:dyDescent="0.2">
      <c r="A1817" s="275"/>
      <c r="B1817" s="78"/>
      <c r="C1817" s="189"/>
      <c r="D1817" s="249"/>
      <c r="E1817" s="229"/>
      <c r="F1817" s="187"/>
    </row>
    <row r="1818" spans="1:6" x14ac:dyDescent="0.2">
      <c r="A1818" s="275"/>
      <c r="B1818" s="78"/>
      <c r="C1818" s="189"/>
      <c r="D1818" s="249"/>
      <c r="E1818" s="229"/>
      <c r="F1818" s="187"/>
    </row>
    <row r="1819" spans="1:6" x14ac:dyDescent="0.2">
      <c r="A1819" s="275"/>
      <c r="B1819" s="78"/>
      <c r="C1819" s="189"/>
      <c r="D1819" s="249"/>
      <c r="E1819" s="229"/>
      <c r="F1819" s="187"/>
    </row>
    <row r="1820" spans="1:6" x14ac:dyDescent="0.2">
      <c r="A1820" s="275"/>
      <c r="B1820" s="78"/>
      <c r="C1820" s="189"/>
      <c r="D1820" s="249"/>
      <c r="E1820" s="229"/>
      <c r="F1820" s="187"/>
    </row>
    <row r="1821" spans="1:6" x14ac:dyDescent="0.2">
      <c r="A1821" s="275"/>
      <c r="B1821" s="78"/>
      <c r="C1821" s="189"/>
      <c r="D1821" s="249"/>
      <c r="E1821" s="229"/>
      <c r="F1821" s="187"/>
    </row>
    <row r="1822" spans="1:6" x14ac:dyDescent="0.2">
      <c r="A1822" s="275"/>
      <c r="B1822" s="78"/>
      <c r="C1822" s="189"/>
      <c r="D1822" s="249"/>
      <c r="E1822" s="229"/>
      <c r="F1822" s="187"/>
    </row>
    <row r="1823" spans="1:6" x14ac:dyDescent="0.2">
      <c r="A1823" s="275"/>
      <c r="B1823" s="78"/>
      <c r="C1823" s="189"/>
      <c r="D1823" s="249"/>
      <c r="E1823" s="229"/>
      <c r="F1823" s="187"/>
    </row>
    <row r="1824" spans="1:6" x14ac:dyDescent="0.2">
      <c r="A1824" s="275"/>
      <c r="B1824" s="78"/>
      <c r="C1824" s="189"/>
      <c r="D1824" s="249"/>
      <c r="E1824" s="229"/>
      <c r="F1824" s="187"/>
    </row>
    <row r="1825" spans="1:6" x14ac:dyDescent="0.2">
      <c r="A1825" s="275"/>
      <c r="B1825" s="78"/>
      <c r="C1825" s="189"/>
      <c r="D1825" s="249"/>
      <c r="E1825" s="229"/>
      <c r="F1825" s="187"/>
    </row>
    <row r="1826" spans="1:6" x14ac:dyDescent="0.2">
      <c r="A1826" s="275"/>
      <c r="B1826" s="78"/>
      <c r="C1826" s="189"/>
      <c r="D1826" s="249"/>
      <c r="E1826" s="229"/>
      <c r="F1826" s="187"/>
    </row>
    <row r="1827" spans="1:6" x14ac:dyDescent="0.2">
      <c r="A1827" s="275"/>
      <c r="B1827" s="78"/>
      <c r="C1827" s="189"/>
      <c r="D1827" s="249"/>
      <c r="E1827" s="229"/>
      <c r="F1827" s="187"/>
    </row>
    <row r="1828" spans="1:6" x14ac:dyDescent="0.2">
      <c r="A1828" s="275"/>
      <c r="B1828" s="78"/>
      <c r="C1828" s="189"/>
      <c r="D1828" s="249"/>
      <c r="E1828" s="229"/>
      <c r="F1828" s="187"/>
    </row>
    <row r="1829" spans="1:6" x14ac:dyDescent="0.2">
      <c r="A1829" s="275"/>
      <c r="B1829" s="78"/>
      <c r="C1829" s="189"/>
      <c r="D1829" s="249"/>
      <c r="E1829" s="229"/>
      <c r="F1829" s="187"/>
    </row>
    <row r="1830" spans="1:6" x14ac:dyDescent="0.2">
      <c r="A1830" s="275"/>
      <c r="B1830" s="78"/>
      <c r="C1830" s="189"/>
      <c r="D1830" s="249"/>
      <c r="E1830" s="229"/>
      <c r="F1830" s="187"/>
    </row>
    <row r="1831" spans="1:6" x14ac:dyDescent="0.2">
      <c r="A1831" s="275"/>
      <c r="B1831" s="78"/>
      <c r="C1831" s="189"/>
      <c r="D1831" s="249"/>
      <c r="E1831" s="229"/>
      <c r="F1831" s="187"/>
    </row>
    <row r="1832" spans="1:6" x14ac:dyDescent="0.2">
      <c r="A1832" s="275"/>
      <c r="B1832" s="78"/>
      <c r="C1832" s="189"/>
      <c r="D1832" s="249"/>
      <c r="E1832" s="229"/>
      <c r="F1832" s="187"/>
    </row>
    <row r="1833" spans="1:6" x14ac:dyDescent="0.2">
      <c r="A1833" s="275"/>
      <c r="B1833" s="78"/>
      <c r="C1833" s="189"/>
      <c r="D1833" s="249"/>
      <c r="E1833" s="229"/>
      <c r="F1833" s="187"/>
    </row>
    <row r="1834" spans="1:6" x14ac:dyDescent="0.2">
      <c r="A1834" s="275"/>
      <c r="B1834" s="78"/>
      <c r="C1834" s="189"/>
      <c r="D1834" s="249"/>
      <c r="E1834" s="229"/>
      <c r="F1834" s="187"/>
    </row>
    <row r="1835" spans="1:6" x14ac:dyDescent="0.2">
      <c r="A1835" s="275"/>
      <c r="B1835" s="78"/>
      <c r="C1835" s="189"/>
      <c r="D1835" s="249"/>
      <c r="E1835" s="229"/>
      <c r="F1835" s="187"/>
    </row>
    <row r="1836" spans="1:6" x14ac:dyDescent="0.2">
      <c r="A1836" s="275"/>
      <c r="B1836" s="78"/>
      <c r="C1836" s="189"/>
      <c r="D1836" s="249"/>
      <c r="E1836" s="229"/>
      <c r="F1836" s="187"/>
    </row>
    <row r="1837" spans="1:6" x14ac:dyDescent="0.2">
      <c r="A1837" s="275"/>
      <c r="B1837" s="78"/>
      <c r="C1837" s="189"/>
      <c r="D1837" s="249"/>
      <c r="E1837" s="229"/>
      <c r="F1837" s="187"/>
    </row>
    <row r="1838" spans="1:6" x14ac:dyDescent="0.2">
      <c r="A1838" s="275"/>
      <c r="B1838" s="78"/>
      <c r="C1838" s="189"/>
      <c r="D1838" s="249"/>
      <c r="E1838" s="229"/>
      <c r="F1838" s="187"/>
    </row>
    <row r="1839" spans="1:6" x14ac:dyDescent="0.2">
      <c r="A1839" s="275"/>
      <c r="B1839" s="78"/>
      <c r="C1839" s="189"/>
      <c r="D1839" s="249"/>
      <c r="E1839" s="229"/>
      <c r="F1839" s="187"/>
    </row>
    <row r="1840" spans="1:6" x14ac:dyDescent="0.2">
      <c r="A1840" s="275"/>
      <c r="B1840" s="78"/>
      <c r="C1840" s="189"/>
      <c r="D1840" s="249"/>
      <c r="E1840" s="229"/>
      <c r="F1840" s="187"/>
    </row>
    <row r="1841" spans="1:6" x14ac:dyDescent="0.2">
      <c r="A1841" s="275"/>
      <c r="B1841" s="78"/>
      <c r="C1841" s="189"/>
      <c r="D1841" s="249"/>
      <c r="E1841" s="229"/>
      <c r="F1841" s="187"/>
    </row>
    <row r="1842" spans="1:6" x14ac:dyDescent="0.2">
      <c r="A1842" s="275"/>
      <c r="B1842" s="78"/>
      <c r="C1842" s="189"/>
      <c r="D1842" s="249"/>
      <c r="E1842" s="229"/>
      <c r="F1842" s="187"/>
    </row>
    <row r="1843" spans="1:6" x14ac:dyDescent="0.2">
      <c r="A1843" s="275"/>
      <c r="B1843" s="78"/>
      <c r="C1843" s="189"/>
      <c r="D1843" s="249"/>
      <c r="E1843" s="229"/>
      <c r="F1843" s="187"/>
    </row>
    <row r="1844" spans="1:6" x14ac:dyDescent="0.2">
      <c r="A1844" s="275"/>
      <c r="B1844" s="78"/>
      <c r="C1844" s="189"/>
      <c r="D1844" s="249"/>
      <c r="E1844" s="229"/>
      <c r="F1844" s="187"/>
    </row>
    <row r="1845" spans="1:6" x14ac:dyDescent="0.2">
      <c r="A1845" s="275"/>
      <c r="B1845" s="78"/>
      <c r="C1845" s="189"/>
      <c r="D1845" s="249"/>
      <c r="E1845" s="229"/>
      <c r="F1845" s="187"/>
    </row>
    <row r="1846" spans="1:6" x14ac:dyDescent="0.2">
      <c r="A1846" s="275"/>
      <c r="B1846" s="78"/>
      <c r="C1846" s="189"/>
      <c r="D1846" s="249"/>
      <c r="E1846" s="229"/>
      <c r="F1846" s="187"/>
    </row>
    <row r="1847" spans="1:6" x14ac:dyDescent="0.2">
      <c r="A1847" s="275"/>
      <c r="B1847" s="78"/>
      <c r="C1847" s="189"/>
      <c r="D1847" s="249"/>
      <c r="E1847" s="229"/>
      <c r="F1847" s="187"/>
    </row>
    <row r="1848" spans="1:6" x14ac:dyDescent="0.2">
      <c r="A1848" s="275"/>
      <c r="B1848" s="78"/>
      <c r="C1848" s="189"/>
      <c r="D1848" s="249"/>
      <c r="E1848" s="229"/>
      <c r="F1848" s="187"/>
    </row>
    <row r="1849" spans="1:6" x14ac:dyDescent="0.2">
      <c r="A1849" s="275"/>
      <c r="B1849" s="78"/>
      <c r="C1849" s="189"/>
      <c r="D1849" s="249"/>
      <c r="E1849" s="229"/>
      <c r="F1849" s="187"/>
    </row>
    <row r="1850" spans="1:6" x14ac:dyDescent="0.2">
      <c r="A1850" s="275"/>
      <c r="B1850" s="78"/>
      <c r="C1850" s="189"/>
      <c r="D1850" s="249"/>
      <c r="E1850" s="229"/>
      <c r="F1850" s="187"/>
    </row>
    <row r="1851" spans="1:6" x14ac:dyDescent="0.2">
      <c r="A1851" s="275"/>
      <c r="B1851" s="78"/>
      <c r="C1851" s="189"/>
      <c r="D1851" s="249"/>
      <c r="E1851" s="229"/>
      <c r="F1851" s="187"/>
    </row>
    <row r="1852" spans="1:6" x14ac:dyDescent="0.2">
      <c r="A1852" s="275"/>
      <c r="B1852" s="78"/>
      <c r="C1852" s="189"/>
      <c r="D1852" s="249"/>
      <c r="E1852" s="229"/>
      <c r="F1852" s="187"/>
    </row>
    <row r="1853" spans="1:6" x14ac:dyDescent="0.2">
      <c r="A1853" s="275"/>
      <c r="B1853" s="78"/>
      <c r="C1853" s="189"/>
      <c r="D1853" s="249"/>
      <c r="E1853" s="229"/>
      <c r="F1853" s="187"/>
    </row>
    <row r="1854" spans="1:6" x14ac:dyDescent="0.2">
      <c r="A1854" s="275"/>
      <c r="B1854" s="78"/>
      <c r="C1854" s="189"/>
      <c r="D1854" s="249"/>
      <c r="E1854" s="229"/>
      <c r="F1854" s="187"/>
    </row>
    <row r="1855" spans="1:6" x14ac:dyDescent="0.2">
      <c r="A1855" s="275"/>
      <c r="B1855" s="78"/>
      <c r="C1855" s="189"/>
      <c r="D1855" s="249"/>
      <c r="E1855" s="229"/>
      <c r="F1855" s="187"/>
    </row>
    <row r="1856" spans="1:6" x14ac:dyDescent="0.2">
      <c r="A1856" s="275"/>
      <c r="B1856" s="78"/>
      <c r="C1856" s="189"/>
      <c r="D1856" s="249"/>
      <c r="E1856" s="229"/>
      <c r="F1856" s="187"/>
    </row>
    <row r="1857" spans="1:6" x14ac:dyDescent="0.2">
      <c r="A1857" s="275"/>
      <c r="B1857" s="78"/>
      <c r="C1857" s="189"/>
      <c r="D1857" s="249"/>
      <c r="E1857" s="229"/>
      <c r="F1857" s="187"/>
    </row>
    <row r="1858" spans="1:6" x14ac:dyDescent="0.2">
      <c r="A1858" s="275"/>
      <c r="B1858" s="78"/>
      <c r="C1858" s="189"/>
      <c r="D1858" s="249"/>
      <c r="E1858" s="229"/>
      <c r="F1858" s="187"/>
    </row>
    <row r="1859" spans="1:6" x14ac:dyDescent="0.2">
      <c r="A1859" s="275"/>
      <c r="B1859" s="78"/>
      <c r="C1859" s="189"/>
      <c r="D1859" s="249"/>
      <c r="E1859" s="229"/>
      <c r="F1859" s="187"/>
    </row>
    <row r="1860" spans="1:6" x14ac:dyDescent="0.2">
      <c r="A1860" s="275"/>
      <c r="B1860" s="78"/>
      <c r="C1860" s="189"/>
      <c r="D1860" s="249"/>
      <c r="E1860" s="229"/>
      <c r="F1860" s="187"/>
    </row>
    <row r="1861" spans="1:6" x14ac:dyDescent="0.2">
      <c r="A1861" s="275"/>
      <c r="B1861" s="78"/>
      <c r="C1861" s="189"/>
      <c r="D1861" s="249"/>
      <c r="E1861" s="229"/>
      <c r="F1861" s="187"/>
    </row>
    <row r="1862" spans="1:6" x14ac:dyDescent="0.2">
      <c r="A1862" s="275"/>
      <c r="B1862" s="78"/>
      <c r="C1862" s="189"/>
      <c r="D1862" s="249"/>
      <c r="E1862" s="229"/>
      <c r="F1862" s="187"/>
    </row>
    <row r="1863" spans="1:6" x14ac:dyDescent="0.2">
      <c r="A1863" s="275"/>
      <c r="B1863" s="78"/>
      <c r="C1863" s="189"/>
      <c r="D1863" s="249"/>
      <c r="E1863" s="229"/>
      <c r="F1863" s="187"/>
    </row>
    <row r="1864" spans="1:6" x14ac:dyDescent="0.2">
      <c r="A1864" s="275"/>
      <c r="B1864" s="78"/>
      <c r="C1864" s="189"/>
      <c r="D1864" s="249"/>
      <c r="E1864" s="229"/>
      <c r="F1864" s="187"/>
    </row>
    <row r="1865" spans="1:6" x14ac:dyDescent="0.2">
      <c r="A1865" s="275"/>
      <c r="B1865" s="78"/>
      <c r="C1865" s="189"/>
      <c r="D1865" s="249"/>
      <c r="E1865" s="229"/>
      <c r="F1865" s="187"/>
    </row>
    <row r="1866" spans="1:6" x14ac:dyDescent="0.2">
      <c r="A1866" s="275"/>
      <c r="B1866" s="78"/>
      <c r="C1866" s="189"/>
      <c r="D1866" s="249"/>
      <c r="E1866" s="229"/>
      <c r="F1866" s="187"/>
    </row>
    <row r="1867" spans="1:6" x14ac:dyDescent="0.2">
      <c r="A1867" s="275"/>
      <c r="B1867" s="78"/>
      <c r="C1867" s="189"/>
      <c r="D1867" s="249"/>
      <c r="E1867" s="229"/>
      <c r="F1867" s="187"/>
    </row>
    <row r="1868" spans="1:6" x14ac:dyDescent="0.2">
      <c r="A1868" s="275"/>
      <c r="B1868" s="78"/>
      <c r="C1868" s="189"/>
      <c r="D1868" s="249"/>
      <c r="E1868" s="229"/>
      <c r="F1868" s="187"/>
    </row>
    <row r="1869" spans="1:6" x14ac:dyDescent="0.2">
      <c r="A1869" s="275"/>
      <c r="B1869" s="78"/>
      <c r="C1869" s="189"/>
      <c r="D1869" s="249"/>
      <c r="E1869" s="229"/>
      <c r="F1869" s="187"/>
    </row>
    <row r="1870" spans="1:6" x14ac:dyDescent="0.2">
      <c r="A1870" s="275"/>
      <c r="B1870" s="78"/>
      <c r="C1870" s="189"/>
      <c r="D1870" s="249"/>
      <c r="E1870" s="229"/>
      <c r="F1870" s="187"/>
    </row>
    <row r="1871" spans="1:6" x14ac:dyDescent="0.2">
      <c r="A1871" s="275"/>
      <c r="B1871" s="78"/>
      <c r="C1871" s="189"/>
      <c r="D1871" s="249"/>
      <c r="E1871" s="229"/>
      <c r="F1871" s="187"/>
    </row>
    <row r="1872" spans="1:6" x14ac:dyDescent="0.2">
      <c r="A1872" s="275"/>
      <c r="B1872" s="78"/>
      <c r="C1872" s="189"/>
      <c r="D1872" s="249"/>
      <c r="E1872" s="229"/>
      <c r="F1872" s="187"/>
    </row>
    <row r="1873" spans="1:6" x14ac:dyDescent="0.2">
      <c r="A1873" s="275"/>
      <c r="B1873" s="78"/>
      <c r="C1873" s="189"/>
      <c r="D1873" s="249"/>
      <c r="E1873" s="229"/>
      <c r="F1873" s="187"/>
    </row>
    <row r="1874" spans="1:6" x14ac:dyDescent="0.2">
      <c r="A1874" s="275"/>
      <c r="B1874" s="78"/>
      <c r="C1874" s="189"/>
      <c r="D1874" s="249"/>
      <c r="E1874" s="229"/>
      <c r="F1874" s="187"/>
    </row>
    <row r="1875" spans="1:6" x14ac:dyDescent="0.2">
      <c r="A1875" s="275"/>
      <c r="B1875" s="78"/>
      <c r="C1875" s="189"/>
      <c r="D1875" s="249"/>
      <c r="E1875" s="229"/>
      <c r="F1875" s="187"/>
    </row>
    <row r="1876" spans="1:6" x14ac:dyDescent="0.2">
      <c r="A1876" s="275"/>
      <c r="B1876" s="78"/>
      <c r="C1876" s="189"/>
      <c r="D1876" s="249"/>
      <c r="E1876" s="229"/>
      <c r="F1876" s="187"/>
    </row>
    <row r="1877" spans="1:6" x14ac:dyDescent="0.2">
      <c r="A1877" s="275"/>
      <c r="B1877" s="78"/>
      <c r="C1877" s="189"/>
      <c r="D1877" s="249"/>
      <c r="E1877" s="229"/>
      <c r="F1877" s="187"/>
    </row>
    <row r="1878" spans="1:6" x14ac:dyDescent="0.2">
      <c r="A1878" s="275"/>
      <c r="B1878" s="78"/>
      <c r="C1878" s="189"/>
      <c r="D1878" s="249"/>
      <c r="E1878" s="229"/>
      <c r="F1878" s="187"/>
    </row>
    <row r="1879" spans="1:6" x14ac:dyDescent="0.2">
      <c r="A1879" s="275"/>
      <c r="B1879" s="78"/>
      <c r="C1879" s="189"/>
      <c r="D1879" s="249"/>
      <c r="E1879" s="229"/>
      <c r="F1879" s="187"/>
    </row>
    <row r="1880" spans="1:6" x14ac:dyDescent="0.2">
      <c r="A1880" s="275"/>
      <c r="B1880" s="78"/>
      <c r="C1880" s="189"/>
      <c r="D1880" s="249"/>
      <c r="E1880" s="229"/>
      <c r="F1880" s="187"/>
    </row>
    <row r="1881" spans="1:6" x14ac:dyDescent="0.2">
      <c r="A1881" s="275"/>
      <c r="B1881" s="78"/>
      <c r="C1881" s="189"/>
      <c r="D1881" s="249"/>
      <c r="E1881" s="229"/>
      <c r="F1881" s="187"/>
    </row>
    <row r="1882" spans="1:6" x14ac:dyDescent="0.2">
      <c r="A1882" s="275"/>
      <c r="B1882" s="78"/>
      <c r="C1882" s="189"/>
      <c r="D1882" s="249"/>
      <c r="E1882" s="229"/>
      <c r="F1882" s="187"/>
    </row>
    <row r="1883" spans="1:6" x14ac:dyDescent="0.2">
      <c r="A1883" s="275"/>
      <c r="B1883" s="78"/>
      <c r="C1883" s="189"/>
      <c r="D1883" s="249"/>
      <c r="E1883" s="229"/>
      <c r="F1883" s="187"/>
    </row>
    <row r="1884" spans="1:6" x14ac:dyDescent="0.2">
      <c r="A1884" s="275"/>
      <c r="B1884" s="78"/>
      <c r="C1884" s="189"/>
      <c r="D1884" s="249"/>
      <c r="E1884" s="229"/>
      <c r="F1884" s="187"/>
    </row>
    <row r="1885" spans="1:6" x14ac:dyDescent="0.2">
      <c r="A1885" s="275"/>
      <c r="B1885" s="78"/>
      <c r="C1885" s="189"/>
      <c r="D1885" s="249"/>
      <c r="E1885" s="229"/>
      <c r="F1885" s="187"/>
    </row>
    <row r="1886" spans="1:6" x14ac:dyDescent="0.2">
      <c r="A1886" s="275"/>
      <c r="B1886" s="78"/>
      <c r="C1886" s="189"/>
      <c r="D1886" s="249"/>
      <c r="E1886" s="229"/>
      <c r="F1886" s="187"/>
    </row>
    <row r="1887" spans="1:6" x14ac:dyDescent="0.2">
      <c r="A1887" s="275"/>
      <c r="B1887" s="78"/>
      <c r="C1887" s="189"/>
      <c r="D1887" s="249"/>
      <c r="E1887" s="229"/>
      <c r="F1887" s="187"/>
    </row>
    <row r="1888" spans="1:6" x14ac:dyDescent="0.2">
      <c r="A1888" s="275"/>
      <c r="B1888" s="78"/>
      <c r="C1888" s="189"/>
      <c r="D1888" s="249"/>
      <c r="E1888" s="229"/>
      <c r="F1888" s="187"/>
    </row>
    <row r="1889" spans="1:6" x14ac:dyDescent="0.2">
      <c r="A1889" s="275"/>
      <c r="B1889" s="78"/>
      <c r="C1889" s="189"/>
      <c r="D1889" s="249"/>
      <c r="E1889" s="229"/>
      <c r="F1889" s="187"/>
    </row>
    <row r="1890" spans="1:6" x14ac:dyDescent="0.2">
      <c r="A1890" s="275"/>
      <c r="B1890" s="78"/>
      <c r="C1890" s="189"/>
      <c r="D1890" s="249"/>
      <c r="E1890" s="229"/>
      <c r="F1890" s="187"/>
    </row>
    <row r="1891" spans="1:6" x14ac:dyDescent="0.2">
      <c r="A1891" s="275"/>
      <c r="B1891" s="78"/>
      <c r="C1891" s="189"/>
      <c r="D1891" s="249"/>
      <c r="E1891" s="229"/>
      <c r="F1891" s="187"/>
    </row>
    <row r="1892" spans="1:6" x14ac:dyDescent="0.2">
      <c r="A1892" s="275"/>
      <c r="B1892" s="78"/>
      <c r="C1892" s="189"/>
      <c r="D1892" s="249"/>
      <c r="E1892" s="229"/>
      <c r="F1892" s="187"/>
    </row>
    <row r="1893" spans="1:6" x14ac:dyDescent="0.2">
      <c r="A1893" s="275"/>
      <c r="B1893" s="78"/>
      <c r="C1893" s="189"/>
      <c r="D1893" s="249"/>
      <c r="E1893" s="229"/>
      <c r="F1893" s="187"/>
    </row>
    <row r="1894" spans="1:6" x14ac:dyDescent="0.2">
      <c r="A1894" s="275"/>
      <c r="B1894" s="78"/>
      <c r="C1894" s="189"/>
      <c r="D1894" s="249"/>
      <c r="E1894" s="229"/>
      <c r="F1894" s="187"/>
    </row>
    <row r="1895" spans="1:6" x14ac:dyDescent="0.2">
      <c r="A1895" s="275"/>
      <c r="B1895" s="78"/>
      <c r="C1895" s="189"/>
      <c r="D1895" s="249"/>
      <c r="E1895" s="229"/>
      <c r="F1895" s="187"/>
    </row>
    <row r="1896" spans="1:6" x14ac:dyDescent="0.2">
      <c r="A1896" s="275"/>
      <c r="B1896" s="78"/>
      <c r="C1896" s="189"/>
      <c r="D1896" s="249"/>
      <c r="E1896" s="229"/>
      <c r="F1896" s="187"/>
    </row>
    <row r="1897" spans="1:6" x14ac:dyDescent="0.2">
      <c r="A1897" s="275"/>
      <c r="B1897" s="78"/>
      <c r="C1897" s="189"/>
      <c r="D1897" s="249"/>
      <c r="E1897" s="229"/>
      <c r="F1897" s="187"/>
    </row>
    <row r="1898" spans="1:6" x14ac:dyDescent="0.2">
      <c r="A1898" s="275"/>
      <c r="B1898" s="78"/>
      <c r="C1898" s="189"/>
      <c r="D1898" s="249"/>
      <c r="E1898" s="229"/>
      <c r="F1898" s="187"/>
    </row>
    <row r="1899" spans="1:6" x14ac:dyDescent="0.2">
      <c r="A1899" s="275"/>
      <c r="B1899" s="78"/>
      <c r="C1899" s="189"/>
      <c r="D1899" s="249"/>
      <c r="E1899" s="229"/>
      <c r="F1899" s="187"/>
    </row>
    <row r="1900" spans="1:6" x14ac:dyDescent="0.2">
      <c r="A1900" s="275"/>
      <c r="B1900" s="78"/>
      <c r="C1900" s="189"/>
      <c r="D1900" s="249"/>
      <c r="E1900" s="229"/>
      <c r="F1900" s="187"/>
    </row>
    <row r="1901" spans="1:6" x14ac:dyDescent="0.2">
      <c r="A1901" s="275"/>
      <c r="B1901" s="78"/>
      <c r="C1901" s="189"/>
      <c r="D1901" s="249"/>
      <c r="E1901" s="229"/>
      <c r="F1901" s="187"/>
    </row>
    <row r="1902" spans="1:6" x14ac:dyDescent="0.2">
      <c r="A1902" s="275"/>
      <c r="B1902" s="78"/>
      <c r="C1902" s="189"/>
      <c r="D1902" s="249"/>
      <c r="E1902" s="229"/>
      <c r="F1902" s="187"/>
    </row>
    <row r="1903" spans="1:6" x14ac:dyDescent="0.2">
      <c r="A1903" s="275"/>
      <c r="B1903" s="78"/>
      <c r="C1903" s="189"/>
      <c r="D1903" s="249"/>
      <c r="E1903" s="229"/>
      <c r="F1903" s="187"/>
    </row>
    <row r="1904" spans="1:6" x14ac:dyDescent="0.2">
      <c r="A1904" s="275"/>
      <c r="B1904" s="78"/>
      <c r="C1904" s="189"/>
      <c r="D1904" s="249"/>
      <c r="E1904" s="229"/>
      <c r="F1904" s="187"/>
    </row>
    <row r="1905" spans="1:6" x14ac:dyDescent="0.2">
      <c r="A1905" s="275"/>
      <c r="B1905" s="78"/>
      <c r="C1905" s="189"/>
      <c r="D1905" s="249"/>
      <c r="E1905" s="229"/>
      <c r="F1905" s="187"/>
    </row>
    <row r="1906" spans="1:6" x14ac:dyDescent="0.2">
      <c r="A1906" s="275"/>
      <c r="B1906" s="78"/>
      <c r="C1906" s="189"/>
      <c r="D1906" s="249"/>
      <c r="E1906" s="229"/>
      <c r="F1906" s="187"/>
    </row>
    <row r="1907" spans="1:6" x14ac:dyDescent="0.2">
      <c r="A1907" s="275"/>
      <c r="B1907" s="78"/>
      <c r="C1907" s="189"/>
      <c r="D1907" s="249"/>
      <c r="E1907" s="229"/>
      <c r="F1907" s="187"/>
    </row>
    <row r="1908" spans="1:6" x14ac:dyDescent="0.2">
      <c r="A1908" s="275"/>
      <c r="B1908" s="78"/>
      <c r="C1908" s="189"/>
      <c r="D1908" s="249"/>
      <c r="E1908" s="229"/>
      <c r="F1908" s="187"/>
    </row>
    <row r="1909" spans="1:6" x14ac:dyDescent="0.2">
      <c r="A1909" s="275"/>
      <c r="B1909" s="78"/>
      <c r="C1909" s="189"/>
      <c r="D1909" s="249"/>
      <c r="E1909" s="229"/>
      <c r="F1909" s="187"/>
    </row>
    <row r="1910" spans="1:6" x14ac:dyDescent="0.2">
      <c r="A1910" s="275"/>
      <c r="B1910" s="78"/>
      <c r="C1910" s="189"/>
      <c r="D1910" s="249"/>
      <c r="E1910" s="229"/>
      <c r="F1910" s="187"/>
    </row>
    <row r="1911" spans="1:6" x14ac:dyDescent="0.2">
      <c r="A1911" s="275"/>
      <c r="B1911" s="78"/>
      <c r="C1911" s="189"/>
      <c r="D1911" s="249"/>
      <c r="E1911" s="229"/>
      <c r="F1911" s="187"/>
    </row>
    <row r="1912" spans="1:6" x14ac:dyDescent="0.2">
      <c r="A1912" s="275"/>
      <c r="B1912" s="78"/>
      <c r="C1912" s="189"/>
      <c r="D1912" s="249"/>
      <c r="E1912" s="229"/>
      <c r="F1912" s="187"/>
    </row>
    <row r="1913" spans="1:6" x14ac:dyDescent="0.2">
      <c r="A1913" s="275"/>
      <c r="B1913" s="78"/>
      <c r="C1913" s="189"/>
      <c r="D1913" s="249"/>
      <c r="E1913" s="229"/>
      <c r="F1913" s="187"/>
    </row>
    <row r="1914" spans="1:6" x14ac:dyDescent="0.2">
      <c r="A1914" s="275"/>
      <c r="B1914" s="78"/>
      <c r="C1914" s="189"/>
      <c r="D1914" s="249"/>
      <c r="E1914" s="229"/>
      <c r="F1914" s="187"/>
    </row>
    <row r="1915" spans="1:6" x14ac:dyDescent="0.2">
      <c r="A1915" s="275"/>
      <c r="B1915" s="78"/>
      <c r="C1915" s="189"/>
      <c r="D1915" s="249"/>
      <c r="E1915" s="229"/>
      <c r="F1915" s="187"/>
    </row>
    <row r="1916" spans="1:6" x14ac:dyDescent="0.2">
      <c r="A1916" s="275"/>
      <c r="B1916" s="78"/>
      <c r="C1916" s="189"/>
      <c r="D1916" s="249"/>
      <c r="E1916" s="229"/>
      <c r="F1916" s="187"/>
    </row>
    <row r="1917" spans="1:6" x14ac:dyDescent="0.2">
      <c r="A1917" s="275"/>
      <c r="B1917" s="78"/>
      <c r="C1917" s="189"/>
      <c r="D1917" s="249"/>
      <c r="E1917" s="229"/>
      <c r="F1917" s="187"/>
    </row>
    <row r="1918" spans="1:6" x14ac:dyDescent="0.2">
      <c r="A1918" s="275"/>
      <c r="B1918" s="78"/>
      <c r="C1918" s="189"/>
      <c r="D1918" s="249"/>
      <c r="E1918" s="229"/>
      <c r="F1918" s="187"/>
    </row>
    <row r="1919" spans="1:6" x14ac:dyDescent="0.2">
      <c r="A1919" s="275"/>
      <c r="B1919" s="78"/>
      <c r="C1919" s="189"/>
      <c r="D1919" s="249"/>
      <c r="E1919" s="229"/>
      <c r="F1919" s="187"/>
    </row>
    <row r="1920" spans="1:6" x14ac:dyDescent="0.2">
      <c r="A1920" s="275"/>
      <c r="B1920" s="78"/>
      <c r="C1920" s="189"/>
      <c r="D1920" s="249"/>
      <c r="E1920" s="229"/>
      <c r="F1920" s="187"/>
    </row>
    <row r="1921" spans="1:6" x14ac:dyDescent="0.2">
      <c r="A1921" s="275"/>
      <c r="B1921" s="78"/>
      <c r="C1921" s="189"/>
      <c r="D1921" s="249"/>
      <c r="E1921" s="229"/>
      <c r="F1921" s="187"/>
    </row>
    <row r="1922" spans="1:6" x14ac:dyDescent="0.2">
      <c r="A1922" s="275"/>
      <c r="B1922" s="78"/>
      <c r="C1922" s="189"/>
      <c r="D1922" s="249"/>
      <c r="E1922" s="229"/>
      <c r="F1922" s="187"/>
    </row>
    <row r="1923" spans="1:6" x14ac:dyDescent="0.2">
      <c r="A1923" s="275"/>
      <c r="B1923" s="78"/>
      <c r="C1923" s="189"/>
      <c r="D1923" s="249"/>
      <c r="E1923" s="229"/>
      <c r="F1923" s="187"/>
    </row>
    <row r="1924" spans="1:6" x14ac:dyDescent="0.2">
      <c r="A1924" s="275"/>
      <c r="B1924" s="78"/>
      <c r="C1924" s="189"/>
      <c r="D1924" s="249"/>
      <c r="E1924" s="229"/>
      <c r="F1924" s="187"/>
    </row>
    <row r="1925" spans="1:6" x14ac:dyDescent="0.2">
      <c r="A1925" s="275"/>
      <c r="B1925" s="78"/>
      <c r="C1925" s="189"/>
      <c r="D1925" s="249"/>
      <c r="E1925" s="229"/>
      <c r="F1925" s="187"/>
    </row>
    <row r="1926" spans="1:6" x14ac:dyDescent="0.2">
      <c r="A1926" s="275"/>
      <c r="B1926" s="78"/>
      <c r="C1926" s="189"/>
      <c r="D1926" s="249"/>
      <c r="E1926" s="229"/>
      <c r="F1926" s="187"/>
    </row>
    <row r="1927" spans="1:6" x14ac:dyDescent="0.2">
      <c r="A1927" s="275"/>
      <c r="B1927" s="78"/>
      <c r="C1927" s="189"/>
      <c r="D1927" s="249"/>
      <c r="E1927" s="229"/>
      <c r="F1927" s="187"/>
    </row>
    <row r="1928" spans="1:6" x14ac:dyDescent="0.2">
      <c r="A1928" s="275"/>
      <c r="B1928" s="78"/>
      <c r="C1928" s="189"/>
      <c r="D1928" s="249"/>
      <c r="E1928" s="229"/>
      <c r="F1928" s="187"/>
    </row>
    <row r="1929" spans="1:6" x14ac:dyDescent="0.2">
      <c r="A1929" s="275"/>
      <c r="B1929" s="78"/>
      <c r="C1929" s="189"/>
      <c r="D1929" s="249"/>
      <c r="E1929" s="229"/>
      <c r="F1929" s="187"/>
    </row>
    <row r="1930" spans="1:6" x14ac:dyDescent="0.2">
      <c r="A1930" s="275"/>
      <c r="B1930" s="78"/>
      <c r="C1930" s="189"/>
      <c r="D1930" s="249"/>
      <c r="E1930" s="229"/>
      <c r="F1930" s="187"/>
    </row>
    <row r="1931" spans="1:6" x14ac:dyDescent="0.2">
      <c r="A1931" s="275"/>
      <c r="B1931" s="78"/>
      <c r="C1931" s="189"/>
      <c r="D1931" s="249"/>
      <c r="E1931" s="229"/>
      <c r="F1931" s="187"/>
    </row>
    <row r="1932" spans="1:6" x14ac:dyDescent="0.2">
      <c r="A1932" s="275"/>
      <c r="B1932" s="78"/>
      <c r="C1932" s="189"/>
      <c r="D1932" s="249"/>
      <c r="E1932" s="229"/>
      <c r="F1932" s="187"/>
    </row>
    <row r="1933" spans="1:6" x14ac:dyDescent="0.2">
      <c r="A1933" s="275"/>
      <c r="B1933" s="78"/>
      <c r="C1933" s="189"/>
      <c r="D1933" s="249"/>
      <c r="E1933" s="229"/>
      <c r="F1933" s="187"/>
    </row>
    <row r="1934" spans="1:6" x14ac:dyDescent="0.2">
      <c r="A1934" s="275"/>
      <c r="B1934" s="78"/>
      <c r="C1934" s="189"/>
      <c r="D1934" s="249"/>
      <c r="E1934" s="229"/>
      <c r="F1934" s="187"/>
    </row>
    <row r="1935" spans="1:6" x14ac:dyDescent="0.2">
      <c r="A1935" s="275"/>
      <c r="B1935" s="78"/>
      <c r="C1935" s="189"/>
      <c r="D1935" s="249"/>
      <c r="E1935" s="229"/>
      <c r="F1935" s="187"/>
    </row>
    <row r="1936" spans="1:6" x14ac:dyDescent="0.2">
      <c r="A1936" s="275"/>
      <c r="B1936" s="78"/>
      <c r="C1936" s="189"/>
      <c r="D1936" s="249"/>
      <c r="E1936" s="229"/>
      <c r="F1936" s="187"/>
    </row>
    <row r="1937" spans="1:6" x14ac:dyDescent="0.2">
      <c r="A1937" s="275"/>
      <c r="B1937" s="78"/>
      <c r="C1937" s="189"/>
      <c r="D1937" s="249"/>
      <c r="E1937" s="229"/>
      <c r="F1937" s="187"/>
    </row>
    <row r="1938" spans="1:6" x14ac:dyDescent="0.2">
      <c r="A1938" s="275"/>
      <c r="B1938" s="78"/>
      <c r="C1938" s="189"/>
      <c r="D1938" s="249"/>
      <c r="E1938" s="229"/>
      <c r="F1938" s="187"/>
    </row>
    <row r="1939" spans="1:6" x14ac:dyDescent="0.2">
      <c r="A1939" s="275"/>
      <c r="B1939" s="78"/>
      <c r="C1939" s="189"/>
      <c r="D1939" s="249"/>
      <c r="E1939" s="229"/>
      <c r="F1939" s="187"/>
    </row>
    <row r="1940" spans="1:6" x14ac:dyDescent="0.2">
      <c r="A1940" s="275"/>
      <c r="B1940" s="78"/>
      <c r="C1940" s="189"/>
      <c r="D1940" s="249"/>
      <c r="E1940" s="229"/>
      <c r="F1940" s="187"/>
    </row>
    <row r="1941" spans="1:6" x14ac:dyDescent="0.2">
      <c r="A1941" s="275"/>
      <c r="B1941" s="78"/>
      <c r="C1941" s="189"/>
      <c r="D1941" s="249"/>
      <c r="E1941" s="229"/>
      <c r="F1941" s="187"/>
    </row>
    <row r="1942" spans="1:6" x14ac:dyDescent="0.2">
      <c r="A1942" s="275"/>
      <c r="B1942" s="78"/>
      <c r="C1942" s="189"/>
      <c r="D1942" s="249"/>
      <c r="E1942" s="229"/>
      <c r="F1942" s="187"/>
    </row>
    <row r="1943" spans="1:6" x14ac:dyDescent="0.2">
      <c r="A1943" s="275"/>
      <c r="B1943" s="78"/>
      <c r="C1943" s="189"/>
      <c r="D1943" s="249"/>
      <c r="E1943" s="229"/>
      <c r="F1943" s="187"/>
    </row>
    <row r="1944" spans="1:6" x14ac:dyDescent="0.2">
      <c r="A1944" s="275"/>
      <c r="B1944" s="78"/>
      <c r="C1944" s="189"/>
      <c r="D1944" s="249"/>
      <c r="E1944" s="229"/>
      <c r="F1944" s="187"/>
    </row>
    <row r="1945" spans="1:6" x14ac:dyDescent="0.2">
      <c r="A1945" s="275"/>
      <c r="B1945" s="78"/>
      <c r="C1945" s="189"/>
      <c r="D1945" s="249"/>
      <c r="E1945" s="229"/>
      <c r="F1945" s="187"/>
    </row>
    <row r="1946" spans="1:6" x14ac:dyDescent="0.2">
      <c r="A1946" s="275"/>
      <c r="B1946" s="78"/>
      <c r="C1946" s="189"/>
      <c r="D1946" s="249"/>
      <c r="E1946" s="229"/>
      <c r="F1946" s="187"/>
    </row>
    <row r="1947" spans="1:6" x14ac:dyDescent="0.2">
      <c r="A1947" s="275"/>
      <c r="B1947" s="78"/>
      <c r="C1947" s="189"/>
      <c r="D1947" s="249"/>
      <c r="E1947" s="229"/>
      <c r="F1947" s="187"/>
    </row>
    <row r="1948" spans="1:6" x14ac:dyDescent="0.2">
      <c r="A1948" s="275"/>
      <c r="B1948" s="78"/>
      <c r="C1948" s="189"/>
      <c r="D1948" s="249"/>
      <c r="E1948" s="229"/>
      <c r="F1948" s="187"/>
    </row>
    <row r="1949" spans="1:6" x14ac:dyDescent="0.2">
      <c r="A1949" s="275"/>
      <c r="B1949" s="78"/>
      <c r="C1949" s="189"/>
      <c r="D1949" s="249"/>
      <c r="E1949" s="229"/>
      <c r="F1949" s="187"/>
    </row>
    <row r="1950" spans="1:6" x14ac:dyDescent="0.2">
      <c r="A1950" s="275"/>
      <c r="B1950" s="78"/>
      <c r="C1950" s="189"/>
      <c r="D1950" s="249"/>
      <c r="E1950" s="229"/>
      <c r="F1950" s="187"/>
    </row>
    <row r="1951" spans="1:6" x14ac:dyDescent="0.2">
      <c r="A1951" s="275"/>
      <c r="B1951" s="78"/>
      <c r="C1951" s="189"/>
      <c r="D1951" s="249"/>
      <c r="E1951" s="229"/>
      <c r="F1951" s="187"/>
    </row>
    <row r="1952" spans="1:6" x14ac:dyDescent="0.2">
      <c r="A1952" s="275"/>
      <c r="B1952" s="78"/>
      <c r="C1952" s="189"/>
      <c r="D1952" s="249"/>
      <c r="E1952" s="229"/>
      <c r="F1952" s="187"/>
    </row>
    <row r="1953" spans="1:6" x14ac:dyDescent="0.2">
      <c r="A1953" s="275"/>
      <c r="B1953" s="78"/>
      <c r="C1953" s="189"/>
      <c r="D1953" s="249"/>
      <c r="E1953" s="229"/>
      <c r="F1953" s="187"/>
    </row>
    <row r="1954" spans="1:6" x14ac:dyDescent="0.2">
      <c r="A1954" s="275"/>
      <c r="B1954" s="78"/>
      <c r="C1954" s="189"/>
      <c r="D1954" s="249"/>
      <c r="E1954" s="229"/>
      <c r="F1954" s="187"/>
    </row>
    <row r="1955" spans="1:6" x14ac:dyDescent="0.2">
      <c r="A1955" s="275"/>
      <c r="B1955" s="78"/>
      <c r="C1955" s="189"/>
      <c r="D1955" s="249"/>
      <c r="E1955" s="229"/>
      <c r="F1955" s="187"/>
    </row>
    <row r="1956" spans="1:6" x14ac:dyDescent="0.2">
      <c r="A1956" s="275"/>
      <c r="B1956" s="78"/>
      <c r="C1956" s="189"/>
      <c r="D1956" s="249"/>
      <c r="E1956" s="229"/>
      <c r="F1956" s="187"/>
    </row>
    <row r="1957" spans="1:6" x14ac:dyDescent="0.2">
      <c r="A1957" s="275"/>
      <c r="B1957" s="78"/>
      <c r="C1957" s="189"/>
      <c r="D1957" s="249"/>
      <c r="E1957" s="229"/>
      <c r="F1957" s="187"/>
    </row>
    <row r="1958" spans="1:6" x14ac:dyDescent="0.2">
      <c r="A1958" s="275"/>
      <c r="B1958" s="78"/>
      <c r="C1958" s="189"/>
      <c r="D1958" s="249"/>
      <c r="E1958" s="229"/>
      <c r="F1958" s="187"/>
    </row>
    <row r="1959" spans="1:6" x14ac:dyDescent="0.2">
      <c r="A1959" s="275"/>
      <c r="B1959" s="78"/>
      <c r="C1959" s="189"/>
      <c r="D1959" s="249"/>
      <c r="E1959" s="229"/>
      <c r="F1959" s="187"/>
    </row>
    <row r="1960" spans="1:6" x14ac:dyDescent="0.2">
      <c r="A1960" s="275"/>
      <c r="B1960" s="78"/>
      <c r="C1960" s="189"/>
      <c r="D1960" s="249"/>
      <c r="E1960" s="229"/>
      <c r="F1960" s="187"/>
    </row>
    <row r="1961" spans="1:6" x14ac:dyDescent="0.2">
      <c r="A1961" s="275"/>
      <c r="B1961" s="78"/>
      <c r="C1961" s="189"/>
      <c r="D1961" s="249"/>
      <c r="E1961" s="229"/>
      <c r="F1961" s="187"/>
    </row>
    <row r="1962" spans="1:6" x14ac:dyDescent="0.2">
      <c r="A1962" s="275"/>
      <c r="B1962" s="78"/>
      <c r="C1962" s="189"/>
      <c r="D1962" s="249"/>
      <c r="E1962" s="229"/>
      <c r="F1962" s="187"/>
    </row>
    <row r="1963" spans="1:6" x14ac:dyDescent="0.2">
      <c r="A1963" s="275"/>
      <c r="B1963" s="78"/>
      <c r="C1963" s="189"/>
      <c r="D1963" s="249"/>
      <c r="E1963" s="229"/>
      <c r="F1963" s="187"/>
    </row>
    <row r="1964" spans="1:6" x14ac:dyDescent="0.2">
      <c r="A1964" s="275"/>
      <c r="B1964" s="78"/>
      <c r="C1964" s="189"/>
      <c r="D1964" s="249"/>
      <c r="E1964" s="229"/>
      <c r="F1964" s="187"/>
    </row>
  </sheetData>
  <sheetProtection algorithmName="SHA-512" hashValue="1saqMdad0YlxOb+VOB9vipN2tpZLgsQJyBQVzL68L9Ch1QYigi2Qb/U/6UFBLRLprdCxSKCxt7ZhT6JWv0/4MA==" saltValue="sHb2gB+8cBUCxsgeTZJ9ag==" spinCount="100000" sheet="1" objects="1" scenarios="1"/>
  <mergeCells count="19">
    <mergeCell ref="B1:F1"/>
    <mergeCell ref="C121:E121"/>
    <mergeCell ref="C10:E10"/>
    <mergeCell ref="C46:E46"/>
    <mergeCell ref="C135:E135"/>
    <mergeCell ref="I99:N99"/>
    <mergeCell ref="C213:E213"/>
    <mergeCell ref="C217:E217"/>
    <mergeCell ref="C219:E219"/>
    <mergeCell ref="C138:E138"/>
    <mergeCell ref="C154:E154"/>
    <mergeCell ref="C177:E177"/>
    <mergeCell ref="C184:E184"/>
    <mergeCell ref="C193:E193"/>
    <mergeCell ref="A57:A58"/>
    <mergeCell ref="C57:C58"/>
    <mergeCell ref="D57:D58"/>
    <mergeCell ref="E57:E58"/>
    <mergeCell ref="F57:F58"/>
  </mergeCells>
  <dataValidations disablePrompts="1" count="2">
    <dataValidation type="custom" showErrorMessage="1" errorTitle="Nepravilen vnos cene" error="Cena mora biti nenegativno število z največ dvema decimalkama!" sqref="E14 E16:E21 E23:E25 E27 E29 E31 E187:E192 E80:E84 E65:E68 E104 E202:E203 E43:E45 E137 E179 E181:E183 E173 E7:E9 E34:E37 E39:E41 E153 E127:E128 E130 E116:E120 E195 E205:E206 E209:E212 E198:E200 E215:E216 E95:E99 E88 E59:E60 E108:E109 E55:E57 E112 E74:E75 E132:E134">
      <formula1>AND(ISNUMBER(E7),E7&gt;=0,ROUND(E7*100,6)-INT(E7*100)=0,NOT(ISBLANK(E7)))</formula1>
    </dataValidation>
    <dataValidation type="custom" showInputMessage="1" showErrorMessage="1" errorTitle="Nepravilen vnos cene" error="Cena mora biti nenegativno število z največ dvema decimalkama!" sqref="E148:E152 E141:E146 E158:E159 E172 E167:E170 E161:E165 E174:E176">
      <formula1>AND(ISNUMBER(E141),E141&gt;=0,ROUND(E141*100,6)-INT(E141*100)=0,NOT(ISBLANK(E141)))</formula1>
    </dataValidation>
  </dataValidations>
  <hyperlinks>
    <hyperlink ref="I164" r:id="rId1" display="https://www.daliform.com/en/iglu-vespaio-aerato/iglu-technical-data/"/>
    <hyperlink ref="J164" r:id="rId2" location="iglu-dati" display="https://www.daliform.com/en/iglu-vespaio-aerato/iglu-technical-data/#iglu-dati"/>
  </hyperlinks>
  <printOptions horizontalCentered="1"/>
  <pageMargins left="0.78740157480314965" right="0.39370078740157483" top="0.39370078740157483" bottom="0.98425196850393704" header="0.19685039370078741" footer="0.19685039370078741"/>
  <pageSetup paperSize="9" scale="89" fitToHeight="0" orientation="landscape" r:id="rId3"/>
  <headerFooter>
    <oddHeader>&amp;LRTP 110/20 kV Izola&amp;R&amp;G</oddHeader>
    <oddFooter>&amp;LDZR: Ponudbeni predračun
Datoteka: 4407.6G01.PP.rev1.xlsx&amp;R Stran: &amp;P od &amp;N</oddFooter>
  </headerFooter>
  <legacyDrawingHF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K2055"/>
  <sheetViews>
    <sheetView view="pageBreakPreview" topLeftCell="A217" zoomScaleNormal="100" zoomScaleSheetLayoutView="100" workbookViewId="0">
      <selection activeCell="F25" sqref="F25 F132 F229"/>
    </sheetView>
  </sheetViews>
  <sheetFormatPr defaultColWidth="6.7109375" defaultRowHeight="12.75" x14ac:dyDescent="0.2"/>
  <cols>
    <col min="1" max="1" width="7.85546875" style="190" customWidth="1"/>
    <col min="2" max="2" width="99.140625" style="179" customWidth="1"/>
    <col min="3" max="3" width="9" style="191" customWidth="1"/>
    <col min="4" max="4" width="11.42578125" style="260" customWidth="1"/>
    <col min="5" max="5" width="12.7109375" style="193" customWidth="1"/>
    <col min="6" max="6" width="13.5703125" style="194" customWidth="1"/>
    <col min="7" max="16384" width="6.7109375" style="78"/>
  </cols>
  <sheetData>
    <row r="1" spans="1:9" ht="15.95" customHeight="1" thickBot="1" x14ac:dyDescent="0.3">
      <c r="A1" s="7"/>
      <c r="B1" s="329"/>
      <c r="C1" s="329"/>
      <c r="D1" s="329"/>
      <c r="E1" s="329"/>
      <c r="F1" s="329"/>
    </row>
    <row r="2" spans="1:9" ht="32.450000000000003" customHeight="1" x14ac:dyDescent="0.2">
      <c r="A2" s="1" t="s">
        <v>1</v>
      </c>
      <c r="B2" s="2" t="s">
        <v>1741</v>
      </c>
      <c r="C2" s="3" t="s">
        <v>1742</v>
      </c>
      <c r="D2" s="60" t="s">
        <v>1743</v>
      </c>
      <c r="E2" s="5" t="s">
        <v>1744</v>
      </c>
      <c r="F2" s="6" t="s">
        <v>1745</v>
      </c>
    </row>
    <row r="3" spans="1:9" ht="15" x14ac:dyDescent="0.2">
      <c r="A3" s="36" t="s">
        <v>40</v>
      </c>
      <c r="B3" s="30" t="s">
        <v>2718</v>
      </c>
      <c r="C3" s="15"/>
      <c r="D3" s="39"/>
      <c r="E3" s="25"/>
      <c r="F3" s="26"/>
    </row>
    <row r="4" spans="1:9" ht="30" x14ac:dyDescent="0.2">
      <c r="A4" s="27"/>
      <c r="B4" s="30" t="s">
        <v>2719</v>
      </c>
      <c r="C4" s="15"/>
      <c r="D4" s="39"/>
      <c r="E4" s="25"/>
      <c r="F4" s="26"/>
    </row>
    <row r="5" spans="1:9" ht="42.75" x14ac:dyDescent="0.2">
      <c r="A5" s="27"/>
      <c r="B5" s="49" t="s">
        <v>1747</v>
      </c>
      <c r="C5" s="15"/>
      <c r="D5" s="39"/>
      <c r="E5" s="25"/>
      <c r="F5" s="26"/>
    </row>
    <row r="6" spans="1:9" ht="57" x14ac:dyDescent="0.2">
      <c r="A6" s="21"/>
      <c r="B6" s="49" t="str">
        <f>'2.2'!B5</f>
        <v xml:space="preserve">Vsi odpadki, ki bodo nastali pri izvedbi, bodo naloženi na prevozno sredstvo in odpeljani na stalno gradbeno deponijo nenevarnih odpadkov uradnega zbiralca odpadkov. Upoštevati vsa potrebna dela in stroške v zvezi z deponiranjem. Vsi odpadki, ki bodo ponovno uporabljeni pri izvedbi, bodo naloženi na prevozno sredstvo in pripeljani na gradbišče. </v>
      </c>
      <c r="C6" s="23"/>
      <c r="D6" s="251"/>
      <c r="E6" s="25"/>
      <c r="F6" s="26"/>
    </row>
    <row r="7" spans="1:9" ht="15" x14ac:dyDescent="0.2">
      <c r="A7" s="27" t="s">
        <v>2720</v>
      </c>
      <c r="B7" s="30" t="s">
        <v>1751</v>
      </c>
      <c r="C7" s="15"/>
      <c r="D7" s="39"/>
      <c r="E7" s="25"/>
      <c r="F7" s="26"/>
    </row>
    <row r="8" spans="1:9" ht="15" x14ac:dyDescent="0.2">
      <c r="A8" s="27"/>
      <c r="B8" s="17"/>
      <c r="C8" s="15"/>
      <c r="D8" s="39"/>
      <c r="E8" s="25"/>
      <c r="F8" s="26"/>
    </row>
    <row r="9" spans="1:9" ht="42.75" x14ac:dyDescent="0.2">
      <c r="A9" s="27"/>
      <c r="B9" s="17" t="s">
        <v>2721</v>
      </c>
      <c r="C9" s="15"/>
      <c r="D9" s="39"/>
      <c r="E9" s="25"/>
      <c r="F9" s="26"/>
    </row>
    <row r="10" spans="1:9" ht="28.5" x14ac:dyDescent="0.2">
      <c r="A10" s="29"/>
      <c r="B10" s="17" t="s">
        <v>2722</v>
      </c>
      <c r="C10" s="15"/>
      <c r="D10" s="39"/>
      <c r="E10" s="25"/>
      <c r="F10" s="26"/>
    </row>
    <row r="11" spans="1:9" ht="28.5" x14ac:dyDescent="0.2">
      <c r="A11" s="29" t="s">
        <v>2723</v>
      </c>
      <c r="B11" s="17" t="s">
        <v>2246</v>
      </c>
      <c r="C11" s="15"/>
      <c r="D11" s="39"/>
      <c r="E11" s="25"/>
      <c r="F11" s="26"/>
      <c r="H11" s="252"/>
    </row>
    <row r="12" spans="1:9" ht="14.25" x14ac:dyDescent="0.2">
      <c r="A12" s="29" t="s">
        <v>1761</v>
      </c>
      <c r="B12" s="17" t="s">
        <v>2175</v>
      </c>
      <c r="C12" s="15" t="s">
        <v>1756</v>
      </c>
      <c r="D12" s="39">
        <f>(2*(4*4.5*4+1*5*4.5)+(2.5*1.8*15+3.3*1.8*11+3.3*1.8*9+2.4*1.4*3+3*1.7*16+3.5*2*4+3*1.6*10+1*2*10+5.3*2*10+1.2*7.1*8+2.6*1.8*12))*1.2</f>
        <v>951.95999999999992</v>
      </c>
      <c r="E12" s="31">
        <v>0</v>
      </c>
      <c r="F12" s="28">
        <f t="shared" ref="F12:F24" si="0">ROUND(D12*E12,2)</f>
        <v>0</v>
      </c>
    </row>
    <row r="13" spans="1:9" ht="18.75" x14ac:dyDescent="0.2">
      <c r="A13" s="29" t="s">
        <v>1774</v>
      </c>
      <c r="B13" s="17" t="s">
        <v>2724</v>
      </c>
      <c r="C13" s="15" t="s">
        <v>1756</v>
      </c>
      <c r="D13" s="39">
        <f>(1.7*(4*4.5*4+1*5*4.5)+5.3*1.5*10)*1.2</f>
        <v>288.18</v>
      </c>
      <c r="E13" s="31">
        <v>0</v>
      </c>
      <c r="F13" s="28">
        <f t="shared" si="0"/>
        <v>0</v>
      </c>
      <c r="I13" s="252"/>
    </row>
    <row r="14" spans="1:9" ht="42.75" x14ac:dyDescent="0.2">
      <c r="A14" s="29" t="s">
        <v>2725</v>
      </c>
      <c r="B14" s="17" t="s">
        <v>2726</v>
      </c>
      <c r="C14" s="15"/>
      <c r="D14" s="39"/>
      <c r="E14" s="25"/>
      <c r="F14" s="26"/>
      <c r="H14" s="252"/>
    </row>
    <row r="15" spans="1:9" ht="18.75" x14ac:dyDescent="0.2">
      <c r="A15" s="29" t="s">
        <v>1761</v>
      </c>
      <c r="B15" s="17" t="s">
        <v>2175</v>
      </c>
      <c r="C15" s="15" t="s">
        <v>1756</v>
      </c>
      <c r="D15" s="39">
        <f>D12*0.1</f>
        <v>95.195999999999998</v>
      </c>
      <c r="E15" s="31">
        <v>0</v>
      </c>
      <c r="F15" s="28">
        <f>ROUND(D15*E15,2)</f>
        <v>0</v>
      </c>
      <c r="H15" s="252"/>
    </row>
    <row r="16" spans="1:9" ht="42.75" x14ac:dyDescent="0.2">
      <c r="A16" s="29" t="s">
        <v>2727</v>
      </c>
      <c r="B16" s="17" t="s">
        <v>2119</v>
      </c>
      <c r="C16" s="15" t="s">
        <v>1780</v>
      </c>
      <c r="D16" s="39">
        <f>((4*4.5*4+1*5*4.5)+2.5*(15+11+9+3+16+4+10+10+10+8+12))*1.2</f>
        <v>437.4</v>
      </c>
      <c r="E16" s="31">
        <v>0</v>
      </c>
      <c r="F16" s="28">
        <f t="shared" si="0"/>
        <v>0</v>
      </c>
    </row>
    <row r="17" spans="1:11" ht="57" x14ac:dyDescent="0.2">
      <c r="A17" s="29" t="s">
        <v>2728</v>
      </c>
      <c r="B17" s="17" t="s">
        <v>1987</v>
      </c>
      <c r="C17" s="15" t="s">
        <v>1780</v>
      </c>
      <c r="D17" s="39">
        <f>(2.5*((4*4.5*4+1*5*4.5)+2.5*(15+11+9+3+16+4+10+10+10+8+12)))*1.2</f>
        <v>1093.5</v>
      </c>
      <c r="E17" s="31">
        <v>0</v>
      </c>
      <c r="F17" s="28">
        <f>ROUND(D17*E17,2)</f>
        <v>0</v>
      </c>
    </row>
    <row r="18" spans="1:11" ht="128.25" x14ac:dyDescent="0.2">
      <c r="A18" s="29" t="s">
        <v>2729</v>
      </c>
      <c r="B18" s="37" t="s">
        <v>2730</v>
      </c>
      <c r="C18" s="15"/>
      <c r="D18" s="39"/>
      <c r="E18" s="25"/>
      <c r="F18" s="26"/>
    </row>
    <row r="19" spans="1:11" ht="42.75" x14ac:dyDescent="0.2">
      <c r="A19" s="29" t="s">
        <v>2494</v>
      </c>
      <c r="B19" s="37" t="s">
        <v>2731</v>
      </c>
      <c r="C19" s="15" t="s">
        <v>1756</v>
      </c>
      <c r="D19" s="39">
        <v>20</v>
      </c>
      <c r="E19" s="31">
        <v>0</v>
      </c>
      <c r="F19" s="28">
        <f>ROUND(D19*E19,2)</f>
        <v>0</v>
      </c>
    </row>
    <row r="20" spans="1:11" ht="42.75" x14ac:dyDescent="0.2">
      <c r="A20" s="29" t="s">
        <v>2496</v>
      </c>
      <c r="B20" s="37" t="s">
        <v>2732</v>
      </c>
      <c r="C20" s="15" t="s">
        <v>1756</v>
      </c>
      <c r="D20" s="39">
        <f>((4*4.5*4+1*5*4.5)+(108*2.5))*0.3*1.2</f>
        <v>131.22</v>
      </c>
      <c r="E20" s="31">
        <v>0</v>
      </c>
      <c r="F20" s="28">
        <f>ROUND(D20*E20,2)</f>
        <v>0</v>
      </c>
    </row>
    <row r="21" spans="1:11" ht="28.5" x14ac:dyDescent="0.2">
      <c r="A21" s="29" t="s">
        <v>1774</v>
      </c>
      <c r="B21" s="37" t="s">
        <v>1991</v>
      </c>
      <c r="C21" s="15" t="s">
        <v>1756</v>
      </c>
      <c r="D21" s="39">
        <f>((4*4.5*4+1*5*4.5)+(108*2.5))*0.1*1.2</f>
        <v>43.74</v>
      </c>
      <c r="E21" s="31">
        <v>0</v>
      </c>
      <c r="F21" s="28">
        <f>ROUND(D21*E21,2)</f>
        <v>0</v>
      </c>
    </row>
    <row r="22" spans="1:11" ht="85.5" x14ac:dyDescent="0.25">
      <c r="A22" s="29" t="s">
        <v>2733</v>
      </c>
      <c r="B22" s="49" t="s">
        <v>2254</v>
      </c>
      <c r="C22" s="15" t="s">
        <v>1756</v>
      </c>
      <c r="D22" s="39">
        <f>(D12+D13+D15)*0.8</f>
        <v>1068.2687999999998</v>
      </c>
      <c r="E22" s="31">
        <v>0</v>
      </c>
      <c r="F22" s="28">
        <f t="shared" si="0"/>
        <v>0</v>
      </c>
      <c r="I22" s="253"/>
      <c r="J22" s="253"/>
      <c r="K22" s="253"/>
    </row>
    <row r="23" spans="1:11" ht="28.5" x14ac:dyDescent="0.2">
      <c r="A23" s="29" t="s">
        <v>2734</v>
      </c>
      <c r="B23" s="17" t="s">
        <v>2735</v>
      </c>
      <c r="C23" s="15" t="s">
        <v>1756</v>
      </c>
      <c r="D23" s="39">
        <f>D12+D13+D15-D22</f>
        <v>267.06719999999996</v>
      </c>
      <c r="E23" s="31">
        <v>0</v>
      </c>
      <c r="F23" s="28">
        <f t="shared" si="0"/>
        <v>0</v>
      </c>
    </row>
    <row r="24" spans="1:11" ht="29.25" thickBot="1" x14ac:dyDescent="0.25">
      <c r="A24" s="29" t="s">
        <v>2736</v>
      </c>
      <c r="B24" s="17" t="s">
        <v>2737</v>
      </c>
      <c r="C24" s="15" t="s">
        <v>1756</v>
      </c>
      <c r="D24" s="39">
        <f>(D12+D13+D15)*0.2</f>
        <v>267.06719999999996</v>
      </c>
      <c r="E24" s="31">
        <v>0</v>
      </c>
      <c r="F24" s="28">
        <f t="shared" si="0"/>
        <v>0</v>
      </c>
    </row>
    <row r="25" spans="1:11" ht="18.75" customHeight="1" thickBot="1" x14ac:dyDescent="0.3">
      <c r="A25" s="34"/>
      <c r="B25" s="33"/>
      <c r="C25" s="366" t="s">
        <v>1766</v>
      </c>
      <c r="D25" s="367"/>
      <c r="E25" s="368"/>
      <c r="F25" s="18">
        <f>SUM(F12:F24)</f>
        <v>0</v>
      </c>
      <c r="G25" s="8"/>
    </row>
    <row r="26" spans="1:11" ht="15" x14ac:dyDescent="0.2">
      <c r="A26" s="27" t="s">
        <v>2738</v>
      </c>
      <c r="B26" s="30" t="s">
        <v>2739</v>
      </c>
      <c r="C26" s="15"/>
      <c r="D26" s="39"/>
      <c r="E26" s="25"/>
      <c r="F26" s="26"/>
    </row>
    <row r="27" spans="1:11" ht="15" x14ac:dyDescent="0.2">
      <c r="A27" s="29"/>
      <c r="B27" s="17"/>
      <c r="C27" s="15"/>
      <c r="D27" s="39"/>
      <c r="E27" s="25"/>
      <c r="F27" s="26"/>
    </row>
    <row r="28" spans="1:11" ht="43.5" x14ac:dyDescent="0.2">
      <c r="A28" s="29" t="s">
        <v>2740</v>
      </c>
      <c r="B28" s="17" t="s">
        <v>2741</v>
      </c>
      <c r="C28" s="15"/>
      <c r="D28" s="39"/>
      <c r="E28" s="25"/>
      <c r="F28" s="26"/>
    </row>
    <row r="29" spans="1:11" ht="14.25" x14ac:dyDescent="0.2">
      <c r="A29" s="29" t="s">
        <v>1761</v>
      </c>
      <c r="B29" s="17" t="s">
        <v>2742</v>
      </c>
      <c r="C29" s="15" t="s">
        <v>1756</v>
      </c>
      <c r="D29" s="39">
        <f>2.3*2*0.1*1.2</f>
        <v>0.55199999999999994</v>
      </c>
      <c r="E29" s="31">
        <v>0</v>
      </c>
      <c r="F29" s="28">
        <f t="shared" ref="F29:F42" si="1">ROUND(D29*E29,2)</f>
        <v>0</v>
      </c>
    </row>
    <row r="30" spans="1:11" ht="28.5" x14ac:dyDescent="0.2">
      <c r="A30" s="29" t="s">
        <v>1774</v>
      </c>
      <c r="B30" s="17" t="s">
        <v>2743</v>
      </c>
      <c r="C30" s="15" t="s">
        <v>1756</v>
      </c>
      <c r="D30" s="39">
        <f>(2*2.3*2*0.2+0.2*(2.3*2+2*2)*2.4)*1.2</f>
        <v>7.1616</v>
      </c>
      <c r="E30" s="31">
        <v>0</v>
      </c>
      <c r="F30" s="28">
        <f t="shared" si="1"/>
        <v>0</v>
      </c>
    </row>
    <row r="31" spans="1:11" ht="14.25" x14ac:dyDescent="0.2">
      <c r="A31" s="29" t="s">
        <v>1873</v>
      </c>
      <c r="B31" s="17" t="s">
        <v>2744</v>
      </c>
      <c r="C31" s="15" t="s">
        <v>1773</v>
      </c>
      <c r="D31" s="39">
        <v>1015</v>
      </c>
      <c r="E31" s="31">
        <v>0</v>
      </c>
      <c r="F31" s="28">
        <f t="shared" si="1"/>
        <v>0</v>
      </c>
    </row>
    <row r="32" spans="1:11" ht="14.25" x14ac:dyDescent="0.2">
      <c r="A32" s="29" t="s">
        <v>1875</v>
      </c>
      <c r="B32" s="17" t="s">
        <v>2130</v>
      </c>
      <c r="C32" s="15" t="s">
        <v>1773</v>
      </c>
      <c r="D32" s="39">
        <f>(D31)*0.3</f>
        <v>304.5</v>
      </c>
      <c r="E32" s="31">
        <v>0</v>
      </c>
      <c r="F32" s="28">
        <f t="shared" si="1"/>
        <v>0</v>
      </c>
    </row>
    <row r="33" spans="1:8" ht="14.25" x14ac:dyDescent="0.2">
      <c r="A33" s="29" t="s">
        <v>2131</v>
      </c>
      <c r="B33" s="17" t="s">
        <v>2745</v>
      </c>
      <c r="C33" s="15" t="s">
        <v>1773</v>
      </c>
      <c r="D33" s="39">
        <v>10</v>
      </c>
      <c r="E33" s="31">
        <v>0</v>
      </c>
      <c r="F33" s="28">
        <f t="shared" si="1"/>
        <v>0</v>
      </c>
    </row>
    <row r="34" spans="1:8" ht="14.25" x14ac:dyDescent="0.2">
      <c r="A34" s="29" t="s">
        <v>2133</v>
      </c>
      <c r="B34" s="17" t="s">
        <v>2746</v>
      </c>
      <c r="C34" s="15" t="s">
        <v>1756</v>
      </c>
      <c r="D34" s="39">
        <f>D29</f>
        <v>0.55199999999999994</v>
      </c>
      <c r="E34" s="31">
        <v>0</v>
      </c>
      <c r="F34" s="28">
        <f t="shared" si="1"/>
        <v>0</v>
      </c>
    </row>
    <row r="35" spans="1:8" ht="57" x14ac:dyDescent="0.2">
      <c r="A35" s="29" t="s">
        <v>2135</v>
      </c>
      <c r="B35" s="17" t="s">
        <v>2747</v>
      </c>
      <c r="C35" s="15" t="s">
        <v>1780</v>
      </c>
      <c r="D35" s="39">
        <f>2*((2.3*2+2*2)*2.4)*1.2</f>
        <v>49.535999999999994</v>
      </c>
      <c r="E35" s="31">
        <v>0</v>
      </c>
      <c r="F35" s="28">
        <f t="shared" si="1"/>
        <v>0</v>
      </c>
    </row>
    <row r="36" spans="1:8" ht="28.5" x14ac:dyDescent="0.2">
      <c r="A36" s="29" t="s">
        <v>2137</v>
      </c>
      <c r="B36" s="17" t="s">
        <v>2748</v>
      </c>
      <c r="C36" s="15" t="s">
        <v>1780</v>
      </c>
      <c r="D36" s="39">
        <v>1</v>
      </c>
      <c r="E36" s="31">
        <v>0</v>
      </c>
      <c r="F36" s="28">
        <f>ROUND(D36*E36,2)</f>
        <v>0</v>
      </c>
    </row>
    <row r="37" spans="1:8" ht="42.75" x14ac:dyDescent="0.2">
      <c r="A37" s="29" t="s">
        <v>2139</v>
      </c>
      <c r="B37" s="17" t="s">
        <v>2749</v>
      </c>
      <c r="C37" s="15" t="s">
        <v>1780</v>
      </c>
      <c r="D37" s="39">
        <f>2.3*2*1.1*1.2</f>
        <v>6.0719999999999992</v>
      </c>
      <c r="E37" s="31">
        <v>0</v>
      </c>
      <c r="F37" s="28">
        <f t="shared" si="1"/>
        <v>0</v>
      </c>
    </row>
    <row r="38" spans="1:8" ht="28.5" x14ac:dyDescent="0.2">
      <c r="A38" s="29" t="s">
        <v>2750</v>
      </c>
      <c r="B38" s="17" t="s">
        <v>2751</v>
      </c>
      <c r="C38" s="15" t="s">
        <v>1826</v>
      </c>
      <c r="D38" s="39">
        <v>2</v>
      </c>
      <c r="E38" s="31">
        <v>0</v>
      </c>
      <c r="F38" s="28">
        <f t="shared" si="1"/>
        <v>0</v>
      </c>
    </row>
    <row r="39" spans="1:8" ht="28.5" x14ac:dyDescent="0.2">
      <c r="A39" s="29" t="s">
        <v>2752</v>
      </c>
      <c r="B39" s="17" t="s">
        <v>2753</v>
      </c>
      <c r="C39" s="15" t="s">
        <v>1826</v>
      </c>
      <c r="D39" s="39">
        <v>7</v>
      </c>
      <c r="E39" s="31">
        <v>0</v>
      </c>
      <c r="F39" s="28">
        <f t="shared" si="1"/>
        <v>0</v>
      </c>
    </row>
    <row r="40" spans="1:8" ht="28.5" x14ac:dyDescent="0.2">
      <c r="A40" s="29" t="s">
        <v>2754</v>
      </c>
      <c r="B40" s="17" t="s">
        <v>2755</v>
      </c>
      <c r="C40" s="15" t="s">
        <v>1826</v>
      </c>
      <c r="D40" s="39">
        <v>1</v>
      </c>
      <c r="E40" s="31">
        <v>0</v>
      </c>
      <c r="F40" s="28">
        <f t="shared" si="1"/>
        <v>0</v>
      </c>
    </row>
    <row r="41" spans="1:8" ht="57" x14ac:dyDescent="0.3">
      <c r="A41" s="29" t="s">
        <v>2756</v>
      </c>
      <c r="B41" s="17" t="s">
        <v>2757</v>
      </c>
      <c r="C41" s="15" t="s">
        <v>1826</v>
      </c>
      <c r="D41" s="39">
        <v>1</v>
      </c>
      <c r="E41" s="31">
        <v>0</v>
      </c>
      <c r="F41" s="28">
        <f t="shared" si="1"/>
        <v>0</v>
      </c>
      <c r="H41" s="254"/>
    </row>
    <row r="42" spans="1:8" ht="99.75" x14ac:dyDescent="0.2">
      <c r="A42" s="29" t="s">
        <v>2758</v>
      </c>
      <c r="B42" s="17" t="s">
        <v>2759</v>
      </c>
      <c r="C42" s="15" t="s">
        <v>1826</v>
      </c>
      <c r="D42" s="39">
        <v>1</v>
      </c>
      <c r="E42" s="31">
        <v>0</v>
      </c>
      <c r="F42" s="28">
        <f t="shared" si="1"/>
        <v>0</v>
      </c>
    </row>
    <row r="43" spans="1:8" ht="15" x14ac:dyDescent="0.2">
      <c r="A43" s="29"/>
      <c r="B43" s="17"/>
      <c r="C43" s="15"/>
      <c r="D43" s="39"/>
      <c r="E43" s="25"/>
      <c r="F43" s="26"/>
    </row>
    <row r="44" spans="1:8" ht="43.5" x14ac:dyDescent="0.2">
      <c r="A44" s="29" t="s">
        <v>2760</v>
      </c>
      <c r="B44" s="17" t="s">
        <v>2761</v>
      </c>
      <c r="C44" s="15"/>
      <c r="D44" s="39"/>
      <c r="E44" s="25"/>
      <c r="F44" s="26"/>
    </row>
    <row r="45" spans="1:8" ht="14.25" x14ac:dyDescent="0.2">
      <c r="A45" s="29" t="s">
        <v>1761</v>
      </c>
      <c r="B45" s="17" t="s">
        <v>2762</v>
      </c>
      <c r="C45" s="15" t="s">
        <v>1756</v>
      </c>
      <c r="D45" s="39">
        <f>2*2*0.1*1.2</f>
        <v>0.48</v>
      </c>
      <c r="E45" s="31">
        <v>0</v>
      </c>
      <c r="F45" s="28">
        <f t="shared" ref="F45:F58" si="2">ROUND(D45*E45,2)</f>
        <v>0</v>
      </c>
    </row>
    <row r="46" spans="1:8" ht="28.5" x14ac:dyDescent="0.2">
      <c r="A46" s="29" t="s">
        <v>1774</v>
      </c>
      <c r="B46" s="49" t="s">
        <v>2763</v>
      </c>
      <c r="C46" s="15" t="s">
        <v>1756</v>
      </c>
      <c r="D46" s="39">
        <f>(2*2*2*0.2+0.2*(2*2+2*2)*2.4)*1.2</f>
        <v>6.5279999999999996</v>
      </c>
      <c r="E46" s="31">
        <v>0</v>
      </c>
      <c r="F46" s="28">
        <f t="shared" si="2"/>
        <v>0</v>
      </c>
    </row>
    <row r="47" spans="1:8" ht="14.25" x14ac:dyDescent="0.2">
      <c r="A47" s="29" t="s">
        <v>1873</v>
      </c>
      <c r="B47" s="17" t="s">
        <v>2744</v>
      </c>
      <c r="C47" s="15" t="s">
        <v>1773</v>
      </c>
      <c r="D47" s="39">
        <v>890</v>
      </c>
      <c r="E47" s="31">
        <v>0</v>
      </c>
      <c r="F47" s="28">
        <f t="shared" si="2"/>
        <v>0</v>
      </c>
    </row>
    <row r="48" spans="1:8" ht="14.25" x14ac:dyDescent="0.2">
      <c r="A48" s="29" t="s">
        <v>1875</v>
      </c>
      <c r="B48" s="17" t="s">
        <v>2130</v>
      </c>
      <c r="C48" s="15" t="s">
        <v>1773</v>
      </c>
      <c r="D48" s="39">
        <f>(D47)*0.3</f>
        <v>267</v>
      </c>
      <c r="E48" s="31">
        <v>0</v>
      </c>
      <c r="F48" s="28">
        <f t="shared" si="2"/>
        <v>0</v>
      </c>
    </row>
    <row r="49" spans="1:6" ht="14.25" x14ac:dyDescent="0.2">
      <c r="A49" s="29" t="s">
        <v>2131</v>
      </c>
      <c r="B49" s="17" t="s">
        <v>2764</v>
      </c>
      <c r="C49" s="15" t="s">
        <v>1773</v>
      </c>
      <c r="D49" s="39">
        <v>10</v>
      </c>
      <c r="E49" s="31">
        <v>0</v>
      </c>
      <c r="F49" s="28">
        <f t="shared" si="2"/>
        <v>0</v>
      </c>
    </row>
    <row r="50" spans="1:6" ht="14.25" x14ac:dyDescent="0.2">
      <c r="A50" s="29" t="s">
        <v>2133</v>
      </c>
      <c r="B50" s="17" t="s">
        <v>2746</v>
      </c>
      <c r="C50" s="15" t="s">
        <v>1756</v>
      </c>
      <c r="D50" s="39">
        <f>D45</f>
        <v>0.48</v>
      </c>
      <c r="E50" s="31">
        <v>0</v>
      </c>
      <c r="F50" s="28">
        <f t="shared" si="2"/>
        <v>0</v>
      </c>
    </row>
    <row r="51" spans="1:6" ht="57" x14ac:dyDescent="0.2">
      <c r="A51" s="29" t="s">
        <v>2135</v>
      </c>
      <c r="B51" s="17" t="s">
        <v>2747</v>
      </c>
      <c r="C51" s="15" t="s">
        <v>1780</v>
      </c>
      <c r="D51" s="39">
        <f>2*((2*2+2*2)*2.4)*1.2</f>
        <v>46.08</v>
      </c>
      <c r="E51" s="31">
        <v>0</v>
      </c>
      <c r="F51" s="28">
        <f t="shared" si="2"/>
        <v>0</v>
      </c>
    </row>
    <row r="52" spans="1:6" ht="28.5" x14ac:dyDescent="0.2">
      <c r="A52" s="29" t="s">
        <v>2137</v>
      </c>
      <c r="B52" s="17" t="s">
        <v>2748</v>
      </c>
      <c r="C52" s="15" t="s">
        <v>1780</v>
      </c>
      <c r="D52" s="39">
        <v>1</v>
      </c>
      <c r="E52" s="31">
        <v>0</v>
      </c>
      <c r="F52" s="28">
        <f t="shared" si="2"/>
        <v>0</v>
      </c>
    </row>
    <row r="53" spans="1:6" ht="42.75" x14ac:dyDescent="0.2">
      <c r="A53" s="29" t="s">
        <v>2139</v>
      </c>
      <c r="B53" s="17" t="s">
        <v>2749</v>
      </c>
      <c r="C53" s="15" t="s">
        <v>1780</v>
      </c>
      <c r="D53" s="39">
        <f>2*2*1.1*1.2</f>
        <v>5.28</v>
      </c>
      <c r="E53" s="31">
        <v>0</v>
      </c>
      <c r="F53" s="28">
        <f t="shared" si="2"/>
        <v>0</v>
      </c>
    </row>
    <row r="54" spans="1:6" ht="28.5" x14ac:dyDescent="0.2">
      <c r="A54" s="29" t="s">
        <v>2750</v>
      </c>
      <c r="B54" s="17" t="s">
        <v>2765</v>
      </c>
      <c r="C54" s="15" t="s">
        <v>1826</v>
      </c>
      <c r="D54" s="39">
        <v>2</v>
      </c>
      <c r="E54" s="31">
        <v>0</v>
      </c>
      <c r="F54" s="28">
        <f t="shared" si="2"/>
        <v>0</v>
      </c>
    </row>
    <row r="55" spans="1:6" ht="28.5" x14ac:dyDescent="0.2">
      <c r="A55" s="29" t="s">
        <v>2752</v>
      </c>
      <c r="B55" s="49" t="s">
        <v>2766</v>
      </c>
      <c r="C55" s="15" t="s">
        <v>1826</v>
      </c>
      <c r="D55" s="39">
        <v>18</v>
      </c>
      <c r="E55" s="31">
        <v>0</v>
      </c>
      <c r="F55" s="28">
        <f t="shared" si="2"/>
        <v>0</v>
      </c>
    </row>
    <row r="56" spans="1:6" ht="28.5" x14ac:dyDescent="0.2">
      <c r="A56" s="29" t="s">
        <v>2754</v>
      </c>
      <c r="B56" s="17" t="s">
        <v>2755</v>
      </c>
      <c r="C56" s="15" t="s">
        <v>1826</v>
      </c>
      <c r="D56" s="39">
        <v>1</v>
      </c>
      <c r="E56" s="31">
        <v>0</v>
      </c>
      <c r="F56" s="28">
        <f t="shared" si="2"/>
        <v>0</v>
      </c>
    </row>
    <row r="57" spans="1:6" ht="57" x14ac:dyDescent="0.2">
      <c r="A57" s="29" t="s">
        <v>2756</v>
      </c>
      <c r="B57" s="17" t="s">
        <v>2757</v>
      </c>
      <c r="C57" s="15" t="s">
        <v>1826</v>
      </c>
      <c r="D57" s="39">
        <v>1</v>
      </c>
      <c r="E57" s="31">
        <v>0</v>
      </c>
      <c r="F57" s="28">
        <f t="shared" si="2"/>
        <v>0</v>
      </c>
    </row>
    <row r="58" spans="1:6" ht="99.75" x14ac:dyDescent="0.2">
      <c r="A58" s="29" t="s">
        <v>2758</v>
      </c>
      <c r="B58" s="17" t="s">
        <v>2759</v>
      </c>
      <c r="C58" s="15" t="s">
        <v>1826</v>
      </c>
      <c r="D58" s="39">
        <v>1</v>
      </c>
      <c r="E58" s="31">
        <v>0</v>
      </c>
      <c r="F58" s="28">
        <f t="shared" si="2"/>
        <v>0</v>
      </c>
    </row>
    <row r="59" spans="1:6" ht="15" x14ac:dyDescent="0.2">
      <c r="A59" s="29"/>
      <c r="B59" s="17"/>
      <c r="C59" s="15"/>
      <c r="D59" s="39"/>
      <c r="E59" s="25"/>
      <c r="F59" s="26"/>
    </row>
    <row r="60" spans="1:6" ht="43.5" x14ac:dyDescent="0.2">
      <c r="A60" s="29" t="s">
        <v>2767</v>
      </c>
      <c r="B60" s="17" t="s">
        <v>2768</v>
      </c>
      <c r="C60" s="15"/>
      <c r="D60" s="39"/>
      <c r="E60" s="25"/>
      <c r="F60" s="26"/>
    </row>
    <row r="61" spans="1:6" ht="14.25" x14ac:dyDescent="0.2">
      <c r="A61" s="29" t="s">
        <v>1761</v>
      </c>
      <c r="B61" s="17" t="s">
        <v>2769</v>
      </c>
      <c r="C61" s="15" t="s">
        <v>1756</v>
      </c>
      <c r="D61" s="39">
        <f>2.5*2.5*0.1*1.2</f>
        <v>0.75</v>
      </c>
      <c r="E61" s="31">
        <v>0</v>
      </c>
      <c r="F61" s="28">
        <f t="shared" ref="F61:F73" si="3">ROUND(D61*E61,2)</f>
        <v>0</v>
      </c>
    </row>
    <row r="62" spans="1:6" ht="28.5" x14ac:dyDescent="0.2">
      <c r="A62" s="29" t="s">
        <v>1774</v>
      </c>
      <c r="B62" s="17" t="s">
        <v>2770</v>
      </c>
      <c r="C62" s="15" t="s">
        <v>1756</v>
      </c>
      <c r="D62" s="39">
        <f>(2*2.5*2.5*0.2+0.2*(2.5*2.5+2*2)*2.4)*1.2</f>
        <v>8.9039999999999999</v>
      </c>
      <c r="E62" s="31">
        <v>0</v>
      </c>
      <c r="F62" s="28">
        <f t="shared" si="3"/>
        <v>0</v>
      </c>
    </row>
    <row r="63" spans="1:6" ht="14.25" x14ac:dyDescent="0.2">
      <c r="A63" s="29" t="s">
        <v>1873</v>
      </c>
      <c r="B63" s="17" t="s">
        <v>2744</v>
      </c>
      <c r="C63" s="15" t="s">
        <v>1773</v>
      </c>
      <c r="D63" s="39">
        <v>1065</v>
      </c>
      <c r="E63" s="31">
        <v>0</v>
      </c>
      <c r="F63" s="28">
        <f t="shared" si="3"/>
        <v>0</v>
      </c>
    </row>
    <row r="64" spans="1:6" ht="14.25" x14ac:dyDescent="0.2">
      <c r="A64" s="29" t="s">
        <v>1875</v>
      </c>
      <c r="B64" s="17" t="s">
        <v>2130</v>
      </c>
      <c r="C64" s="15" t="s">
        <v>1773</v>
      </c>
      <c r="D64" s="39">
        <f>SUM(D63)*0.3</f>
        <v>319.5</v>
      </c>
      <c r="E64" s="31">
        <v>0</v>
      </c>
      <c r="F64" s="28">
        <f t="shared" si="3"/>
        <v>0</v>
      </c>
    </row>
    <row r="65" spans="1:6" ht="14.25" x14ac:dyDescent="0.2">
      <c r="A65" s="29" t="s">
        <v>2131</v>
      </c>
      <c r="B65" s="17" t="s">
        <v>2764</v>
      </c>
      <c r="C65" s="15" t="s">
        <v>1773</v>
      </c>
      <c r="D65" s="39">
        <v>10</v>
      </c>
      <c r="E65" s="31">
        <v>0</v>
      </c>
      <c r="F65" s="28">
        <f t="shared" si="3"/>
        <v>0</v>
      </c>
    </row>
    <row r="66" spans="1:6" ht="14.25" x14ac:dyDescent="0.2">
      <c r="A66" s="29" t="s">
        <v>2133</v>
      </c>
      <c r="B66" s="17" t="s">
        <v>2746</v>
      </c>
      <c r="C66" s="15" t="s">
        <v>1756</v>
      </c>
      <c r="D66" s="39">
        <f>D61</f>
        <v>0.75</v>
      </c>
      <c r="E66" s="31">
        <v>0</v>
      </c>
      <c r="F66" s="28">
        <f t="shared" si="3"/>
        <v>0</v>
      </c>
    </row>
    <row r="67" spans="1:6" ht="42.75" x14ac:dyDescent="0.2">
      <c r="A67" s="29" t="s">
        <v>2135</v>
      </c>
      <c r="B67" s="17" t="s">
        <v>2771</v>
      </c>
      <c r="C67" s="15" t="s">
        <v>1780</v>
      </c>
      <c r="D67" s="39">
        <f>2*((2.5*2+2.5*2)*2.4)*1.2</f>
        <v>57.599999999999994</v>
      </c>
      <c r="E67" s="31">
        <v>0</v>
      </c>
      <c r="F67" s="28">
        <f t="shared" si="3"/>
        <v>0</v>
      </c>
    </row>
    <row r="68" spans="1:6" ht="42.75" x14ac:dyDescent="0.2">
      <c r="A68" s="29" t="s">
        <v>2137</v>
      </c>
      <c r="B68" s="17" t="s">
        <v>2749</v>
      </c>
      <c r="C68" s="15" t="s">
        <v>1780</v>
      </c>
      <c r="D68" s="39">
        <f>2.5*2.5*1.1*1.2</f>
        <v>8.25</v>
      </c>
      <c r="E68" s="31">
        <v>0</v>
      </c>
      <c r="F68" s="28">
        <f t="shared" si="3"/>
        <v>0</v>
      </c>
    </row>
    <row r="69" spans="1:6" ht="28.5" x14ac:dyDescent="0.2">
      <c r="A69" s="29" t="s">
        <v>2139</v>
      </c>
      <c r="B69" s="17" t="s">
        <v>2765</v>
      </c>
      <c r="C69" s="15" t="s">
        <v>1826</v>
      </c>
      <c r="D69" s="39">
        <v>3</v>
      </c>
      <c r="E69" s="31">
        <v>0</v>
      </c>
      <c r="F69" s="28">
        <f t="shared" si="3"/>
        <v>0</v>
      </c>
    </row>
    <row r="70" spans="1:6" ht="28.5" x14ac:dyDescent="0.2">
      <c r="A70" s="29" t="s">
        <v>2750</v>
      </c>
      <c r="B70" s="49" t="s">
        <v>2766</v>
      </c>
      <c r="C70" s="15" t="s">
        <v>1826</v>
      </c>
      <c r="D70" s="39">
        <v>23</v>
      </c>
      <c r="E70" s="31">
        <v>0</v>
      </c>
      <c r="F70" s="28">
        <f t="shared" si="3"/>
        <v>0</v>
      </c>
    </row>
    <row r="71" spans="1:6" ht="28.5" x14ac:dyDescent="0.2">
      <c r="A71" s="29" t="s">
        <v>2752</v>
      </c>
      <c r="B71" s="17" t="s">
        <v>2755</v>
      </c>
      <c r="C71" s="15" t="s">
        <v>1826</v>
      </c>
      <c r="D71" s="39">
        <v>1</v>
      </c>
      <c r="E71" s="31">
        <v>0</v>
      </c>
      <c r="F71" s="28">
        <f t="shared" si="3"/>
        <v>0</v>
      </c>
    </row>
    <row r="72" spans="1:6" ht="57" x14ac:dyDescent="0.2">
      <c r="A72" s="29" t="s">
        <v>2754</v>
      </c>
      <c r="B72" s="17" t="s">
        <v>2772</v>
      </c>
      <c r="C72" s="15" t="s">
        <v>1826</v>
      </c>
      <c r="D72" s="39">
        <v>1</v>
      </c>
      <c r="E72" s="31">
        <v>0</v>
      </c>
      <c r="F72" s="28">
        <f t="shared" si="3"/>
        <v>0</v>
      </c>
    </row>
    <row r="73" spans="1:6" ht="99.75" x14ac:dyDescent="0.2">
      <c r="A73" s="29" t="s">
        <v>2756</v>
      </c>
      <c r="B73" s="17" t="s">
        <v>2759</v>
      </c>
      <c r="C73" s="15" t="s">
        <v>1826</v>
      </c>
      <c r="D73" s="39">
        <v>1</v>
      </c>
      <c r="E73" s="31">
        <v>0</v>
      </c>
      <c r="F73" s="28">
        <f t="shared" si="3"/>
        <v>0</v>
      </c>
    </row>
    <row r="74" spans="1:6" ht="15" x14ac:dyDescent="0.2">
      <c r="A74" s="29"/>
      <c r="B74" s="17"/>
      <c r="C74" s="15"/>
      <c r="D74" s="39"/>
      <c r="E74" s="25"/>
      <c r="F74" s="26"/>
    </row>
    <row r="75" spans="1:6" ht="43.5" x14ac:dyDescent="0.2">
      <c r="A75" s="29" t="s">
        <v>2773</v>
      </c>
      <c r="B75" s="17" t="s">
        <v>2774</v>
      </c>
      <c r="C75" s="15"/>
      <c r="D75" s="39"/>
      <c r="E75" s="25"/>
      <c r="F75" s="26"/>
    </row>
    <row r="76" spans="1:6" ht="14.25" x14ac:dyDescent="0.2">
      <c r="A76" s="29" t="s">
        <v>1761</v>
      </c>
      <c r="B76" s="17" t="s">
        <v>2742</v>
      </c>
      <c r="C76" s="15" t="s">
        <v>1756</v>
      </c>
      <c r="D76" s="39">
        <f>2.5*2.5*0.1*1.2</f>
        <v>0.75</v>
      </c>
      <c r="E76" s="31">
        <v>0</v>
      </c>
      <c r="F76" s="28">
        <f t="shared" ref="F76:F89" si="4">ROUND(D76*E76,2)</f>
        <v>0</v>
      </c>
    </row>
    <row r="77" spans="1:6" ht="28.5" x14ac:dyDescent="0.2">
      <c r="A77" s="29" t="s">
        <v>1774</v>
      </c>
      <c r="B77" s="49" t="s">
        <v>2763</v>
      </c>
      <c r="C77" s="15" t="s">
        <v>1756</v>
      </c>
      <c r="D77" s="39">
        <f>(2*2.5*2.5*0.2+0.2*(2.5*2.5+2*2)*2.4)*1.2</f>
        <v>8.9039999999999999</v>
      </c>
      <c r="E77" s="31">
        <v>0</v>
      </c>
      <c r="F77" s="28">
        <f t="shared" si="4"/>
        <v>0</v>
      </c>
    </row>
    <row r="78" spans="1:6" ht="14.25" x14ac:dyDescent="0.2">
      <c r="A78" s="29" t="s">
        <v>1873</v>
      </c>
      <c r="B78" s="17" t="s">
        <v>2744</v>
      </c>
      <c r="C78" s="15" t="s">
        <v>1773</v>
      </c>
      <c r="D78" s="39">
        <v>1065</v>
      </c>
      <c r="E78" s="31">
        <v>0</v>
      </c>
      <c r="F78" s="28">
        <f t="shared" si="4"/>
        <v>0</v>
      </c>
    </row>
    <row r="79" spans="1:6" ht="14.25" x14ac:dyDescent="0.2">
      <c r="A79" s="29" t="s">
        <v>1875</v>
      </c>
      <c r="B79" s="17" t="s">
        <v>2258</v>
      </c>
      <c r="C79" s="15" t="s">
        <v>1773</v>
      </c>
      <c r="D79" s="39">
        <f>SUM(D63:D63)*0.3</f>
        <v>319.5</v>
      </c>
      <c r="E79" s="31">
        <v>0</v>
      </c>
      <c r="F79" s="28">
        <f t="shared" si="4"/>
        <v>0</v>
      </c>
    </row>
    <row r="80" spans="1:6" ht="14.25" x14ac:dyDescent="0.2">
      <c r="A80" s="29" t="s">
        <v>2131</v>
      </c>
      <c r="B80" s="17" t="s">
        <v>2764</v>
      </c>
      <c r="C80" s="15" t="s">
        <v>1773</v>
      </c>
      <c r="D80" s="39">
        <v>10</v>
      </c>
      <c r="E80" s="31">
        <v>0</v>
      </c>
      <c r="F80" s="28">
        <f t="shared" si="4"/>
        <v>0</v>
      </c>
    </row>
    <row r="81" spans="1:6" ht="14.25" x14ac:dyDescent="0.2">
      <c r="A81" s="29" t="s">
        <v>2133</v>
      </c>
      <c r="B81" s="17" t="s">
        <v>2130</v>
      </c>
      <c r="C81" s="15" t="s">
        <v>1773</v>
      </c>
      <c r="D81" s="39">
        <v>107.46719999999999</v>
      </c>
      <c r="E81" s="31">
        <v>0</v>
      </c>
      <c r="F81" s="28">
        <f t="shared" si="4"/>
        <v>0</v>
      </c>
    </row>
    <row r="82" spans="1:6" ht="14.25" x14ac:dyDescent="0.2">
      <c r="A82" s="29" t="s">
        <v>2135</v>
      </c>
      <c r="B82" s="17" t="s">
        <v>2746</v>
      </c>
      <c r="C82" s="15" t="s">
        <v>1756</v>
      </c>
      <c r="D82" s="39">
        <f>D76</f>
        <v>0.75</v>
      </c>
      <c r="E82" s="31">
        <v>0</v>
      </c>
      <c r="F82" s="28">
        <f t="shared" si="4"/>
        <v>0</v>
      </c>
    </row>
    <row r="83" spans="1:6" ht="42.75" x14ac:dyDescent="0.2">
      <c r="A83" s="29" t="s">
        <v>2137</v>
      </c>
      <c r="B83" s="49" t="s">
        <v>2771</v>
      </c>
      <c r="C83" s="15" t="s">
        <v>1780</v>
      </c>
      <c r="D83" s="39">
        <f>2*((2.5*2+2.5*2)*2.4)*1.2</f>
        <v>57.599999999999994</v>
      </c>
      <c r="E83" s="31">
        <v>0</v>
      </c>
      <c r="F83" s="28">
        <f t="shared" si="4"/>
        <v>0</v>
      </c>
    </row>
    <row r="84" spans="1:6" ht="42.75" x14ac:dyDescent="0.2">
      <c r="A84" s="29" t="s">
        <v>2139</v>
      </c>
      <c r="B84" s="17" t="s">
        <v>2749</v>
      </c>
      <c r="C84" s="15" t="s">
        <v>1780</v>
      </c>
      <c r="D84" s="39">
        <f>2.5*2.5*1.1*1.2</f>
        <v>8.25</v>
      </c>
      <c r="E84" s="31">
        <v>0</v>
      </c>
      <c r="F84" s="28">
        <f t="shared" si="4"/>
        <v>0</v>
      </c>
    </row>
    <row r="85" spans="1:6" ht="28.5" x14ac:dyDescent="0.2">
      <c r="A85" s="29" t="s">
        <v>2750</v>
      </c>
      <c r="B85" s="17" t="s">
        <v>2765</v>
      </c>
      <c r="C85" s="15" t="s">
        <v>1826</v>
      </c>
      <c r="D85" s="39">
        <v>3</v>
      </c>
      <c r="E85" s="31">
        <v>0</v>
      </c>
      <c r="F85" s="28">
        <f t="shared" si="4"/>
        <v>0</v>
      </c>
    </row>
    <row r="86" spans="1:6" ht="28.5" x14ac:dyDescent="0.2">
      <c r="A86" s="29" t="s">
        <v>2752</v>
      </c>
      <c r="B86" s="49" t="s">
        <v>2775</v>
      </c>
      <c r="C86" s="15" t="s">
        <v>1826</v>
      </c>
      <c r="D86" s="39">
        <v>41</v>
      </c>
      <c r="E86" s="31">
        <v>0</v>
      </c>
      <c r="F86" s="28">
        <f t="shared" si="4"/>
        <v>0</v>
      </c>
    </row>
    <row r="87" spans="1:6" ht="28.5" x14ac:dyDescent="0.2">
      <c r="A87" s="29" t="s">
        <v>2754</v>
      </c>
      <c r="B87" s="17" t="s">
        <v>2755</v>
      </c>
      <c r="C87" s="15" t="s">
        <v>1826</v>
      </c>
      <c r="D87" s="39">
        <v>1</v>
      </c>
      <c r="E87" s="31">
        <v>0</v>
      </c>
      <c r="F87" s="28">
        <f t="shared" si="4"/>
        <v>0</v>
      </c>
    </row>
    <row r="88" spans="1:6" ht="57" x14ac:dyDescent="0.2">
      <c r="A88" s="29" t="s">
        <v>2756</v>
      </c>
      <c r="B88" s="17" t="s">
        <v>2757</v>
      </c>
      <c r="C88" s="15" t="s">
        <v>1826</v>
      </c>
      <c r="D88" s="39">
        <v>1</v>
      </c>
      <c r="E88" s="31">
        <v>0</v>
      </c>
      <c r="F88" s="28">
        <f t="shared" si="4"/>
        <v>0</v>
      </c>
    </row>
    <row r="89" spans="1:6" ht="99.75" x14ac:dyDescent="0.2">
      <c r="A89" s="29" t="s">
        <v>2758</v>
      </c>
      <c r="B89" s="17" t="s">
        <v>2759</v>
      </c>
      <c r="C89" s="15" t="s">
        <v>1826</v>
      </c>
      <c r="D89" s="39">
        <v>1</v>
      </c>
      <c r="E89" s="31">
        <v>0</v>
      </c>
      <c r="F89" s="28">
        <f t="shared" si="4"/>
        <v>0</v>
      </c>
    </row>
    <row r="90" spans="1:6" ht="15" x14ac:dyDescent="0.2">
      <c r="A90" s="29"/>
      <c r="B90" s="17"/>
      <c r="C90" s="15"/>
      <c r="D90" s="39"/>
      <c r="E90" s="25"/>
      <c r="F90" s="26"/>
    </row>
    <row r="91" spans="1:6" ht="43.5" x14ac:dyDescent="0.2">
      <c r="A91" s="29" t="s">
        <v>2776</v>
      </c>
      <c r="B91" s="17" t="s">
        <v>2777</v>
      </c>
      <c r="C91" s="15"/>
      <c r="D91" s="39"/>
      <c r="E91" s="25"/>
      <c r="F91" s="26"/>
    </row>
    <row r="92" spans="1:6" ht="14.25" x14ac:dyDescent="0.2">
      <c r="A92" s="29" t="s">
        <v>1761</v>
      </c>
      <c r="B92" s="17" t="s">
        <v>2742</v>
      </c>
      <c r="C92" s="15" t="s">
        <v>1756</v>
      </c>
      <c r="D92" s="39">
        <f>3.2*2.4*0.1*1.2</f>
        <v>0.92159999999999997</v>
      </c>
      <c r="E92" s="31">
        <v>0</v>
      </c>
      <c r="F92" s="28">
        <f t="shared" ref="F92:F105" si="5">ROUND(D92*E92,2)</f>
        <v>0</v>
      </c>
    </row>
    <row r="93" spans="1:6" ht="28.5" x14ac:dyDescent="0.2">
      <c r="A93" s="29" t="s">
        <v>1774</v>
      </c>
      <c r="B93" s="17" t="s">
        <v>2743</v>
      </c>
      <c r="C93" s="15" t="s">
        <v>1756</v>
      </c>
      <c r="D93" s="39">
        <f>(2*3.3*2.4*0.2+0.2*(3.3*2.4+2*2)*3)*1.2</f>
        <v>12.383999999999999</v>
      </c>
      <c r="E93" s="31">
        <v>0</v>
      </c>
      <c r="F93" s="28">
        <f t="shared" si="5"/>
        <v>0</v>
      </c>
    </row>
    <row r="94" spans="1:6" ht="14.25" x14ac:dyDescent="0.2">
      <c r="A94" s="29" t="s">
        <v>1873</v>
      </c>
      <c r="B94" s="17" t="s">
        <v>2744</v>
      </c>
      <c r="C94" s="15" t="s">
        <v>1773</v>
      </c>
      <c r="D94" s="39">
        <f>1065*2</f>
        <v>2130</v>
      </c>
      <c r="E94" s="31">
        <v>0</v>
      </c>
      <c r="F94" s="28">
        <f t="shared" si="5"/>
        <v>0</v>
      </c>
    </row>
    <row r="95" spans="1:6" ht="14.25" x14ac:dyDescent="0.2">
      <c r="A95" s="29" t="s">
        <v>1875</v>
      </c>
      <c r="B95" s="17" t="s">
        <v>2130</v>
      </c>
      <c r="C95" s="15" t="s">
        <v>1773</v>
      </c>
      <c r="D95" s="39">
        <f>SUM(D94)*0.3*2</f>
        <v>1278</v>
      </c>
      <c r="E95" s="31">
        <v>0</v>
      </c>
      <c r="F95" s="28">
        <f t="shared" si="5"/>
        <v>0</v>
      </c>
    </row>
    <row r="96" spans="1:6" ht="14.25" x14ac:dyDescent="0.2">
      <c r="A96" s="29" t="s">
        <v>2131</v>
      </c>
      <c r="B96" s="17" t="s">
        <v>2764</v>
      </c>
      <c r="C96" s="15" t="s">
        <v>1773</v>
      </c>
      <c r="D96" s="39">
        <f>10*2</f>
        <v>20</v>
      </c>
      <c r="E96" s="31">
        <v>0</v>
      </c>
      <c r="F96" s="28">
        <f t="shared" si="5"/>
        <v>0</v>
      </c>
    </row>
    <row r="97" spans="1:6" ht="14.25" x14ac:dyDescent="0.2">
      <c r="A97" s="29" t="s">
        <v>2133</v>
      </c>
      <c r="B97" s="17" t="s">
        <v>2778</v>
      </c>
      <c r="C97" s="15" t="s">
        <v>1756</v>
      </c>
      <c r="D97" s="39">
        <f>D92</f>
        <v>0.92159999999999997</v>
      </c>
      <c r="E97" s="31">
        <v>0</v>
      </c>
      <c r="F97" s="28">
        <f t="shared" si="5"/>
        <v>0</v>
      </c>
    </row>
    <row r="98" spans="1:6" ht="42.75" x14ac:dyDescent="0.2">
      <c r="A98" s="29" t="s">
        <v>2135</v>
      </c>
      <c r="B98" s="49" t="s">
        <v>2771</v>
      </c>
      <c r="C98" s="15" t="s">
        <v>1780</v>
      </c>
      <c r="D98" s="39">
        <f>2*((3.3*2+2.4*2)*2.4)*1.2</f>
        <v>65.663999999999987</v>
      </c>
      <c r="E98" s="31">
        <v>0</v>
      </c>
      <c r="F98" s="28">
        <f t="shared" si="5"/>
        <v>0</v>
      </c>
    </row>
    <row r="99" spans="1:6" ht="42.75" x14ac:dyDescent="0.2">
      <c r="A99" s="29" t="s">
        <v>2137</v>
      </c>
      <c r="B99" s="17" t="s">
        <v>2749</v>
      </c>
      <c r="C99" s="15" t="s">
        <v>1780</v>
      </c>
      <c r="D99" s="39">
        <f>3.3*2.4*1.1*1.2</f>
        <v>10.4544</v>
      </c>
      <c r="E99" s="31">
        <v>0</v>
      </c>
      <c r="F99" s="28">
        <f t="shared" si="5"/>
        <v>0</v>
      </c>
    </row>
    <row r="100" spans="1:6" ht="28.5" x14ac:dyDescent="0.2">
      <c r="A100" s="29" t="s">
        <v>2139</v>
      </c>
      <c r="B100" s="17" t="s">
        <v>2779</v>
      </c>
      <c r="C100" s="15" t="s">
        <v>1826</v>
      </c>
      <c r="D100" s="39">
        <v>2</v>
      </c>
      <c r="E100" s="31">
        <v>0</v>
      </c>
      <c r="F100" s="28">
        <f t="shared" si="5"/>
        <v>0</v>
      </c>
    </row>
    <row r="101" spans="1:6" ht="28.5" x14ac:dyDescent="0.2">
      <c r="A101" s="29" t="s">
        <v>2750</v>
      </c>
      <c r="B101" s="49" t="s">
        <v>2780</v>
      </c>
      <c r="C101" s="15" t="s">
        <v>1826</v>
      </c>
      <c r="D101" s="39">
        <f>2*(6+5*2)</f>
        <v>32</v>
      </c>
      <c r="E101" s="31">
        <v>0</v>
      </c>
      <c r="F101" s="28">
        <f t="shared" si="5"/>
        <v>0</v>
      </c>
    </row>
    <row r="102" spans="1:6" ht="28.5" x14ac:dyDescent="0.2">
      <c r="A102" s="29" t="s">
        <v>2752</v>
      </c>
      <c r="B102" s="17" t="s">
        <v>2781</v>
      </c>
      <c r="C102" s="15" t="s">
        <v>1826</v>
      </c>
      <c r="D102" s="39">
        <f>6+5*2</f>
        <v>16</v>
      </c>
      <c r="E102" s="31">
        <v>0</v>
      </c>
      <c r="F102" s="28">
        <f>ROUND(D102*E102,2)</f>
        <v>0</v>
      </c>
    </row>
    <row r="103" spans="1:6" ht="28.5" x14ac:dyDescent="0.2">
      <c r="A103" s="29" t="s">
        <v>2754</v>
      </c>
      <c r="B103" s="17" t="s">
        <v>2782</v>
      </c>
      <c r="C103" s="15" t="s">
        <v>1826</v>
      </c>
      <c r="D103" s="39">
        <v>1</v>
      </c>
      <c r="E103" s="31">
        <v>0</v>
      </c>
      <c r="F103" s="28">
        <f t="shared" si="5"/>
        <v>0</v>
      </c>
    </row>
    <row r="104" spans="1:6" ht="71.25" x14ac:dyDescent="0.2">
      <c r="A104" s="29" t="s">
        <v>2756</v>
      </c>
      <c r="B104" s="17" t="s">
        <v>2783</v>
      </c>
      <c r="C104" s="15" t="s">
        <v>1826</v>
      </c>
      <c r="D104" s="39">
        <v>1</v>
      </c>
      <c r="E104" s="31">
        <v>0</v>
      </c>
      <c r="F104" s="28">
        <f t="shared" si="5"/>
        <v>0</v>
      </c>
    </row>
    <row r="105" spans="1:6" ht="99.75" x14ac:dyDescent="0.2">
      <c r="A105" s="29" t="s">
        <v>2758</v>
      </c>
      <c r="B105" s="17" t="s">
        <v>2759</v>
      </c>
      <c r="C105" s="15" t="s">
        <v>1826</v>
      </c>
      <c r="D105" s="39">
        <v>1</v>
      </c>
      <c r="E105" s="31">
        <v>0</v>
      </c>
      <c r="F105" s="28">
        <f t="shared" si="5"/>
        <v>0</v>
      </c>
    </row>
    <row r="106" spans="1:6" ht="15" x14ac:dyDescent="0.2">
      <c r="A106" s="29"/>
      <c r="B106" s="17"/>
      <c r="C106" s="15"/>
      <c r="D106" s="39"/>
      <c r="E106" s="25"/>
      <c r="F106" s="26"/>
    </row>
    <row r="107" spans="1:6" ht="42.75" x14ac:dyDescent="0.2">
      <c r="A107" s="29" t="s">
        <v>2784</v>
      </c>
      <c r="B107" s="17" t="s">
        <v>2785</v>
      </c>
      <c r="C107" s="15" t="s">
        <v>1826</v>
      </c>
      <c r="D107" s="39">
        <v>1</v>
      </c>
      <c r="E107" s="31">
        <v>0</v>
      </c>
      <c r="F107" s="28">
        <f>ROUND(D107*E107,2)</f>
        <v>0</v>
      </c>
    </row>
    <row r="108" spans="1:6" ht="71.25" x14ac:dyDescent="0.2">
      <c r="A108" s="29" t="s">
        <v>2786</v>
      </c>
      <c r="B108" s="17" t="s">
        <v>2787</v>
      </c>
      <c r="C108" s="15" t="s">
        <v>1826</v>
      </c>
      <c r="D108" s="39">
        <v>1</v>
      </c>
      <c r="E108" s="31">
        <v>0</v>
      </c>
      <c r="F108" s="28">
        <f>ROUND(D108*E108,2)</f>
        <v>0</v>
      </c>
    </row>
    <row r="109" spans="1:6" ht="15" x14ac:dyDescent="0.2">
      <c r="A109" s="29"/>
      <c r="B109" s="17"/>
      <c r="C109" s="15"/>
      <c r="D109" s="39"/>
      <c r="E109" s="25"/>
      <c r="F109" s="26"/>
    </row>
    <row r="110" spans="1:6" ht="15" x14ac:dyDescent="0.2">
      <c r="A110" s="29"/>
      <c r="B110" s="53" t="s">
        <v>2788</v>
      </c>
      <c r="C110" s="15"/>
      <c r="D110" s="39"/>
      <c r="E110" s="25"/>
      <c r="F110" s="26"/>
    </row>
    <row r="111" spans="1:6" ht="42.75" x14ac:dyDescent="0.2">
      <c r="A111" s="29" t="s">
        <v>2789</v>
      </c>
      <c r="B111" s="17" t="s">
        <v>2790</v>
      </c>
      <c r="C111" s="15"/>
      <c r="D111" s="39"/>
      <c r="E111" s="25"/>
      <c r="F111" s="26"/>
    </row>
    <row r="112" spans="1:6" ht="14.25" x14ac:dyDescent="0.2">
      <c r="A112" s="29" t="s">
        <v>1761</v>
      </c>
      <c r="B112" s="17" t="s">
        <v>2791</v>
      </c>
      <c r="C112" s="15" t="s">
        <v>1756</v>
      </c>
      <c r="D112" s="39">
        <f>2*1*9*0.1*1.2</f>
        <v>2.16</v>
      </c>
      <c r="E112" s="31">
        <v>0</v>
      </c>
      <c r="F112" s="28">
        <f t="shared" ref="F112:F130" si="6">ROUND(D112*E112,2)</f>
        <v>0</v>
      </c>
    </row>
    <row r="113" spans="1:8" ht="28.5" x14ac:dyDescent="0.2">
      <c r="A113" s="29" t="s">
        <v>1774</v>
      </c>
      <c r="B113" s="17" t="s">
        <v>2792</v>
      </c>
      <c r="C113" s="15" t="s">
        <v>1756</v>
      </c>
      <c r="D113" s="39">
        <f>((1+9)*0.2*1.8+(1+9)*0.2*1.15)*1.2</f>
        <v>7.08</v>
      </c>
      <c r="E113" s="31">
        <v>0</v>
      </c>
      <c r="F113" s="28">
        <f t="shared" si="6"/>
        <v>0</v>
      </c>
    </row>
    <row r="114" spans="1:8" ht="14.25" x14ac:dyDescent="0.2">
      <c r="A114" s="29" t="s">
        <v>1873</v>
      </c>
      <c r="B114" s="17" t="s">
        <v>2744</v>
      </c>
      <c r="C114" s="15" t="s">
        <v>1773</v>
      </c>
      <c r="D114" s="39">
        <f>3000*1.2</f>
        <v>3600</v>
      </c>
      <c r="E114" s="31">
        <v>0</v>
      </c>
      <c r="F114" s="28">
        <f t="shared" si="6"/>
        <v>0</v>
      </c>
    </row>
    <row r="115" spans="1:8" ht="14.25" x14ac:dyDescent="0.2">
      <c r="A115" s="29" t="s">
        <v>1875</v>
      </c>
      <c r="B115" s="17" t="s">
        <v>2793</v>
      </c>
      <c r="C115" s="15" t="s">
        <v>1773</v>
      </c>
      <c r="D115" s="39">
        <f>700*1.2</f>
        <v>840</v>
      </c>
      <c r="E115" s="31">
        <v>0</v>
      </c>
      <c r="F115" s="28">
        <f t="shared" si="6"/>
        <v>0</v>
      </c>
    </row>
    <row r="116" spans="1:8" ht="14.25" x14ac:dyDescent="0.2">
      <c r="A116" s="29" t="s">
        <v>2131</v>
      </c>
      <c r="B116" s="17" t="s">
        <v>2130</v>
      </c>
      <c r="C116" s="15" t="s">
        <v>1773</v>
      </c>
      <c r="D116" s="39">
        <f>SUM(D114:D115)*0.3</f>
        <v>1332</v>
      </c>
      <c r="E116" s="31">
        <v>0</v>
      </c>
      <c r="F116" s="28">
        <f t="shared" si="6"/>
        <v>0</v>
      </c>
    </row>
    <row r="117" spans="1:8" ht="28.5" x14ac:dyDescent="0.2">
      <c r="A117" s="29" t="s">
        <v>2133</v>
      </c>
      <c r="B117" s="17" t="s">
        <v>2794</v>
      </c>
      <c r="C117" s="15" t="s">
        <v>1800</v>
      </c>
      <c r="D117" s="39">
        <f>11*1.2</f>
        <v>13.2</v>
      </c>
      <c r="E117" s="31">
        <v>0</v>
      </c>
      <c r="F117" s="28">
        <f t="shared" si="6"/>
        <v>0</v>
      </c>
    </row>
    <row r="118" spans="1:8" ht="14.25" x14ac:dyDescent="0.2">
      <c r="A118" s="29" t="s">
        <v>2135</v>
      </c>
      <c r="B118" s="17" t="s">
        <v>2764</v>
      </c>
      <c r="C118" s="15" t="s">
        <v>1773</v>
      </c>
      <c r="D118" s="39">
        <v>20</v>
      </c>
      <c r="E118" s="31">
        <v>0</v>
      </c>
      <c r="F118" s="28">
        <f t="shared" si="6"/>
        <v>0</v>
      </c>
    </row>
    <row r="119" spans="1:8" ht="14.25" x14ac:dyDescent="0.2">
      <c r="A119" s="29" t="s">
        <v>2137</v>
      </c>
      <c r="B119" s="17" t="s">
        <v>2746</v>
      </c>
      <c r="C119" s="15" t="s">
        <v>1756</v>
      </c>
      <c r="D119" s="39">
        <f>D112</f>
        <v>2.16</v>
      </c>
      <c r="E119" s="31">
        <v>0</v>
      </c>
      <c r="F119" s="28">
        <f t="shared" si="6"/>
        <v>0</v>
      </c>
    </row>
    <row r="120" spans="1:8" ht="57" x14ac:dyDescent="0.2">
      <c r="A120" s="29" t="s">
        <v>2139</v>
      </c>
      <c r="B120" s="17" t="s">
        <v>2747</v>
      </c>
      <c r="C120" s="15" t="s">
        <v>1780</v>
      </c>
      <c r="D120" s="39">
        <f>(2*(1+9)*1.8+2*(1+9)*1.15)*1.2</f>
        <v>70.8</v>
      </c>
      <c r="E120" s="31">
        <v>0</v>
      </c>
      <c r="F120" s="28">
        <f t="shared" si="6"/>
        <v>0</v>
      </c>
    </row>
    <row r="121" spans="1:8" ht="28.5" x14ac:dyDescent="0.2">
      <c r="A121" s="29" t="s">
        <v>2750</v>
      </c>
      <c r="B121" s="17" t="s">
        <v>2748</v>
      </c>
      <c r="C121" s="15" t="s">
        <v>1780</v>
      </c>
      <c r="D121" s="39">
        <f>2*(1+9)*0.2*1.2*1.2</f>
        <v>5.76</v>
      </c>
      <c r="E121" s="31">
        <v>0</v>
      </c>
      <c r="F121" s="28">
        <f t="shared" si="6"/>
        <v>0</v>
      </c>
    </row>
    <row r="122" spans="1:8" ht="28.5" x14ac:dyDescent="0.2">
      <c r="A122" s="29" t="s">
        <v>2752</v>
      </c>
      <c r="B122" s="17" t="s">
        <v>2795</v>
      </c>
      <c r="C122" s="15" t="s">
        <v>1826</v>
      </c>
      <c r="D122" s="39">
        <f>2*2+1</f>
        <v>5</v>
      </c>
      <c r="E122" s="31">
        <v>0</v>
      </c>
      <c r="F122" s="28">
        <f t="shared" si="6"/>
        <v>0</v>
      </c>
    </row>
    <row r="123" spans="1:8" ht="28.5" x14ac:dyDescent="0.2">
      <c r="A123" s="29" t="s">
        <v>2754</v>
      </c>
      <c r="B123" s="49" t="s">
        <v>2796</v>
      </c>
      <c r="C123" s="15" t="s">
        <v>1826</v>
      </c>
      <c r="D123" s="39">
        <f>2*3+1</f>
        <v>7</v>
      </c>
      <c r="E123" s="31">
        <v>0</v>
      </c>
      <c r="F123" s="28">
        <f t="shared" si="6"/>
        <v>0</v>
      </c>
    </row>
    <row r="124" spans="1:8" ht="42.75" x14ac:dyDescent="0.2">
      <c r="A124" s="29" t="s">
        <v>2756</v>
      </c>
      <c r="B124" s="17" t="s">
        <v>2797</v>
      </c>
      <c r="C124" s="15" t="s">
        <v>1826</v>
      </c>
      <c r="D124" s="39">
        <v>1</v>
      </c>
      <c r="E124" s="31">
        <v>0</v>
      </c>
      <c r="F124" s="28">
        <f t="shared" si="6"/>
        <v>0</v>
      </c>
    </row>
    <row r="125" spans="1:8" ht="114" x14ac:dyDescent="0.2">
      <c r="A125" s="29" t="s">
        <v>2758</v>
      </c>
      <c r="B125" s="17" t="s">
        <v>2798</v>
      </c>
      <c r="C125" s="15" t="s">
        <v>1826</v>
      </c>
      <c r="D125" s="39">
        <v>1</v>
      </c>
      <c r="E125" s="31">
        <v>0</v>
      </c>
      <c r="F125" s="28">
        <f t="shared" si="6"/>
        <v>0</v>
      </c>
      <c r="H125" s="240"/>
    </row>
    <row r="126" spans="1:8" s="76" customFormat="1" ht="71.25" x14ac:dyDescent="0.3">
      <c r="A126" s="41" t="s">
        <v>2799</v>
      </c>
      <c r="B126" s="49" t="s">
        <v>2800</v>
      </c>
      <c r="C126" s="43"/>
      <c r="D126" s="44"/>
      <c r="E126" s="25"/>
      <c r="F126" s="26"/>
      <c r="G126" s="255"/>
      <c r="H126" s="256"/>
    </row>
    <row r="127" spans="1:8" s="76" customFormat="1" ht="20.25" x14ac:dyDescent="0.3">
      <c r="A127" s="41"/>
      <c r="B127" s="49" t="s">
        <v>2801</v>
      </c>
      <c r="C127" s="43"/>
      <c r="D127" s="44"/>
      <c r="E127" s="25"/>
      <c r="F127" s="26"/>
      <c r="G127" s="255"/>
      <c r="H127" s="256"/>
    </row>
    <row r="128" spans="1:8" s="76" customFormat="1" ht="20.25" x14ac:dyDescent="0.3">
      <c r="A128" s="41" t="s">
        <v>1761</v>
      </c>
      <c r="B128" s="49" t="s">
        <v>2319</v>
      </c>
      <c r="C128" s="43" t="s">
        <v>1800</v>
      </c>
      <c r="D128" s="44">
        <f>2*7*1.2</f>
        <v>16.8</v>
      </c>
      <c r="E128" s="31">
        <v>0</v>
      </c>
      <c r="F128" s="28">
        <f t="shared" ref="F128:F129" si="7">ROUND(D128*E128,2)</f>
        <v>0</v>
      </c>
      <c r="G128" s="255"/>
      <c r="H128" s="256"/>
    </row>
    <row r="129" spans="1:8" s="76" customFormat="1" ht="20.25" x14ac:dyDescent="0.3">
      <c r="A129" s="41" t="s">
        <v>1774</v>
      </c>
      <c r="B129" s="49" t="s">
        <v>2320</v>
      </c>
      <c r="C129" s="43" t="s">
        <v>1800</v>
      </c>
      <c r="D129" s="44">
        <f>2*24*1.2</f>
        <v>57.599999999999994</v>
      </c>
      <c r="E129" s="31">
        <v>0</v>
      </c>
      <c r="F129" s="28">
        <f t="shared" si="7"/>
        <v>0</v>
      </c>
      <c r="G129" s="255"/>
      <c r="H129" s="256"/>
    </row>
    <row r="130" spans="1:8" ht="114" x14ac:dyDescent="0.2">
      <c r="A130" s="29" t="s">
        <v>2802</v>
      </c>
      <c r="B130" s="17" t="s">
        <v>2803</v>
      </c>
      <c r="C130" s="15" t="s">
        <v>1780</v>
      </c>
      <c r="D130" s="39">
        <f>2*1*9*1.2</f>
        <v>21.599999999999998</v>
      </c>
      <c r="E130" s="31">
        <v>0</v>
      </c>
      <c r="F130" s="28">
        <f t="shared" si="6"/>
        <v>0</v>
      </c>
      <c r="H130" s="240"/>
    </row>
    <row r="131" spans="1:8" ht="72" thickBot="1" x14ac:dyDescent="0.25">
      <c r="A131" s="29" t="s">
        <v>2804</v>
      </c>
      <c r="B131" s="33" t="s">
        <v>2805</v>
      </c>
      <c r="C131" s="15" t="s">
        <v>1773</v>
      </c>
      <c r="D131" s="39">
        <f>285*1.2</f>
        <v>342</v>
      </c>
      <c r="E131" s="31">
        <v>0</v>
      </c>
      <c r="F131" s="28">
        <f>ROUND(D131*E131,2)</f>
        <v>0</v>
      </c>
      <c r="H131" s="240"/>
    </row>
    <row r="132" spans="1:8" ht="18.75" customHeight="1" thickBot="1" x14ac:dyDescent="0.3">
      <c r="A132" s="34"/>
      <c r="B132" s="33"/>
      <c r="C132" s="366" t="s">
        <v>2806</v>
      </c>
      <c r="D132" s="367"/>
      <c r="E132" s="368"/>
      <c r="F132" s="18">
        <f>SUM(F29:F131)</f>
        <v>0</v>
      </c>
      <c r="G132" s="8"/>
    </row>
    <row r="133" spans="1:8" ht="15" x14ac:dyDescent="0.2">
      <c r="A133" s="27" t="s">
        <v>2807</v>
      </c>
      <c r="B133" s="40" t="s">
        <v>2808</v>
      </c>
      <c r="C133" s="15"/>
      <c r="D133" s="39"/>
      <c r="E133" s="25"/>
      <c r="F133" s="26"/>
    </row>
    <row r="134" spans="1:8" ht="28.5" x14ac:dyDescent="0.2">
      <c r="A134" s="29"/>
      <c r="B134" s="50" t="s">
        <v>2809</v>
      </c>
      <c r="C134" s="15"/>
      <c r="D134" s="39"/>
      <c r="E134" s="25"/>
      <c r="F134" s="26"/>
    </row>
    <row r="135" spans="1:8" ht="85.5" x14ac:dyDescent="0.2">
      <c r="A135" s="29"/>
      <c r="B135" s="50" t="s">
        <v>2810</v>
      </c>
      <c r="C135" s="15"/>
      <c r="D135" s="39"/>
      <c r="E135" s="25"/>
      <c r="F135" s="26"/>
    </row>
    <row r="136" spans="1:8" ht="15" x14ac:dyDescent="0.2">
      <c r="A136" s="29"/>
      <c r="B136" s="50" t="s">
        <v>2811</v>
      </c>
      <c r="C136" s="15"/>
      <c r="D136" s="39"/>
      <c r="E136" s="25"/>
      <c r="F136" s="26"/>
    </row>
    <row r="137" spans="1:8" ht="28.5" x14ac:dyDescent="0.2">
      <c r="A137" s="29"/>
      <c r="B137" s="50" t="s">
        <v>2812</v>
      </c>
      <c r="C137" s="15"/>
      <c r="D137" s="39"/>
      <c r="E137" s="25"/>
      <c r="F137" s="26"/>
    </row>
    <row r="138" spans="1:8" ht="15" x14ac:dyDescent="0.2">
      <c r="A138" s="29"/>
      <c r="B138" s="50"/>
      <c r="C138" s="15"/>
      <c r="D138" s="39"/>
      <c r="E138" s="25"/>
      <c r="F138" s="26"/>
    </row>
    <row r="139" spans="1:8" ht="15" x14ac:dyDescent="0.2">
      <c r="A139" s="29" t="s">
        <v>2813</v>
      </c>
      <c r="B139" s="50" t="s">
        <v>2814</v>
      </c>
      <c r="C139" s="15"/>
      <c r="D139" s="39"/>
      <c r="E139" s="25"/>
      <c r="F139" s="26"/>
    </row>
    <row r="140" spans="1:8" ht="15" x14ac:dyDescent="0.2">
      <c r="A140" s="29"/>
      <c r="B140" s="50" t="s">
        <v>2815</v>
      </c>
      <c r="C140" s="15"/>
      <c r="D140" s="39"/>
      <c r="E140" s="25"/>
      <c r="F140" s="26"/>
    </row>
    <row r="141" spans="1:8" ht="14.25" x14ac:dyDescent="0.2">
      <c r="A141" s="29" t="s">
        <v>1761</v>
      </c>
      <c r="B141" s="17" t="s">
        <v>2791</v>
      </c>
      <c r="C141" s="15" t="s">
        <v>1756</v>
      </c>
      <c r="D141" s="39">
        <f>0.5*15*0.1*1.2</f>
        <v>0.89999999999999991</v>
      </c>
      <c r="E141" s="31">
        <v>0</v>
      </c>
      <c r="F141" s="28">
        <f>ROUND(D141*E141,2)</f>
        <v>0</v>
      </c>
    </row>
    <row r="142" spans="1:8" ht="42.75" x14ac:dyDescent="0.2">
      <c r="A142" s="29" t="s">
        <v>1774</v>
      </c>
      <c r="B142" s="51" t="s">
        <v>2816</v>
      </c>
      <c r="C142" s="15" t="s">
        <v>1780</v>
      </c>
      <c r="D142" s="39">
        <f>2*0.75*15*1.2</f>
        <v>27</v>
      </c>
      <c r="E142" s="31">
        <v>0</v>
      </c>
      <c r="F142" s="28">
        <f>ROUND(D142*E142,2)</f>
        <v>0</v>
      </c>
    </row>
    <row r="143" spans="1:8" ht="57" x14ac:dyDescent="0.2">
      <c r="A143" s="29" t="s">
        <v>1873</v>
      </c>
      <c r="B143" s="50" t="s">
        <v>2817</v>
      </c>
      <c r="C143" s="15" t="s">
        <v>1756</v>
      </c>
      <c r="D143" s="39">
        <f>0.5*15*1.2</f>
        <v>9</v>
      </c>
      <c r="E143" s="31">
        <v>0</v>
      </c>
      <c r="F143" s="28">
        <f>ROUND(D143*E143,2)</f>
        <v>0</v>
      </c>
    </row>
    <row r="144" spans="1:8" ht="14.25" x14ac:dyDescent="0.2">
      <c r="A144" s="29" t="s">
        <v>1875</v>
      </c>
      <c r="B144" s="50" t="s">
        <v>2818</v>
      </c>
      <c r="C144" s="15" t="s">
        <v>1800</v>
      </c>
      <c r="D144" s="39">
        <f>15*1.2</f>
        <v>18</v>
      </c>
      <c r="E144" s="31">
        <v>0</v>
      </c>
      <c r="F144" s="28">
        <f>ROUND(D144*E144,2)</f>
        <v>0</v>
      </c>
    </row>
    <row r="145" spans="1:9" ht="15" x14ac:dyDescent="0.2">
      <c r="A145" s="29"/>
      <c r="B145" s="50"/>
      <c r="C145" s="15"/>
      <c r="D145" s="39"/>
      <c r="E145" s="25"/>
      <c r="F145" s="26"/>
    </row>
    <row r="146" spans="1:9" ht="42.75" x14ac:dyDescent="0.25">
      <c r="A146" s="29" t="s">
        <v>2819</v>
      </c>
      <c r="B146" s="50" t="s">
        <v>2820</v>
      </c>
      <c r="C146" s="15"/>
      <c r="D146" s="39"/>
      <c r="E146" s="25"/>
      <c r="F146" s="26"/>
      <c r="I146" s="247"/>
    </row>
    <row r="147" spans="1:9" ht="14.25" x14ac:dyDescent="0.2">
      <c r="A147" s="29" t="s">
        <v>1761</v>
      </c>
      <c r="B147" s="17" t="s">
        <v>2791</v>
      </c>
      <c r="C147" s="15" t="s">
        <v>1756</v>
      </c>
      <c r="D147" s="39">
        <f>1*11*0.1*1.2</f>
        <v>1.32</v>
      </c>
      <c r="E147" s="31">
        <v>0</v>
      </c>
      <c r="F147" s="28">
        <f t="shared" ref="F147:F152" si="8">ROUND(D147*E147,2)</f>
        <v>0</v>
      </c>
    </row>
    <row r="148" spans="1:9" ht="42.75" x14ac:dyDescent="0.2">
      <c r="A148" s="29" t="s">
        <v>1774</v>
      </c>
      <c r="B148" s="51" t="s">
        <v>2816</v>
      </c>
      <c r="C148" s="15" t="s">
        <v>1780</v>
      </c>
      <c r="D148" s="39">
        <f>2*0.4*11*1.2</f>
        <v>10.56</v>
      </c>
      <c r="E148" s="31">
        <v>0</v>
      </c>
      <c r="F148" s="28">
        <f t="shared" si="8"/>
        <v>0</v>
      </c>
    </row>
    <row r="149" spans="1:9" ht="57" x14ac:dyDescent="0.25">
      <c r="A149" s="29" t="s">
        <v>1873</v>
      </c>
      <c r="B149" s="50" t="s">
        <v>2817</v>
      </c>
      <c r="C149" s="15" t="s">
        <v>1756</v>
      </c>
      <c r="D149" s="39">
        <f>0.4*11*1.2</f>
        <v>5.28</v>
      </c>
      <c r="E149" s="31">
        <v>0</v>
      </c>
      <c r="F149" s="28">
        <f t="shared" si="8"/>
        <v>0</v>
      </c>
      <c r="I149" s="253"/>
    </row>
    <row r="150" spans="1:9" ht="14.25" x14ac:dyDescent="0.2">
      <c r="A150" s="29" t="s">
        <v>1875</v>
      </c>
      <c r="B150" s="50" t="s">
        <v>2821</v>
      </c>
      <c r="C150" s="15" t="s">
        <v>1800</v>
      </c>
      <c r="D150" s="39">
        <f>4*11</f>
        <v>44</v>
      </c>
      <c r="E150" s="31">
        <v>0</v>
      </c>
      <c r="F150" s="28">
        <f t="shared" si="8"/>
        <v>0</v>
      </c>
    </row>
    <row r="151" spans="1:9" ht="14.25" x14ac:dyDescent="0.2">
      <c r="A151" s="29" t="s">
        <v>2131</v>
      </c>
      <c r="B151" s="50" t="s">
        <v>2822</v>
      </c>
      <c r="C151" s="15" t="s">
        <v>1800</v>
      </c>
      <c r="D151" s="39">
        <f>11*1.2</f>
        <v>13.2</v>
      </c>
      <c r="E151" s="31">
        <v>0</v>
      </c>
      <c r="F151" s="28">
        <f t="shared" si="8"/>
        <v>0</v>
      </c>
    </row>
    <row r="152" spans="1:9" ht="14.25" x14ac:dyDescent="0.2">
      <c r="A152" s="29" t="s">
        <v>2133</v>
      </c>
      <c r="B152" s="50" t="s">
        <v>2818</v>
      </c>
      <c r="C152" s="15" t="s">
        <v>1800</v>
      </c>
      <c r="D152" s="39">
        <f>D151</f>
        <v>13.2</v>
      </c>
      <c r="E152" s="31">
        <v>0</v>
      </c>
      <c r="F152" s="28">
        <f t="shared" si="8"/>
        <v>0</v>
      </c>
    </row>
    <row r="153" spans="1:9" ht="15" x14ac:dyDescent="0.2">
      <c r="A153" s="29"/>
      <c r="B153" s="50"/>
      <c r="C153" s="15"/>
      <c r="D153" s="39"/>
      <c r="E153" s="25"/>
      <c r="F153" s="26"/>
    </row>
    <row r="154" spans="1:9" ht="42.75" x14ac:dyDescent="0.2">
      <c r="A154" s="29" t="s">
        <v>2823</v>
      </c>
      <c r="B154" s="50" t="s">
        <v>2824</v>
      </c>
      <c r="C154" s="15"/>
      <c r="D154" s="39"/>
      <c r="E154" s="25"/>
      <c r="F154" s="26"/>
    </row>
    <row r="155" spans="1:9" ht="14.25" x14ac:dyDescent="0.2">
      <c r="A155" s="29" t="s">
        <v>1761</v>
      </c>
      <c r="B155" s="17" t="s">
        <v>2791</v>
      </c>
      <c r="C155" s="15" t="s">
        <v>1756</v>
      </c>
      <c r="D155" s="39">
        <f>0.7*9*0.1*1.2</f>
        <v>0.75600000000000001</v>
      </c>
      <c r="E155" s="31">
        <v>0</v>
      </c>
      <c r="F155" s="28">
        <f t="shared" ref="F155:F160" si="9">ROUND(D155*E155,2)</f>
        <v>0</v>
      </c>
    </row>
    <row r="156" spans="1:9" ht="42.75" x14ac:dyDescent="0.2">
      <c r="A156" s="29" t="s">
        <v>1774</v>
      </c>
      <c r="B156" s="51" t="s">
        <v>2816</v>
      </c>
      <c r="C156" s="15" t="s">
        <v>1780</v>
      </c>
      <c r="D156" s="39">
        <f>2*0.6*9*1.2</f>
        <v>12.959999999999999</v>
      </c>
      <c r="E156" s="31">
        <v>0</v>
      </c>
      <c r="F156" s="28">
        <f t="shared" si="9"/>
        <v>0</v>
      </c>
    </row>
    <row r="157" spans="1:9" ht="57" x14ac:dyDescent="0.2">
      <c r="A157" s="29" t="s">
        <v>1873</v>
      </c>
      <c r="B157" s="50" t="s">
        <v>2817</v>
      </c>
      <c r="C157" s="15" t="s">
        <v>1756</v>
      </c>
      <c r="D157" s="39">
        <f>0.5*9*1.2</f>
        <v>5.3999999999999995</v>
      </c>
      <c r="E157" s="31">
        <v>0</v>
      </c>
      <c r="F157" s="28">
        <f t="shared" si="9"/>
        <v>0</v>
      </c>
    </row>
    <row r="158" spans="1:9" ht="14.25" x14ac:dyDescent="0.2">
      <c r="A158" s="29" t="s">
        <v>1875</v>
      </c>
      <c r="B158" s="50" t="s">
        <v>2825</v>
      </c>
      <c r="C158" s="15" t="s">
        <v>1800</v>
      </c>
      <c r="D158" s="39">
        <f>9*9*1.2</f>
        <v>97.2</v>
      </c>
      <c r="E158" s="31">
        <v>0</v>
      </c>
      <c r="F158" s="28">
        <f t="shared" si="9"/>
        <v>0</v>
      </c>
    </row>
    <row r="159" spans="1:9" ht="14.25" x14ac:dyDescent="0.2">
      <c r="A159" s="29" t="s">
        <v>2131</v>
      </c>
      <c r="B159" s="50" t="s">
        <v>2822</v>
      </c>
      <c r="C159" s="15" t="s">
        <v>1800</v>
      </c>
      <c r="D159" s="39">
        <f>9*1.2</f>
        <v>10.799999999999999</v>
      </c>
      <c r="E159" s="31">
        <v>0</v>
      </c>
      <c r="F159" s="28">
        <f t="shared" si="9"/>
        <v>0</v>
      </c>
    </row>
    <row r="160" spans="1:9" ht="14.25" x14ac:dyDescent="0.2">
      <c r="A160" s="29" t="s">
        <v>2133</v>
      </c>
      <c r="B160" s="50" t="s">
        <v>2818</v>
      </c>
      <c r="C160" s="15" t="s">
        <v>1800</v>
      </c>
      <c r="D160" s="39">
        <f>D159</f>
        <v>10.799999999999999</v>
      </c>
      <c r="E160" s="31">
        <v>0</v>
      </c>
      <c r="F160" s="28">
        <f t="shared" si="9"/>
        <v>0</v>
      </c>
    </row>
    <row r="161" spans="1:6" ht="15" x14ac:dyDescent="0.2">
      <c r="A161" s="29"/>
      <c r="B161" s="50"/>
      <c r="C161" s="15"/>
      <c r="D161" s="39"/>
      <c r="E161" s="25"/>
      <c r="F161" s="26"/>
    </row>
    <row r="162" spans="1:6" ht="42.75" x14ac:dyDescent="0.2">
      <c r="A162" s="29" t="s">
        <v>2826</v>
      </c>
      <c r="B162" s="50" t="s">
        <v>2827</v>
      </c>
      <c r="C162" s="15"/>
      <c r="D162" s="39"/>
      <c r="E162" s="257"/>
      <c r="F162" s="26"/>
    </row>
    <row r="163" spans="1:6" ht="14.25" x14ac:dyDescent="0.2">
      <c r="A163" s="29" t="s">
        <v>1761</v>
      </c>
      <c r="B163" s="17" t="s">
        <v>2791</v>
      </c>
      <c r="C163" s="15" t="s">
        <v>1756</v>
      </c>
      <c r="D163" s="39">
        <f>0.4*3*0.1*1.2</f>
        <v>0.14400000000000002</v>
      </c>
      <c r="E163" s="31">
        <v>0</v>
      </c>
      <c r="F163" s="28">
        <f t="shared" ref="F163:F168" si="10">ROUND(D163*E163,2)</f>
        <v>0</v>
      </c>
    </row>
    <row r="164" spans="1:6" ht="42.75" x14ac:dyDescent="0.2">
      <c r="A164" s="29" t="s">
        <v>1774</v>
      </c>
      <c r="B164" s="51" t="s">
        <v>2816</v>
      </c>
      <c r="C164" s="15" t="s">
        <v>1780</v>
      </c>
      <c r="D164" s="39">
        <f>2*0.4*3*1.2</f>
        <v>2.8800000000000003</v>
      </c>
      <c r="E164" s="31">
        <v>0</v>
      </c>
      <c r="F164" s="28">
        <f t="shared" si="10"/>
        <v>0</v>
      </c>
    </row>
    <row r="165" spans="1:6" ht="57" x14ac:dyDescent="0.2">
      <c r="A165" s="29" t="s">
        <v>1873</v>
      </c>
      <c r="B165" s="50" t="s">
        <v>2817</v>
      </c>
      <c r="C165" s="15" t="s">
        <v>1756</v>
      </c>
      <c r="D165" s="39">
        <f>0.2*3*1.2</f>
        <v>0.72000000000000008</v>
      </c>
      <c r="E165" s="31">
        <v>0</v>
      </c>
      <c r="F165" s="28">
        <f t="shared" si="10"/>
        <v>0</v>
      </c>
    </row>
    <row r="166" spans="1:6" ht="28.5" x14ac:dyDescent="0.2">
      <c r="A166" s="29" t="s">
        <v>1875</v>
      </c>
      <c r="B166" s="50" t="s">
        <v>2828</v>
      </c>
      <c r="C166" s="15" t="s">
        <v>1800</v>
      </c>
      <c r="D166" s="39">
        <f>1*3*1.2</f>
        <v>3.5999999999999996</v>
      </c>
      <c r="E166" s="31">
        <v>0</v>
      </c>
      <c r="F166" s="28">
        <f t="shared" si="10"/>
        <v>0</v>
      </c>
    </row>
    <row r="167" spans="1:6" ht="14.25" x14ac:dyDescent="0.2">
      <c r="A167" s="29" t="s">
        <v>2131</v>
      </c>
      <c r="B167" s="50" t="s">
        <v>2822</v>
      </c>
      <c r="C167" s="15" t="s">
        <v>1800</v>
      </c>
      <c r="D167" s="39">
        <f>3*1.2</f>
        <v>3.5999999999999996</v>
      </c>
      <c r="E167" s="31">
        <v>0</v>
      </c>
      <c r="F167" s="28">
        <f t="shared" si="10"/>
        <v>0</v>
      </c>
    </row>
    <row r="168" spans="1:6" ht="14.25" x14ac:dyDescent="0.2">
      <c r="A168" s="29" t="s">
        <v>2133</v>
      </c>
      <c r="B168" s="50" t="s">
        <v>2818</v>
      </c>
      <c r="C168" s="15" t="s">
        <v>1800</v>
      </c>
      <c r="D168" s="39">
        <f>D167*1</f>
        <v>3.5999999999999996</v>
      </c>
      <c r="E168" s="31">
        <v>0</v>
      </c>
      <c r="F168" s="28">
        <f t="shared" si="10"/>
        <v>0</v>
      </c>
    </row>
    <row r="169" spans="1:6" ht="15" x14ac:dyDescent="0.2">
      <c r="A169" s="29"/>
      <c r="B169" s="50"/>
      <c r="C169" s="15"/>
      <c r="D169" s="39"/>
      <c r="E169" s="25"/>
      <c r="F169" s="26"/>
    </row>
    <row r="170" spans="1:6" ht="42.75" x14ac:dyDescent="0.2">
      <c r="A170" s="29" t="s">
        <v>2829</v>
      </c>
      <c r="B170" s="50" t="s">
        <v>2830</v>
      </c>
      <c r="C170" s="15"/>
      <c r="D170" s="39"/>
      <c r="E170" s="25"/>
      <c r="F170" s="26"/>
    </row>
    <row r="171" spans="1:6" ht="14.25" x14ac:dyDescent="0.2">
      <c r="A171" s="29" t="s">
        <v>1761</v>
      </c>
      <c r="B171" s="17" t="s">
        <v>2791</v>
      </c>
      <c r="C171" s="15" t="s">
        <v>1756</v>
      </c>
      <c r="D171" s="39">
        <f>1*16*0.1*1.2</f>
        <v>1.92</v>
      </c>
      <c r="E171" s="31">
        <v>0</v>
      </c>
      <c r="F171" s="28">
        <f t="shared" ref="F171:F176" si="11">ROUND(D171*E171,2)</f>
        <v>0</v>
      </c>
    </row>
    <row r="172" spans="1:6" ht="42.75" x14ac:dyDescent="0.2">
      <c r="A172" s="29" t="s">
        <v>1774</v>
      </c>
      <c r="B172" s="51" t="s">
        <v>2816</v>
      </c>
      <c r="C172" s="15" t="s">
        <v>1780</v>
      </c>
      <c r="D172" s="39">
        <f>2*0.55*16*1.2</f>
        <v>21.12</v>
      </c>
      <c r="E172" s="31">
        <v>0</v>
      </c>
      <c r="F172" s="28">
        <f t="shared" si="11"/>
        <v>0</v>
      </c>
    </row>
    <row r="173" spans="1:6" ht="57" x14ac:dyDescent="0.2">
      <c r="A173" s="29" t="s">
        <v>1873</v>
      </c>
      <c r="B173" s="50" t="s">
        <v>2817</v>
      </c>
      <c r="C173" s="15" t="s">
        <v>1756</v>
      </c>
      <c r="D173" s="39">
        <f>0.55*16*1.2</f>
        <v>10.56</v>
      </c>
      <c r="E173" s="31">
        <v>0</v>
      </c>
      <c r="F173" s="28">
        <f t="shared" si="11"/>
        <v>0</v>
      </c>
    </row>
    <row r="174" spans="1:6" ht="14.25" x14ac:dyDescent="0.2">
      <c r="A174" s="29" t="s">
        <v>1875</v>
      </c>
      <c r="B174" s="50" t="s">
        <v>2831</v>
      </c>
      <c r="C174" s="15" t="s">
        <v>1800</v>
      </c>
      <c r="D174" s="39">
        <f>10*16*1.2</f>
        <v>192</v>
      </c>
      <c r="E174" s="31">
        <v>0</v>
      </c>
      <c r="F174" s="28">
        <f t="shared" si="11"/>
        <v>0</v>
      </c>
    </row>
    <row r="175" spans="1:6" ht="14.25" x14ac:dyDescent="0.2">
      <c r="A175" s="29" t="s">
        <v>2131</v>
      </c>
      <c r="B175" s="50" t="s">
        <v>2822</v>
      </c>
      <c r="C175" s="15" t="s">
        <v>1800</v>
      </c>
      <c r="D175" s="39">
        <f>16*1.2</f>
        <v>19.2</v>
      </c>
      <c r="E175" s="31">
        <v>0</v>
      </c>
      <c r="F175" s="28">
        <f t="shared" si="11"/>
        <v>0</v>
      </c>
    </row>
    <row r="176" spans="1:6" ht="14.25" x14ac:dyDescent="0.2">
      <c r="A176" s="29" t="s">
        <v>2133</v>
      </c>
      <c r="B176" s="50" t="s">
        <v>2818</v>
      </c>
      <c r="C176" s="15" t="s">
        <v>1800</v>
      </c>
      <c r="D176" s="39">
        <f>D175</f>
        <v>19.2</v>
      </c>
      <c r="E176" s="31">
        <v>0</v>
      </c>
      <c r="F176" s="28">
        <f t="shared" si="11"/>
        <v>0</v>
      </c>
    </row>
    <row r="177" spans="1:6" ht="15" x14ac:dyDescent="0.2">
      <c r="A177" s="29"/>
      <c r="B177" s="50"/>
      <c r="C177" s="15"/>
      <c r="D177" s="39"/>
      <c r="E177" s="25"/>
      <c r="F177" s="26"/>
    </row>
    <row r="178" spans="1:6" ht="43.5" x14ac:dyDescent="0.2">
      <c r="A178" s="29" t="s">
        <v>2832</v>
      </c>
      <c r="B178" s="50" t="s">
        <v>2833</v>
      </c>
      <c r="C178" s="15"/>
      <c r="D178" s="39"/>
      <c r="E178" s="25"/>
      <c r="F178" s="26"/>
    </row>
    <row r="179" spans="1:6" ht="14.25" x14ac:dyDescent="0.2">
      <c r="A179" s="29" t="s">
        <v>1761</v>
      </c>
      <c r="B179" s="17" t="s">
        <v>2791</v>
      </c>
      <c r="C179" s="15" t="s">
        <v>1756</v>
      </c>
      <c r="D179" s="39">
        <f>1.4*4*0.1*1.2</f>
        <v>0.67199999999999993</v>
      </c>
      <c r="E179" s="31">
        <v>0</v>
      </c>
      <c r="F179" s="28">
        <f t="shared" ref="F179:F184" si="12">ROUND(D179*E179,2)</f>
        <v>0</v>
      </c>
    </row>
    <row r="180" spans="1:6" ht="42.75" x14ac:dyDescent="0.2">
      <c r="A180" s="29" t="s">
        <v>1774</v>
      </c>
      <c r="B180" s="51" t="s">
        <v>2816</v>
      </c>
      <c r="C180" s="15" t="s">
        <v>1780</v>
      </c>
      <c r="D180" s="39">
        <f>2*0.8*4*1.2</f>
        <v>7.68</v>
      </c>
      <c r="E180" s="31">
        <v>0</v>
      </c>
      <c r="F180" s="28">
        <f t="shared" si="12"/>
        <v>0</v>
      </c>
    </row>
    <row r="181" spans="1:6" ht="57" x14ac:dyDescent="0.2">
      <c r="A181" s="29" t="s">
        <v>1873</v>
      </c>
      <c r="B181" s="50" t="s">
        <v>2817</v>
      </c>
      <c r="C181" s="15" t="s">
        <v>1756</v>
      </c>
      <c r="D181" s="39">
        <f>1.2*4*1.2</f>
        <v>5.76</v>
      </c>
      <c r="E181" s="31">
        <v>0</v>
      </c>
      <c r="F181" s="28">
        <f t="shared" si="12"/>
        <v>0</v>
      </c>
    </row>
    <row r="182" spans="1:6" ht="28.5" x14ac:dyDescent="0.2">
      <c r="A182" s="29" t="s">
        <v>1875</v>
      </c>
      <c r="B182" s="50" t="s">
        <v>2834</v>
      </c>
      <c r="C182" s="15" t="s">
        <v>1800</v>
      </c>
      <c r="D182" s="39">
        <f>18*4*1.2</f>
        <v>86.399999999999991</v>
      </c>
      <c r="E182" s="31">
        <v>0</v>
      </c>
      <c r="F182" s="28">
        <f t="shared" si="12"/>
        <v>0</v>
      </c>
    </row>
    <row r="183" spans="1:6" ht="14.25" x14ac:dyDescent="0.2">
      <c r="A183" s="29" t="s">
        <v>2131</v>
      </c>
      <c r="B183" s="50" t="s">
        <v>2822</v>
      </c>
      <c r="C183" s="15" t="s">
        <v>1800</v>
      </c>
      <c r="D183" s="39">
        <f>4*1.2</f>
        <v>4.8</v>
      </c>
      <c r="E183" s="31">
        <v>0</v>
      </c>
      <c r="F183" s="28">
        <f t="shared" si="12"/>
        <v>0</v>
      </c>
    </row>
    <row r="184" spans="1:6" ht="14.25" x14ac:dyDescent="0.2">
      <c r="A184" s="29" t="s">
        <v>2133</v>
      </c>
      <c r="B184" s="50" t="s">
        <v>2818</v>
      </c>
      <c r="C184" s="15" t="s">
        <v>1800</v>
      </c>
      <c r="D184" s="39">
        <f>D183</f>
        <v>4.8</v>
      </c>
      <c r="E184" s="31">
        <v>0</v>
      </c>
      <c r="F184" s="28">
        <f t="shared" si="12"/>
        <v>0</v>
      </c>
    </row>
    <row r="185" spans="1:6" ht="15" x14ac:dyDescent="0.2">
      <c r="A185" s="29"/>
      <c r="B185" s="50"/>
      <c r="C185" s="15"/>
      <c r="D185" s="39"/>
      <c r="E185" s="25"/>
      <c r="F185" s="26"/>
    </row>
    <row r="186" spans="1:6" ht="42.75" x14ac:dyDescent="0.2">
      <c r="A186" s="29" t="s">
        <v>2835</v>
      </c>
      <c r="B186" s="50" t="s">
        <v>2836</v>
      </c>
      <c r="C186" s="15"/>
      <c r="D186" s="39"/>
      <c r="E186" s="25"/>
      <c r="F186" s="26"/>
    </row>
    <row r="187" spans="1:6" ht="14.25" x14ac:dyDescent="0.2">
      <c r="A187" s="29" t="s">
        <v>1761</v>
      </c>
      <c r="B187" s="17" t="s">
        <v>2791</v>
      </c>
      <c r="C187" s="15" t="s">
        <v>1756</v>
      </c>
      <c r="D187" s="39">
        <f>0.9*10*0.1*1.2</f>
        <v>1.08</v>
      </c>
      <c r="E187" s="31">
        <v>0</v>
      </c>
      <c r="F187" s="28">
        <f t="shared" ref="F187:F192" si="13">ROUND(D187*E187,2)</f>
        <v>0</v>
      </c>
    </row>
    <row r="188" spans="1:6" ht="42.75" x14ac:dyDescent="0.2">
      <c r="A188" s="29" t="s">
        <v>1774</v>
      </c>
      <c r="B188" s="51" t="s">
        <v>2816</v>
      </c>
      <c r="C188" s="15" t="s">
        <v>1780</v>
      </c>
      <c r="D188" s="39">
        <f>2*0.35*10*1.2</f>
        <v>8.4</v>
      </c>
      <c r="E188" s="31">
        <v>0</v>
      </c>
      <c r="F188" s="28">
        <f t="shared" si="13"/>
        <v>0</v>
      </c>
    </row>
    <row r="189" spans="1:6" ht="57" x14ac:dyDescent="0.2">
      <c r="A189" s="29" t="s">
        <v>1873</v>
      </c>
      <c r="B189" s="50" t="s">
        <v>2817</v>
      </c>
      <c r="C189" s="15" t="s">
        <v>1756</v>
      </c>
      <c r="D189" s="39">
        <f>0.3*10*1.2</f>
        <v>3.5999999999999996</v>
      </c>
      <c r="E189" s="31">
        <v>0</v>
      </c>
      <c r="F189" s="28">
        <f t="shared" si="13"/>
        <v>0</v>
      </c>
    </row>
    <row r="190" spans="1:6" ht="14.25" x14ac:dyDescent="0.2">
      <c r="A190" s="29" t="s">
        <v>1875</v>
      </c>
      <c r="B190" s="50" t="s">
        <v>2837</v>
      </c>
      <c r="C190" s="15" t="s">
        <v>1800</v>
      </c>
      <c r="D190" s="39">
        <f>3*10*1.2</f>
        <v>36</v>
      </c>
      <c r="E190" s="31">
        <v>0</v>
      </c>
      <c r="F190" s="28">
        <f t="shared" si="13"/>
        <v>0</v>
      </c>
    </row>
    <row r="191" spans="1:6" ht="14.25" x14ac:dyDescent="0.2">
      <c r="A191" s="29" t="s">
        <v>2131</v>
      </c>
      <c r="B191" s="50" t="s">
        <v>2822</v>
      </c>
      <c r="C191" s="15" t="s">
        <v>1800</v>
      </c>
      <c r="D191" s="246">
        <f>10*1.2</f>
        <v>12</v>
      </c>
      <c r="E191" s="31">
        <v>0</v>
      </c>
      <c r="F191" s="28">
        <f t="shared" si="13"/>
        <v>0</v>
      </c>
    </row>
    <row r="192" spans="1:6" ht="14.25" x14ac:dyDescent="0.2">
      <c r="A192" s="29" t="s">
        <v>2133</v>
      </c>
      <c r="B192" s="50" t="s">
        <v>2818</v>
      </c>
      <c r="C192" s="15" t="s">
        <v>1800</v>
      </c>
      <c r="D192" s="246">
        <f>D191*1</f>
        <v>12</v>
      </c>
      <c r="E192" s="31">
        <v>0</v>
      </c>
      <c r="F192" s="28">
        <f t="shared" si="13"/>
        <v>0</v>
      </c>
    </row>
    <row r="193" spans="1:8" ht="15" x14ac:dyDescent="0.2">
      <c r="A193" s="29"/>
      <c r="B193" s="50"/>
      <c r="C193" s="15"/>
      <c r="D193" s="39"/>
      <c r="E193" s="25"/>
      <c r="F193" s="26"/>
    </row>
    <row r="194" spans="1:8" ht="43.5" x14ac:dyDescent="0.2">
      <c r="A194" s="29" t="s">
        <v>2838</v>
      </c>
      <c r="B194" s="50" t="s">
        <v>2839</v>
      </c>
      <c r="C194" s="15"/>
      <c r="D194" s="39"/>
      <c r="E194" s="25"/>
      <c r="F194" s="26"/>
    </row>
    <row r="195" spans="1:8" ht="14.25" x14ac:dyDescent="0.2">
      <c r="A195" s="29" t="s">
        <v>1761</v>
      </c>
      <c r="B195" s="17" t="s">
        <v>2791</v>
      </c>
      <c r="C195" s="15" t="s">
        <v>1756</v>
      </c>
      <c r="D195" s="39">
        <f>0.3*10*0.1*1.2</f>
        <v>0.36000000000000004</v>
      </c>
      <c r="E195" s="31">
        <v>0</v>
      </c>
      <c r="F195" s="28">
        <f t="shared" ref="F195:F200" si="14">ROUND(D195*E195,2)</f>
        <v>0</v>
      </c>
    </row>
    <row r="196" spans="1:8" ht="42.75" x14ac:dyDescent="0.2">
      <c r="A196" s="29" t="s">
        <v>1774</v>
      </c>
      <c r="B196" s="51" t="s">
        <v>2816</v>
      </c>
      <c r="C196" s="15" t="s">
        <v>1780</v>
      </c>
      <c r="D196" s="39">
        <f>2*0.55*10*1.2</f>
        <v>13.2</v>
      </c>
      <c r="E196" s="31">
        <v>0</v>
      </c>
      <c r="F196" s="28">
        <f t="shared" si="14"/>
        <v>0</v>
      </c>
    </row>
    <row r="197" spans="1:8" ht="57" x14ac:dyDescent="0.2">
      <c r="A197" s="29" t="s">
        <v>1873</v>
      </c>
      <c r="B197" s="50" t="s">
        <v>2840</v>
      </c>
      <c r="C197" s="15" t="s">
        <v>1756</v>
      </c>
      <c r="D197" s="39">
        <f>0.3*10*1.2</f>
        <v>3.5999999999999996</v>
      </c>
      <c r="E197" s="31">
        <v>0</v>
      </c>
      <c r="F197" s="28">
        <f t="shared" si="14"/>
        <v>0</v>
      </c>
    </row>
    <row r="198" spans="1:8" ht="14.25" x14ac:dyDescent="0.2">
      <c r="A198" s="29" t="s">
        <v>1875</v>
      </c>
      <c r="B198" s="50" t="s">
        <v>2837</v>
      </c>
      <c r="C198" s="15" t="s">
        <v>1800</v>
      </c>
      <c r="D198" s="39">
        <f>3*10*1.2</f>
        <v>36</v>
      </c>
      <c r="E198" s="31">
        <v>0</v>
      </c>
      <c r="F198" s="28">
        <f t="shared" si="14"/>
        <v>0</v>
      </c>
    </row>
    <row r="199" spans="1:8" ht="14.25" x14ac:dyDescent="0.2">
      <c r="A199" s="29" t="s">
        <v>2131</v>
      </c>
      <c r="B199" s="50" t="s">
        <v>2822</v>
      </c>
      <c r="C199" s="15" t="s">
        <v>1800</v>
      </c>
      <c r="D199" s="39">
        <f>10*1.2</f>
        <v>12</v>
      </c>
      <c r="E199" s="31">
        <v>0</v>
      </c>
      <c r="F199" s="28">
        <f t="shared" si="14"/>
        <v>0</v>
      </c>
    </row>
    <row r="200" spans="1:8" ht="14.25" x14ac:dyDescent="0.2">
      <c r="A200" s="29" t="s">
        <v>2133</v>
      </c>
      <c r="B200" s="50" t="s">
        <v>2818</v>
      </c>
      <c r="C200" s="15" t="s">
        <v>1800</v>
      </c>
      <c r="D200" s="39">
        <f>D199</f>
        <v>12</v>
      </c>
      <c r="E200" s="31">
        <v>0</v>
      </c>
      <c r="F200" s="28">
        <f t="shared" si="14"/>
        <v>0</v>
      </c>
    </row>
    <row r="201" spans="1:8" ht="15" x14ac:dyDescent="0.2">
      <c r="A201" s="29"/>
      <c r="B201" s="50"/>
      <c r="C201" s="15"/>
      <c r="D201" s="39"/>
      <c r="E201" s="25"/>
      <c r="F201" s="26"/>
    </row>
    <row r="202" spans="1:8" ht="44.25" x14ac:dyDescent="0.2">
      <c r="A202" s="29" t="s">
        <v>2841</v>
      </c>
      <c r="B202" s="50" t="s">
        <v>2842</v>
      </c>
      <c r="C202" s="15"/>
      <c r="D202" s="39"/>
      <c r="E202" s="25"/>
      <c r="F202" s="26"/>
    </row>
    <row r="203" spans="1:8" ht="14.25" x14ac:dyDescent="0.2">
      <c r="A203" s="29" t="s">
        <v>1761</v>
      </c>
      <c r="B203" s="17" t="s">
        <v>2791</v>
      </c>
      <c r="C203" s="15" t="s">
        <v>1756</v>
      </c>
      <c r="D203" s="39">
        <f>2.2*10*0.1*1.2</f>
        <v>2.64</v>
      </c>
      <c r="E203" s="31">
        <v>0</v>
      </c>
      <c r="F203" s="28">
        <f t="shared" ref="F203:F208" si="15">ROUND(D203*E203,2)</f>
        <v>0</v>
      </c>
    </row>
    <row r="204" spans="1:8" ht="42.75" x14ac:dyDescent="0.25">
      <c r="A204" s="29" t="s">
        <v>1774</v>
      </c>
      <c r="B204" s="51" t="s">
        <v>2816</v>
      </c>
      <c r="C204" s="15" t="s">
        <v>1780</v>
      </c>
      <c r="D204" s="39">
        <f>2*0.45*10*1.2</f>
        <v>10.799999999999999</v>
      </c>
      <c r="E204" s="31">
        <v>0</v>
      </c>
      <c r="F204" s="28">
        <f t="shared" si="15"/>
        <v>0</v>
      </c>
      <c r="H204" s="258"/>
    </row>
    <row r="205" spans="1:8" ht="57" x14ac:dyDescent="0.2">
      <c r="A205" s="29" t="s">
        <v>1873</v>
      </c>
      <c r="B205" s="50" t="s">
        <v>2840</v>
      </c>
      <c r="C205" s="15" t="s">
        <v>1756</v>
      </c>
      <c r="D205" s="39">
        <f>0.1*10*1.2</f>
        <v>1.2</v>
      </c>
      <c r="E205" s="31">
        <v>0</v>
      </c>
      <c r="F205" s="28">
        <f t="shared" si="15"/>
        <v>0</v>
      </c>
    </row>
    <row r="206" spans="1:8" ht="14.25" x14ac:dyDescent="0.2">
      <c r="A206" s="29" t="s">
        <v>1875</v>
      </c>
      <c r="B206" s="50" t="s">
        <v>2837</v>
      </c>
      <c r="C206" s="15" t="s">
        <v>1800</v>
      </c>
      <c r="D206" s="39">
        <f>6*10*1.2</f>
        <v>72</v>
      </c>
      <c r="E206" s="31">
        <v>0</v>
      </c>
      <c r="F206" s="28">
        <f t="shared" si="15"/>
        <v>0</v>
      </c>
    </row>
    <row r="207" spans="1:8" ht="14.25" x14ac:dyDescent="0.2">
      <c r="A207" s="29" t="s">
        <v>2131</v>
      </c>
      <c r="B207" s="50" t="s">
        <v>2843</v>
      </c>
      <c r="C207" s="15" t="s">
        <v>1800</v>
      </c>
      <c r="D207" s="39">
        <f>5*10*1.2</f>
        <v>60</v>
      </c>
      <c r="E207" s="31">
        <v>0</v>
      </c>
      <c r="F207" s="28">
        <f t="shared" si="15"/>
        <v>0</v>
      </c>
    </row>
    <row r="208" spans="1:8" ht="14.25" x14ac:dyDescent="0.2">
      <c r="A208" s="29" t="s">
        <v>2133</v>
      </c>
      <c r="B208" s="50" t="s">
        <v>2844</v>
      </c>
      <c r="C208" s="15" t="s">
        <v>1800</v>
      </c>
      <c r="D208" s="39">
        <f>2*10*1.2</f>
        <v>24</v>
      </c>
      <c r="E208" s="31">
        <v>0</v>
      </c>
      <c r="F208" s="28">
        <f t="shared" si="15"/>
        <v>0</v>
      </c>
    </row>
    <row r="209" spans="1:6" ht="15" x14ac:dyDescent="0.2">
      <c r="A209" s="29"/>
      <c r="B209" s="50"/>
      <c r="C209" s="15"/>
      <c r="D209" s="39"/>
      <c r="E209" s="25"/>
      <c r="F209" s="26"/>
    </row>
    <row r="210" spans="1:6" ht="43.5" x14ac:dyDescent="0.2">
      <c r="A210" s="29" t="s">
        <v>2845</v>
      </c>
      <c r="B210" s="50" t="s">
        <v>2846</v>
      </c>
      <c r="C210" s="15"/>
      <c r="D210" s="39"/>
      <c r="E210" s="25"/>
      <c r="F210" s="26"/>
    </row>
    <row r="211" spans="1:6" ht="14.25" x14ac:dyDescent="0.2">
      <c r="A211" s="29" t="s">
        <v>1761</v>
      </c>
      <c r="B211" s="17" t="s">
        <v>2791</v>
      </c>
      <c r="C211" s="15" t="s">
        <v>1756</v>
      </c>
      <c r="D211" s="39">
        <f>0.3*8*0.1*1.2</f>
        <v>0.28799999999999998</v>
      </c>
      <c r="E211" s="31">
        <v>0</v>
      </c>
      <c r="F211" s="28">
        <f>ROUND(D211*E211,2)</f>
        <v>0</v>
      </c>
    </row>
    <row r="212" spans="1:6" ht="42.75" x14ac:dyDescent="0.2">
      <c r="A212" s="29" t="s">
        <v>1774</v>
      </c>
      <c r="B212" s="51" t="s">
        <v>2816</v>
      </c>
      <c r="C212" s="15" t="s">
        <v>1780</v>
      </c>
      <c r="D212" s="39">
        <f>2*0.35*8*1.2</f>
        <v>6.72</v>
      </c>
      <c r="E212" s="31">
        <v>0</v>
      </c>
      <c r="F212" s="28">
        <f>ROUND(D212*E212,2)</f>
        <v>0</v>
      </c>
    </row>
    <row r="213" spans="1:6" ht="57" x14ac:dyDescent="0.2">
      <c r="A213" s="29" t="s">
        <v>1873</v>
      </c>
      <c r="B213" s="50" t="s">
        <v>2840</v>
      </c>
      <c r="C213" s="15" t="s">
        <v>1756</v>
      </c>
      <c r="D213" s="39">
        <f>0.1*8*1.2</f>
        <v>0.96</v>
      </c>
      <c r="E213" s="31">
        <v>0</v>
      </c>
      <c r="F213" s="28">
        <f>ROUND(D213*E213,2)</f>
        <v>0</v>
      </c>
    </row>
    <row r="214" spans="1:6" ht="14.25" x14ac:dyDescent="0.2">
      <c r="A214" s="29" t="s">
        <v>1875</v>
      </c>
      <c r="B214" s="50" t="s">
        <v>2847</v>
      </c>
      <c r="C214" s="15" t="s">
        <v>1800</v>
      </c>
      <c r="D214" s="39">
        <f>20</f>
        <v>20</v>
      </c>
      <c r="E214" s="31">
        <v>0</v>
      </c>
      <c r="F214" s="28">
        <f>ROUND(D214*E214,2)</f>
        <v>0</v>
      </c>
    </row>
    <row r="215" spans="1:6" ht="14.25" x14ac:dyDescent="0.2">
      <c r="A215" s="29" t="s">
        <v>2131</v>
      </c>
      <c r="B215" s="50" t="s">
        <v>2818</v>
      </c>
      <c r="C215" s="15" t="s">
        <v>1800</v>
      </c>
      <c r="D215" s="39">
        <f>8*1.2</f>
        <v>9.6</v>
      </c>
      <c r="E215" s="31">
        <v>0</v>
      </c>
      <c r="F215" s="28">
        <f>ROUND(D215*E215,2)</f>
        <v>0</v>
      </c>
    </row>
    <row r="216" spans="1:6" ht="15" x14ac:dyDescent="0.2">
      <c r="A216" s="29"/>
      <c r="B216" s="50"/>
      <c r="C216" s="15"/>
      <c r="D216" s="39"/>
      <c r="E216" s="25"/>
      <c r="F216" s="26"/>
    </row>
    <row r="217" spans="1:6" ht="57.75" x14ac:dyDescent="0.2">
      <c r="A217" s="29" t="s">
        <v>2848</v>
      </c>
      <c r="B217" s="50" t="s">
        <v>2849</v>
      </c>
      <c r="C217" s="15"/>
      <c r="D217" s="39"/>
      <c r="E217" s="25"/>
      <c r="F217" s="26"/>
    </row>
    <row r="218" spans="1:6" ht="14.25" x14ac:dyDescent="0.2">
      <c r="A218" s="29" t="s">
        <v>1761</v>
      </c>
      <c r="B218" s="17" t="s">
        <v>2791</v>
      </c>
      <c r="C218" s="15" t="s">
        <v>1756</v>
      </c>
      <c r="D218" s="39">
        <f>0.6*12*0.1*1.2</f>
        <v>0.86399999999999999</v>
      </c>
      <c r="E218" s="31">
        <v>0</v>
      </c>
      <c r="F218" s="28">
        <f t="shared" ref="F218:F223" si="16">ROUND(D218*E218,2)</f>
        <v>0</v>
      </c>
    </row>
    <row r="219" spans="1:6" ht="42.75" x14ac:dyDescent="0.2">
      <c r="A219" s="29" t="s">
        <v>1774</v>
      </c>
      <c r="B219" s="51" t="s">
        <v>2816</v>
      </c>
      <c r="C219" s="15" t="s">
        <v>1780</v>
      </c>
      <c r="D219" s="39">
        <f>2*0.45*12*1.2</f>
        <v>12.96</v>
      </c>
      <c r="E219" s="31">
        <v>0</v>
      </c>
      <c r="F219" s="28">
        <f t="shared" si="16"/>
        <v>0</v>
      </c>
    </row>
    <row r="220" spans="1:6" ht="57" x14ac:dyDescent="0.2">
      <c r="A220" s="29" t="s">
        <v>1873</v>
      </c>
      <c r="B220" s="50" t="s">
        <v>2840</v>
      </c>
      <c r="C220" s="15" t="s">
        <v>1756</v>
      </c>
      <c r="D220" s="39">
        <f>0.3*12*1.2</f>
        <v>4.3199999999999994</v>
      </c>
      <c r="E220" s="31">
        <v>0</v>
      </c>
      <c r="F220" s="28">
        <f t="shared" si="16"/>
        <v>0</v>
      </c>
    </row>
    <row r="221" spans="1:6" ht="14.25" x14ac:dyDescent="0.2">
      <c r="A221" s="29" t="s">
        <v>1875</v>
      </c>
      <c r="B221" s="50" t="s">
        <v>2850</v>
      </c>
      <c r="C221" s="15" t="s">
        <v>1800</v>
      </c>
      <c r="D221" s="39">
        <f>2*12*1.2</f>
        <v>28.799999999999997</v>
      </c>
      <c r="E221" s="31">
        <v>0</v>
      </c>
      <c r="F221" s="28">
        <f t="shared" si="16"/>
        <v>0</v>
      </c>
    </row>
    <row r="222" spans="1:6" ht="14.25" x14ac:dyDescent="0.2">
      <c r="A222" s="29" t="s">
        <v>2131</v>
      </c>
      <c r="B222" s="50" t="s">
        <v>2822</v>
      </c>
      <c r="C222" s="15" t="s">
        <v>1800</v>
      </c>
      <c r="D222" s="39">
        <f>12*1.2</f>
        <v>14.399999999999999</v>
      </c>
      <c r="E222" s="31">
        <v>0</v>
      </c>
      <c r="F222" s="28">
        <f t="shared" si="16"/>
        <v>0</v>
      </c>
    </row>
    <row r="223" spans="1:6" ht="14.25" x14ac:dyDescent="0.2">
      <c r="A223" s="29" t="s">
        <v>2133</v>
      </c>
      <c r="B223" s="50" t="s">
        <v>2818</v>
      </c>
      <c r="C223" s="15" t="s">
        <v>1800</v>
      </c>
      <c r="D223" s="39">
        <f>D222</f>
        <v>14.399999999999999</v>
      </c>
      <c r="E223" s="31">
        <v>0</v>
      </c>
      <c r="F223" s="28">
        <f t="shared" si="16"/>
        <v>0</v>
      </c>
    </row>
    <row r="224" spans="1:6" ht="15" x14ac:dyDescent="0.2">
      <c r="A224" s="29"/>
      <c r="B224" s="50"/>
      <c r="C224" s="15"/>
      <c r="D224" s="39"/>
      <c r="E224" s="25"/>
      <c r="F224" s="26"/>
    </row>
    <row r="225" spans="1:7" ht="15" x14ac:dyDescent="0.2">
      <c r="A225" s="29"/>
      <c r="B225" s="52" t="s">
        <v>2701</v>
      </c>
      <c r="C225" s="15"/>
      <c r="D225" s="39"/>
      <c r="E225" s="25"/>
      <c r="F225" s="26"/>
    </row>
    <row r="226" spans="1:7" ht="57" x14ac:dyDescent="0.2">
      <c r="A226" s="29" t="s">
        <v>2851</v>
      </c>
      <c r="B226" s="50" t="s">
        <v>2852</v>
      </c>
      <c r="C226" s="15" t="s">
        <v>1826</v>
      </c>
      <c r="D226" s="39">
        <v>10</v>
      </c>
      <c r="E226" s="31">
        <v>0</v>
      </c>
      <c r="F226" s="28">
        <f>ROUND(D226*E226,2)</f>
        <v>0</v>
      </c>
    </row>
    <row r="227" spans="1:7" ht="14.25" x14ac:dyDescent="0.2">
      <c r="A227" s="29" t="s">
        <v>2853</v>
      </c>
      <c r="B227" s="50" t="s">
        <v>2854</v>
      </c>
      <c r="C227" s="15" t="s">
        <v>1826</v>
      </c>
      <c r="D227" s="39">
        <v>3</v>
      </c>
      <c r="E227" s="31">
        <v>0</v>
      </c>
      <c r="F227" s="28">
        <f>ROUND(D227*E227,2)</f>
        <v>0</v>
      </c>
    </row>
    <row r="228" spans="1:7" ht="15" thickBot="1" x14ac:dyDescent="0.25">
      <c r="A228" s="29" t="s">
        <v>2855</v>
      </c>
      <c r="B228" s="50" t="s">
        <v>2856</v>
      </c>
      <c r="C228" s="15" t="s">
        <v>1765</v>
      </c>
      <c r="D228" s="39">
        <v>10</v>
      </c>
      <c r="E228" s="31">
        <v>0</v>
      </c>
      <c r="F228" s="28">
        <f>ROUND(D228*E228,2)</f>
        <v>0</v>
      </c>
    </row>
    <row r="229" spans="1:7" ht="33.75" customHeight="1" thickBot="1" x14ac:dyDescent="0.3">
      <c r="A229" s="34"/>
      <c r="B229" s="33"/>
      <c r="C229" s="336" t="s">
        <v>2857</v>
      </c>
      <c r="D229" s="337"/>
      <c r="E229" s="338"/>
      <c r="F229" s="18">
        <f>SUM(F141:F228)</f>
        <v>0</v>
      </c>
      <c r="G229" s="8"/>
    </row>
    <row r="230" spans="1:7" ht="15.75" thickBot="1" x14ac:dyDescent="0.25">
      <c r="A230" s="57"/>
      <c r="B230" s="40"/>
      <c r="C230" s="23"/>
      <c r="D230" s="251"/>
      <c r="E230" s="25"/>
      <c r="F230" s="26"/>
    </row>
    <row r="231" spans="1:7" ht="33.75" customHeight="1" thickBot="1" x14ac:dyDescent="0.3">
      <c r="A231" s="267"/>
      <c r="B231" s="269"/>
      <c r="C231" s="363" t="s">
        <v>2858</v>
      </c>
      <c r="D231" s="364"/>
      <c r="E231" s="365"/>
      <c r="F231" s="18">
        <f>F25+F132+F229</f>
        <v>0</v>
      </c>
      <c r="G231" s="8"/>
    </row>
    <row r="232" spans="1:7" ht="18" x14ac:dyDescent="0.25">
      <c r="A232" s="182"/>
      <c r="B232" s="10"/>
      <c r="C232" s="184"/>
      <c r="D232" s="259"/>
      <c r="E232" s="186"/>
      <c r="F232" s="187"/>
      <c r="G232" s="8"/>
    </row>
    <row r="233" spans="1:7" ht="18" x14ac:dyDescent="0.25">
      <c r="A233" s="182"/>
      <c r="B233" s="10"/>
      <c r="C233" s="184"/>
      <c r="D233" s="259"/>
      <c r="E233" s="186"/>
      <c r="F233" s="187"/>
      <c r="G233" s="8"/>
    </row>
    <row r="234" spans="1:7" ht="18" x14ac:dyDescent="0.25">
      <c r="A234" s="182"/>
      <c r="B234" s="10"/>
      <c r="C234" s="184"/>
      <c r="D234" s="259"/>
      <c r="E234" s="186"/>
      <c r="F234" s="187"/>
      <c r="G234" s="8"/>
    </row>
    <row r="235" spans="1:7" x14ac:dyDescent="0.2">
      <c r="A235" s="275"/>
      <c r="B235" s="78"/>
      <c r="C235" s="189"/>
      <c r="D235" s="259"/>
      <c r="E235" s="186"/>
      <c r="F235" s="187"/>
    </row>
    <row r="236" spans="1:7" x14ac:dyDescent="0.2">
      <c r="A236" s="275"/>
      <c r="B236" s="78"/>
      <c r="C236" s="189"/>
      <c r="D236" s="259"/>
      <c r="E236" s="186"/>
      <c r="F236" s="187"/>
    </row>
    <row r="237" spans="1:7" x14ac:dyDescent="0.2">
      <c r="A237" s="275"/>
      <c r="B237" s="78"/>
      <c r="C237" s="189"/>
      <c r="D237" s="259"/>
      <c r="E237" s="186"/>
      <c r="F237" s="187"/>
    </row>
    <row r="238" spans="1:7" x14ac:dyDescent="0.2">
      <c r="A238" s="275"/>
      <c r="B238" s="78"/>
      <c r="C238" s="189"/>
      <c r="D238" s="259"/>
      <c r="E238" s="186"/>
      <c r="F238" s="187"/>
    </row>
    <row r="239" spans="1:7" x14ac:dyDescent="0.2">
      <c r="A239" s="275"/>
      <c r="B239" s="78"/>
      <c r="C239" s="189"/>
      <c r="D239" s="259"/>
      <c r="E239" s="186"/>
      <c r="F239" s="187"/>
    </row>
    <row r="240" spans="1:7" x14ac:dyDescent="0.2">
      <c r="A240" s="275"/>
      <c r="B240" s="78"/>
      <c r="C240" s="189"/>
      <c r="D240" s="259"/>
      <c r="E240" s="186"/>
      <c r="F240" s="187"/>
    </row>
    <row r="241" spans="1:6" x14ac:dyDescent="0.2">
      <c r="A241" s="275"/>
      <c r="B241" s="78"/>
      <c r="C241" s="189"/>
      <c r="D241" s="259"/>
      <c r="E241" s="186"/>
      <c r="F241" s="187"/>
    </row>
    <row r="242" spans="1:6" x14ac:dyDescent="0.2">
      <c r="A242" s="275"/>
      <c r="B242" s="78"/>
      <c r="C242" s="189"/>
      <c r="D242" s="259"/>
      <c r="E242" s="186"/>
      <c r="F242" s="187"/>
    </row>
    <row r="243" spans="1:6" x14ac:dyDescent="0.2">
      <c r="A243" s="275"/>
      <c r="B243" s="78"/>
      <c r="C243" s="189"/>
      <c r="D243" s="259"/>
      <c r="E243" s="186"/>
      <c r="F243" s="187"/>
    </row>
    <row r="244" spans="1:6" x14ac:dyDescent="0.2">
      <c r="A244" s="275"/>
      <c r="B244" s="78"/>
      <c r="C244" s="189"/>
      <c r="D244" s="259"/>
      <c r="E244" s="186"/>
      <c r="F244" s="187"/>
    </row>
    <row r="245" spans="1:6" x14ac:dyDescent="0.2">
      <c r="A245" s="275"/>
      <c r="B245" s="78"/>
      <c r="C245" s="189"/>
      <c r="D245" s="259"/>
      <c r="E245" s="186"/>
      <c r="F245" s="187"/>
    </row>
    <row r="246" spans="1:6" x14ac:dyDescent="0.2">
      <c r="A246" s="275"/>
      <c r="B246" s="78"/>
      <c r="C246" s="189"/>
      <c r="D246" s="259"/>
      <c r="E246" s="186"/>
      <c r="F246" s="187"/>
    </row>
    <row r="247" spans="1:6" x14ac:dyDescent="0.2">
      <c r="A247" s="275"/>
      <c r="B247" s="78"/>
      <c r="C247" s="189"/>
      <c r="D247" s="259"/>
      <c r="E247" s="186"/>
      <c r="F247" s="187"/>
    </row>
    <row r="248" spans="1:6" x14ac:dyDescent="0.2">
      <c r="A248" s="275"/>
      <c r="B248" s="78"/>
      <c r="C248" s="189"/>
      <c r="D248" s="259"/>
      <c r="E248" s="186"/>
      <c r="F248" s="187"/>
    </row>
    <row r="249" spans="1:6" x14ac:dyDescent="0.2">
      <c r="A249" s="275"/>
      <c r="B249" s="78"/>
      <c r="C249" s="189"/>
      <c r="D249" s="259"/>
      <c r="E249" s="186"/>
      <c r="F249" s="187"/>
    </row>
    <row r="250" spans="1:6" x14ac:dyDescent="0.2">
      <c r="A250" s="275"/>
      <c r="B250" s="78"/>
      <c r="C250" s="189"/>
      <c r="D250" s="259"/>
      <c r="E250" s="186"/>
      <c r="F250" s="187"/>
    </row>
    <row r="251" spans="1:6" x14ac:dyDescent="0.2">
      <c r="A251" s="275"/>
      <c r="B251" s="78"/>
      <c r="C251" s="189"/>
      <c r="D251" s="259"/>
      <c r="E251" s="186"/>
      <c r="F251" s="187"/>
    </row>
    <row r="252" spans="1:6" x14ac:dyDescent="0.2">
      <c r="A252" s="275"/>
      <c r="B252" s="78"/>
      <c r="C252" s="189"/>
      <c r="D252" s="259"/>
      <c r="E252" s="186"/>
      <c r="F252" s="187"/>
    </row>
    <row r="253" spans="1:6" x14ac:dyDescent="0.2">
      <c r="A253" s="275"/>
      <c r="B253" s="78"/>
      <c r="C253" s="189"/>
      <c r="D253" s="259"/>
      <c r="E253" s="186"/>
      <c r="F253" s="187"/>
    </row>
    <row r="254" spans="1:6" x14ac:dyDescent="0.2">
      <c r="A254" s="275"/>
      <c r="B254" s="78"/>
      <c r="C254" s="189"/>
      <c r="D254" s="259"/>
      <c r="E254" s="186"/>
      <c r="F254" s="187"/>
    </row>
    <row r="255" spans="1:6" x14ac:dyDescent="0.2">
      <c r="A255" s="275"/>
      <c r="B255" s="78"/>
      <c r="C255" s="189"/>
      <c r="D255" s="259"/>
      <c r="E255" s="186"/>
      <c r="F255" s="187"/>
    </row>
    <row r="256" spans="1:6" x14ac:dyDescent="0.2">
      <c r="A256" s="275"/>
      <c r="B256" s="78"/>
      <c r="C256" s="189"/>
      <c r="D256" s="259"/>
      <c r="E256" s="186"/>
      <c r="F256" s="187"/>
    </row>
    <row r="257" spans="1:6" x14ac:dyDescent="0.2">
      <c r="A257" s="275"/>
      <c r="B257" s="78"/>
      <c r="C257" s="189"/>
      <c r="D257" s="259"/>
      <c r="E257" s="186"/>
      <c r="F257" s="187"/>
    </row>
    <row r="258" spans="1:6" x14ac:dyDescent="0.2">
      <c r="A258" s="275"/>
      <c r="B258" s="78"/>
      <c r="C258" s="189"/>
      <c r="D258" s="259"/>
      <c r="E258" s="186"/>
      <c r="F258" s="187"/>
    </row>
    <row r="259" spans="1:6" x14ac:dyDescent="0.2">
      <c r="A259" s="275"/>
      <c r="B259" s="78"/>
      <c r="C259" s="189"/>
      <c r="D259" s="259"/>
      <c r="E259" s="186"/>
      <c r="F259" s="187"/>
    </row>
    <row r="260" spans="1:6" x14ac:dyDescent="0.2">
      <c r="A260" s="275"/>
      <c r="B260" s="78"/>
      <c r="C260" s="189"/>
      <c r="D260" s="259"/>
      <c r="E260" s="186"/>
      <c r="F260" s="187"/>
    </row>
    <row r="261" spans="1:6" x14ac:dyDescent="0.2">
      <c r="A261" s="275"/>
      <c r="B261" s="78"/>
      <c r="C261" s="189"/>
      <c r="D261" s="259"/>
      <c r="E261" s="186"/>
      <c r="F261" s="187"/>
    </row>
    <row r="262" spans="1:6" x14ac:dyDescent="0.2">
      <c r="A262" s="275"/>
      <c r="B262" s="78"/>
      <c r="C262" s="189"/>
      <c r="D262" s="259"/>
      <c r="E262" s="186"/>
      <c r="F262" s="187"/>
    </row>
    <row r="263" spans="1:6" x14ac:dyDescent="0.2">
      <c r="A263" s="275"/>
      <c r="B263" s="78"/>
      <c r="C263" s="189"/>
      <c r="D263" s="259"/>
      <c r="E263" s="186"/>
      <c r="F263" s="187"/>
    </row>
    <row r="264" spans="1:6" x14ac:dyDescent="0.2">
      <c r="A264" s="275"/>
      <c r="B264" s="78"/>
      <c r="C264" s="189"/>
      <c r="D264" s="259"/>
      <c r="E264" s="186"/>
      <c r="F264" s="187"/>
    </row>
    <row r="265" spans="1:6" x14ac:dyDescent="0.2">
      <c r="A265" s="275"/>
      <c r="B265" s="78"/>
      <c r="C265" s="189"/>
      <c r="D265" s="259"/>
      <c r="E265" s="186"/>
      <c r="F265" s="187"/>
    </row>
    <row r="266" spans="1:6" x14ac:dyDescent="0.2">
      <c r="A266" s="275"/>
      <c r="B266" s="78"/>
      <c r="C266" s="189"/>
      <c r="D266" s="259"/>
      <c r="E266" s="186"/>
      <c r="F266" s="187"/>
    </row>
    <row r="267" spans="1:6" x14ac:dyDescent="0.2">
      <c r="A267" s="275"/>
      <c r="B267" s="78"/>
      <c r="C267" s="189"/>
      <c r="D267" s="259"/>
      <c r="E267" s="186"/>
      <c r="F267" s="187"/>
    </row>
    <row r="268" spans="1:6" x14ac:dyDescent="0.2">
      <c r="A268" s="275"/>
      <c r="B268" s="78"/>
      <c r="C268" s="189"/>
      <c r="D268" s="259"/>
      <c r="E268" s="186"/>
      <c r="F268" s="187"/>
    </row>
    <row r="269" spans="1:6" x14ac:dyDescent="0.2">
      <c r="A269" s="275"/>
      <c r="B269" s="78"/>
      <c r="C269" s="189"/>
      <c r="D269" s="259"/>
      <c r="E269" s="186"/>
      <c r="F269" s="187"/>
    </row>
    <row r="270" spans="1:6" x14ac:dyDescent="0.2">
      <c r="A270" s="275"/>
      <c r="B270" s="78"/>
      <c r="C270" s="189"/>
      <c r="D270" s="259"/>
      <c r="E270" s="186"/>
      <c r="F270" s="187"/>
    </row>
    <row r="271" spans="1:6" x14ac:dyDescent="0.2">
      <c r="A271" s="275"/>
      <c r="B271" s="78"/>
      <c r="C271" s="189"/>
      <c r="D271" s="259"/>
      <c r="E271" s="186"/>
      <c r="F271" s="187"/>
    </row>
    <row r="272" spans="1:6" x14ac:dyDescent="0.2">
      <c r="A272" s="275"/>
      <c r="B272" s="78"/>
      <c r="C272" s="189"/>
      <c r="D272" s="259"/>
      <c r="E272" s="186"/>
      <c r="F272" s="187"/>
    </row>
    <row r="273" spans="1:6" x14ac:dyDescent="0.2">
      <c r="A273" s="275"/>
      <c r="B273" s="78"/>
      <c r="C273" s="189"/>
      <c r="D273" s="259"/>
      <c r="E273" s="186"/>
      <c r="F273" s="187"/>
    </row>
    <row r="274" spans="1:6" x14ac:dyDescent="0.2">
      <c r="A274" s="275"/>
      <c r="B274" s="78"/>
      <c r="C274" s="189"/>
      <c r="D274" s="259"/>
      <c r="E274" s="186"/>
      <c r="F274" s="187"/>
    </row>
    <row r="275" spans="1:6" x14ac:dyDescent="0.2">
      <c r="A275" s="275"/>
      <c r="B275" s="78"/>
      <c r="C275" s="189"/>
      <c r="D275" s="259"/>
      <c r="E275" s="186"/>
      <c r="F275" s="187"/>
    </row>
    <row r="276" spans="1:6" x14ac:dyDescent="0.2">
      <c r="A276" s="275"/>
      <c r="B276" s="78"/>
      <c r="C276" s="189"/>
      <c r="D276" s="259"/>
      <c r="E276" s="186"/>
      <c r="F276" s="187"/>
    </row>
    <row r="277" spans="1:6" x14ac:dyDescent="0.2">
      <c r="A277" s="275"/>
      <c r="B277" s="78"/>
      <c r="C277" s="189"/>
      <c r="D277" s="259"/>
      <c r="E277" s="186"/>
      <c r="F277" s="187"/>
    </row>
    <row r="278" spans="1:6" x14ac:dyDescent="0.2">
      <c r="A278" s="275"/>
      <c r="B278" s="78"/>
      <c r="C278" s="189"/>
      <c r="D278" s="259"/>
      <c r="E278" s="186"/>
      <c r="F278" s="187"/>
    </row>
    <row r="279" spans="1:6" x14ac:dyDescent="0.2">
      <c r="A279" s="275"/>
      <c r="B279" s="78"/>
      <c r="C279" s="189"/>
      <c r="D279" s="259"/>
      <c r="E279" s="186"/>
      <c r="F279" s="187"/>
    </row>
    <row r="280" spans="1:6" x14ac:dyDescent="0.2">
      <c r="A280" s="275"/>
      <c r="B280" s="78"/>
      <c r="C280" s="189"/>
      <c r="D280" s="259"/>
      <c r="E280" s="186"/>
      <c r="F280" s="187"/>
    </row>
    <row r="281" spans="1:6" x14ac:dyDescent="0.2">
      <c r="A281" s="275"/>
      <c r="B281" s="78"/>
      <c r="C281" s="189"/>
      <c r="D281" s="259"/>
      <c r="E281" s="186"/>
      <c r="F281" s="187"/>
    </row>
    <row r="282" spans="1:6" x14ac:dyDescent="0.2">
      <c r="A282" s="275"/>
      <c r="B282" s="78"/>
      <c r="C282" s="189"/>
      <c r="D282" s="259"/>
      <c r="E282" s="186"/>
      <c r="F282" s="187"/>
    </row>
    <row r="283" spans="1:6" x14ac:dyDescent="0.2">
      <c r="A283" s="275"/>
      <c r="B283" s="78"/>
      <c r="C283" s="189"/>
      <c r="D283" s="259"/>
      <c r="E283" s="186"/>
      <c r="F283" s="187"/>
    </row>
    <row r="284" spans="1:6" x14ac:dyDescent="0.2">
      <c r="A284" s="275"/>
      <c r="B284" s="78"/>
      <c r="C284" s="189"/>
      <c r="D284" s="259"/>
      <c r="E284" s="186"/>
      <c r="F284" s="187"/>
    </row>
    <row r="285" spans="1:6" x14ac:dyDescent="0.2">
      <c r="A285" s="275"/>
      <c r="B285" s="78"/>
      <c r="C285" s="189"/>
      <c r="D285" s="259"/>
      <c r="E285" s="186"/>
      <c r="F285" s="187"/>
    </row>
    <row r="286" spans="1:6" x14ac:dyDescent="0.2">
      <c r="A286" s="275"/>
      <c r="B286" s="78"/>
      <c r="C286" s="189"/>
      <c r="D286" s="259"/>
      <c r="E286" s="186"/>
      <c r="F286" s="187"/>
    </row>
    <row r="287" spans="1:6" x14ac:dyDescent="0.2">
      <c r="A287" s="275"/>
      <c r="B287" s="78"/>
      <c r="C287" s="189"/>
      <c r="D287" s="259"/>
      <c r="E287" s="186"/>
      <c r="F287" s="187"/>
    </row>
    <row r="288" spans="1:6" x14ac:dyDescent="0.2">
      <c r="A288" s="275"/>
      <c r="B288" s="78"/>
      <c r="C288" s="189"/>
      <c r="D288" s="259"/>
      <c r="E288" s="186"/>
      <c r="F288" s="187"/>
    </row>
    <row r="289" spans="1:6" x14ac:dyDescent="0.2">
      <c r="A289" s="275"/>
      <c r="B289" s="78"/>
      <c r="C289" s="189"/>
      <c r="D289" s="259"/>
      <c r="E289" s="186"/>
      <c r="F289" s="187"/>
    </row>
    <row r="290" spans="1:6" x14ac:dyDescent="0.2">
      <c r="A290" s="275"/>
      <c r="B290" s="78"/>
      <c r="C290" s="189"/>
      <c r="D290" s="259"/>
      <c r="E290" s="186"/>
      <c r="F290" s="187"/>
    </row>
    <row r="291" spans="1:6" x14ac:dyDescent="0.2">
      <c r="A291" s="275"/>
      <c r="B291" s="78"/>
      <c r="C291" s="189"/>
      <c r="D291" s="259"/>
      <c r="E291" s="186"/>
      <c r="F291" s="187"/>
    </row>
    <row r="292" spans="1:6" x14ac:dyDescent="0.2">
      <c r="A292" s="275"/>
      <c r="B292" s="78"/>
      <c r="C292" s="189"/>
      <c r="D292" s="259"/>
      <c r="E292" s="186"/>
      <c r="F292" s="187"/>
    </row>
    <row r="293" spans="1:6" x14ac:dyDescent="0.2">
      <c r="A293" s="275"/>
      <c r="B293" s="78"/>
      <c r="C293" s="189"/>
      <c r="D293" s="259"/>
      <c r="E293" s="186"/>
      <c r="F293" s="187"/>
    </row>
    <row r="294" spans="1:6" x14ac:dyDescent="0.2">
      <c r="A294" s="275"/>
      <c r="B294" s="78"/>
      <c r="C294" s="189"/>
      <c r="D294" s="259"/>
      <c r="E294" s="186"/>
      <c r="F294" s="187"/>
    </row>
    <row r="295" spans="1:6" x14ac:dyDescent="0.2">
      <c r="A295" s="275"/>
      <c r="B295" s="78"/>
      <c r="C295" s="189"/>
      <c r="D295" s="259"/>
      <c r="E295" s="186"/>
      <c r="F295" s="187"/>
    </row>
    <row r="296" spans="1:6" x14ac:dyDescent="0.2">
      <c r="A296" s="275"/>
      <c r="B296" s="78"/>
      <c r="C296" s="189"/>
      <c r="D296" s="259"/>
      <c r="E296" s="186"/>
      <c r="F296" s="187"/>
    </row>
    <row r="297" spans="1:6" x14ac:dyDescent="0.2">
      <c r="A297" s="275"/>
      <c r="B297" s="78"/>
      <c r="C297" s="189"/>
      <c r="D297" s="259"/>
      <c r="E297" s="186"/>
      <c r="F297" s="187"/>
    </row>
    <row r="298" spans="1:6" x14ac:dyDescent="0.2">
      <c r="A298" s="275"/>
      <c r="B298" s="78"/>
      <c r="C298" s="189"/>
      <c r="D298" s="259"/>
      <c r="E298" s="186"/>
      <c r="F298" s="187"/>
    </row>
    <row r="299" spans="1:6" x14ac:dyDescent="0.2">
      <c r="A299" s="275"/>
      <c r="B299" s="78"/>
      <c r="C299" s="189"/>
      <c r="D299" s="259"/>
      <c r="E299" s="186"/>
      <c r="F299" s="187"/>
    </row>
    <row r="300" spans="1:6" x14ac:dyDescent="0.2">
      <c r="A300" s="275"/>
      <c r="B300" s="78"/>
      <c r="C300" s="189"/>
      <c r="D300" s="259"/>
      <c r="E300" s="186"/>
      <c r="F300" s="187"/>
    </row>
    <row r="301" spans="1:6" x14ac:dyDescent="0.2">
      <c r="A301" s="275"/>
      <c r="B301" s="78"/>
      <c r="C301" s="189"/>
      <c r="D301" s="259"/>
      <c r="E301" s="186"/>
      <c r="F301" s="187"/>
    </row>
    <row r="302" spans="1:6" x14ac:dyDescent="0.2">
      <c r="A302" s="275"/>
      <c r="B302" s="78"/>
      <c r="C302" s="189"/>
      <c r="D302" s="259"/>
      <c r="E302" s="186"/>
      <c r="F302" s="187"/>
    </row>
    <row r="303" spans="1:6" x14ac:dyDescent="0.2">
      <c r="A303" s="275"/>
      <c r="B303" s="78"/>
      <c r="C303" s="189"/>
      <c r="D303" s="259"/>
      <c r="E303" s="186"/>
      <c r="F303" s="187"/>
    </row>
    <row r="304" spans="1:6" x14ac:dyDescent="0.2">
      <c r="A304" s="275"/>
      <c r="B304" s="78"/>
      <c r="C304" s="189"/>
      <c r="D304" s="259"/>
      <c r="E304" s="186"/>
      <c r="F304" s="187"/>
    </row>
    <row r="305" spans="1:6" x14ac:dyDescent="0.2">
      <c r="A305" s="275"/>
      <c r="B305" s="78"/>
      <c r="C305" s="189"/>
      <c r="D305" s="259"/>
      <c r="E305" s="186"/>
      <c r="F305" s="187"/>
    </row>
    <row r="306" spans="1:6" x14ac:dyDescent="0.2">
      <c r="A306" s="275"/>
      <c r="B306" s="78"/>
      <c r="C306" s="189"/>
      <c r="D306" s="259"/>
      <c r="E306" s="186"/>
      <c r="F306" s="187"/>
    </row>
    <row r="307" spans="1:6" x14ac:dyDescent="0.2">
      <c r="A307" s="275"/>
      <c r="B307" s="78"/>
      <c r="C307" s="189"/>
      <c r="D307" s="259"/>
      <c r="E307" s="186"/>
      <c r="F307" s="187"/>
    </row>
    <row r="308" spans="1:6" x14ac:dyDescent="0.2">
      <c r="A308" s="275"/>
      <c r="B308" s="78"/>
      <c r="C308" s="189"/>
      <c r="D308" s="259"/>
      <c r="E308" s="186"/>
      <c r="F308" s="187"/>
    </row>
    <row r="309" spans="1:6" x14ac:dyDescent="0.2">
      <c r="A309" s="275"/>
      <c r="B309" s="78"/>
      <c r="C309" s="189"/>
      <c r="D309" s="259"/>
      <c r="E309" s="186"/>
      <c r="F309" s="187"/>
    </row>
    <row r="310" spans="1:6" x14ac:dyDescent="0.2">
      <c r="A310" s="275"/>
      <c r="B310" s="78"/>
      <c r="C310" s="189"/>
      <c r="D310" s="259"/>
      <c r="E310" s="186"/>
      <c r="F310" s="187"/>
    </row>
    <row r="311" spans="1:6" x14ac:dyDescent="0.2">
      <c r="A311" s="275"/>
      <c r="B311" s="78"/>
      <c r="C311" s="189"/>
      <c r="D311" s="259"/>
      <c r="E311" s="186"/>
      <c r="F311" s="187"/>
    </row>
    <row r="312" spans="1:6" x14ac:dyDescent="0.2">
      <c r="A312" s="275"/>
      <c r="B312" s="78"/>
      <c r="C312" s="189"/>
      <c r="D312" s="259"/>
      <c r="E312" s="186"/>
      <c r="F312" s="187"/>
    </row>
    <row r="313" spans="1:6" x14ac:dyDescent="0.2">
      <c r="A313" s="275"/>
      <c r="B313" s="78"/>
      <c r="C313" s="189"/>
      <c r="D313" s="259"/>
      <c r="E313" s="186"/>
      <c r="F313" s="187"/>
    </row>
    <row r="314" spans="1:6" x14ac:dyDescent="0.2">
      <c r="A314" s="275"/>
      <c r="B314" s="78"/>
      <c r="C314" s="189"/>
      <c r="D314" s="259"/>
      <c r="E314" s="186"/>
      <c r="F314" s="187"/>
    </row>
    <row r="315" spans="1:6" x14ac:dyDescent="0.2">
      <c r="A315" s="275"/>
      <c r="B315" s="78"/>
      <c r="C315" s="189"/>
      <c r="D315" s="259"/>
      <c r="E315" s="186"/>
      <c r="F315" s="187"/>
    </row>
    <row r="316" spans="1:6" x14ac:dyDescent="0.2">
      <c r="A316" s="275"/>
      <c r="B316" s="78"/>
      <c r="C316" s="189"/>
      <c r="D316" s="259"/>
      <c r="E316" s="186"/>
      <c r="F316" s="187"/>
    </row>
    <row r="317" spans="1:6" x14ac:dyDescent="0.2">
      <c r="A317" s="275"/>
      <c r="B317" s="78"/>
      <c r="C317" s="189"/>
      <c r="D317" s="259"/>
      <c r="E317" s="186"/>
      <c r="F317" s="187"/>
    </row>
    <row r="318" spans="1:6" x14ac:dyDescent="0.2">
      <c r="A318" s="275"/>
      <c r="B318" s="78"/>
      <c r="C318" s="189"/>
      <c r="D318" s="259"/>
      <c r="E318" s="186"/>
      <c r="F318" s="187"/>
    </row>
    <row r="319" spans="1:6" x14ac:dyDescent="0.2">
      <c r="A319" s="275"/>
      <c r="B319" s="78"/>
      <c r="C319" s="189"/>
      <c r="D319" s="259"/>
      <c r="E319" s="186"/>
      <c r="F319" s="187"/>
    </row>
    <row r="320" spans="1:6" x14ac:dyDescent="0.2">
      <c r="A320" s="275"/>
      <c r="B320" s="78"/>
      <c r="C320" s="189"/>
      <c r="D320" s="259"/>
      <c r="E320" s="186"/>
      <c r="F320" s="187"/>
    </row>
    <row r="321" spans="1:6" x14ac:dyDescent="0.2">
      <c r="A321" s="275"/>
      <c r="B321" s="78"/>
      <c r="C321" s="189"/>
      <c r="D321" s="259"/>
      <c r="E321" s="186"/>
      <c r="F321" s="187"/>
    </row>
    <row r="322" spans="1:6" x14ac:dyDescent="0.2">
      <c r="A322" s="275"/>
      <c r="B322" s="78"/>
      <c r="C322" s="189"/>
      <c r="D322" s="259"/>
      <c r="E322" s="186"/>
      <c r="F322" s="187"/>
    </row>
    <row r="323" spans="1:6" x14ac:dyDescent="0.2">
      <c r="A323" s="275"/>
      <c r="B323" s="78"/>
      <c r="C323" s="189"/>
      <c r="D323" s="259"/>
      <c r="E323" s="186"/>
      <c r="F323" s="187"/>
    </row>
    <row r="324" spans="1:6" x14ac:dyDescent="0.2">
      <c r="A324" s="275"/>
      <c r="B324" s="78"/>
      <c r="C324" s="189"/>
      <c r="D324" s="259"/>
      <c r="E324" s="186"/>
      <c r="F324" s="187"/>
    </row>
    <row r="325" spans="1:6" x14ac:dyDescent="0.2">
      <c r="A325" s="275"/>
      <c r="B325" s="78"/>
      <c r="C325" s="189"/>
      <c r="D325" s="259"/>
      <c r="E325" s="186"/>
      <c r="F325" s="187"/>
    </row>
    <row r="326" spans="1:6" x14ac:dyDescent="0.2">
      <c r="A326" s="275"/>
      <c r="B326" s="78"/>
      <c r="C326" s="189"/>
      <c r="D326" s="259"/>
      <c r="E326" s="186"/>
      <c r="F326" s="187"/>
    </row>
    <row r="327" spans="1:6" x14ac:dyDescent="0.2">
      <c r="A327" s="275"/>
      <c r="B327" s="78"/>
      <c r="C327" s="189"/>
      <c r="D327" s="259"/>
      <c r="E327" s="186"/>
      <c r="F327" s="187"/>
    </row>
    <row r="328" spans="1:6" x14ac:dyDescent="0.2">
      <c r="A328" s="275"/>
      <c r="B328" s="78"/>
      <c r="C328" s="189"/>
      <c r="D328" s="259"/>
      <c r="E328" s="186"/>
      <c r="F328" s="187"/>
    </row>
    <row r="329" spans="1:6" x14ac:dyDescent="0.2">
      <c r="A329" s="275"/>
      <c r="B329" s="78"/>
      <c r="C329" s="189"/>
      <c r="D329" s="259"/>
      <c r="E329" s="186"/>
      <c r="F329" s="187"/>
    </row>
    <row r="330" spans="1:6" x14ac:dyDescent="0.2">
      <c r="A330" s="275"/>
      <c r="B330" s="78"/>
      <c r="C330" s="189"/>
      <c r="D330" s="259"/>
      <c r="E330" s="186"/>
      <c r="F330" s="187"/>
    </row>
    <row r="331" spans="1:6" x14ac:dyDescent="0.2">
      <c r="A331" s="275"/>
      <c r="B331" s="78"/>
      <c r="C331" s="189"/>
      <c r="D331" s="259"/>
      <c r="E331" s="186"/>
      <c r="F331" s="187"/>
    </row>
    <row r="332" spans="1:6" x14ac:dyDescent="0.2">
      <c r="A332" s="275"/>
      <c r="B332" s="78"/>
      <c r="C332" s="189"/>
      <c r="D332" s="259"/>
      <c r="E332" s="186"/>
      <c r="F332" s="187"/>
    </row>
    <row r="333" spans="1:6" x14ac:dyDescent="0.2">
      <c r="A333" s="275"/>
      <c r="B333" s="78"/>
      <c r="C333" s="189"/>
      <c r="D333" s="259"/>
      <c r="E333" s="186"/>
      <c r="F333" s="187"/>
    </row>
    <row r="334" spans="1:6" x14ac:dyDescent="0.2">
      <c r="A334" s="275"/>
      <c r="B334" s="78"/>
      <c r="C334" s="189"/>
      <c r="D334" s="259"/>
      <c r="E334" s="186"/>
      <c r="F334" s="187"/>
    </row>
    <row r="335" spans="1:6" x14ac:dyDescent="0.2">
      <c r="A335" s="275"/>
      <c r="B335" s="78"/>
      <c r="C335" s="189"/>
      <c r="D335" s="259"/>
      <c r="E335" s="186"/>
      <c r="F335" s="187"/>
    </row>
    <row r="336" spans="1:6" x14ac:dyDescent="0.2">
      <c r="A336" s="275"/>
      <c r="B336" s="78"/>
      <c r="C336" s="189"/>
      <c r="D336" s="259"/>
      <c r="E336" s="186"/>
      <c r="F336" s="187"/>
    </row>
    <row r="337" spans="1:6" x14ac:dyDescent="0.2">
      <c r="A337" s="275"/>
      <c r="B337" s="78"/>
      <c r="C337" s="189"/>
      <c r="D337" s="259"/>
      <c r="E337" s="186"/>
      <c r="F337" s="187"/>
    </row>
    <row r="338" spans="1:6" x14ac:dyDescent="0.2">
      <c r="A338" s="275"/>
      <c r="B338" s="78"/>
      <c r="C338" s="189"/>
      <c r="D338" s="259"/>
      <c r="E338" s="186"/>
      <c r="F338" s="187"/>
    </row>
    <row r="339" spans="1:6" x14ac:dyDescent="0.2">
      <c r="A339" s="275"/>
      <c r="B339" s="78"/>
      <c r="C339" s="189"/>
      <c r="D339" s="259"/>
      <c r="E339" s="186"/>
      <c r="F339" s="187"/>
    </row>
    <row r="340" spans="1:6" x14ac:dyDescent="0.2">
      <c r="A340" s="275"/>
      <c r="B340" s="78"/>
      <c r="C340" s="189"/>
      <c r="D340" s="259"/>
      <c r="E340" s="186"/>
      <c r="F340" s="187"/>
    </row>
    <row r="341" spans="1:6" x14ac:dyDescent="0.2">
      <c r="A341" s="275"/>
      <c r="B341" s="78"/>
      <c r="C341" s="189"/>
      <c r="D341" s="259"/>
      <c r="E341" s="186"/>
      <c r="F341" s="187"/>
    </row>
    <row r="342" spans="1:6" x14ac:dyDescent="0.2">
      <c r="A342" s="275"/>
      <c r="B342" s="78"/>
      <c r="C342" s="189"/>
      <c r="D342" s="259"/>
      <c r="E342" s="186"/>
      <c r="F342" s="187"/>
    </row>
    <row r="343" spans="1:6" x14ac:dyDescent="0.2">
      <c r="A343" s="275"/>
      <c r="B343" s="78"/>
      <c r="C343" s="189"/>
      <c r="D343" s="259"/>
      <c r="E343" s="186"/>
      <c r="F343" s="187"/>
    </row>
    <row r="344" spans="1:6" x14ac:dyDescent="0.2">
      <c r="A344" s="275"/>
      <c r="B344" s="78"/>
      <c r="C344" s="189"/>
      <c r="D344" s="259"/>
      <c r="E344" s="186"/>
      <c r="F344" s="187"/>
    </row>
    <row r="345" spans="1:6" x14ac:dyDescent="0.2">
      <c r="A345" s="275"/>
      <c r="B345" s="78"/>
      <c r="C345" s="189"/>
      <c r="D345" s="259"/>
      <c r="E345" s="186"/>
      <c r="F345" s="187"/>
    </row>
    <row r="346" spans="1:6" x14ac:dyDescent="0.2">
      <c r="A346" s="275"/>
      <c r="B346" s="78"/>
      <c r="C346" s="189"/>
      <c r="D346" s="259"/>
      <c r="E346" s="186"/>
      <c r="F346" s="187"/>
    </row>
    <row r="347" spans="1:6" x14ac:dyDescent="0.2">
      <c r="A347" s="275"/>
      <c r="B347" s="78"/>
      <c r="C347" s="189"/>
      <c r="D347" s="259"/>
      <c r="E347" s="186"/>
      <c r="F347" s="187"/>
    </row>
    <row r="348" spans="1:6" x14ac:dyDescent="0.2">
      <c r="A348" s="275"/>
      <c r="B348" s="78"/>
      <c r="C348" s="189"/>
      <c r="D348" s="259"/>
      <c r="E348" s="186"/>
      <c r="F348" s="187"/>
    </row>
    <row r="349" spans="1:6" x14ac:dyDescent="0.2">
      <c r="A349" s="275"/>
      <c r="B349" s="78"/>
      <c r="C349" s="189"/>
      <c r="D349" s="259"/>
      <c r="E349" s="186"/>
      <c r="F349" s="187"/>
    </row>
    <row r="350" spans="1:6" x14ac:dyDescent="0.2">
      <c r="A350" s="275"/>
      <c r="B350" s="78"/>
      <c r="C350" s="189"/>
      <c r="D350" s="259"/>
      <c r="E350" s="186"/>
      <c r="F350" s="187"/>
    </row>
    <row r="351" spans="1:6" x14ac:dyDescent="0.2">
      <c r="A351" s="275"/>
      <c r="B351" s="78"/>
      <c r="C351" s="189"/>
      <c r="D351" s="259"/>
      <c r="E351" s="186"/>
      <c r="F351" s="187"/>
    </row>
    <row r="352" spans="1:6" x14ac:dyDescent="0.2">
      <c r="A352" s="275"/>
      <c r="B352" s="78"/>
      <c r="C352" s="189"/>
      <c r="D352" s="259"/>
      <c r="E352" s="186"/>
      <c r="F352" s="187"/>
    </row>
    <row r="353" spans="1:6" x14ac:dyDescent="0.2">
      <c r="A353" s="275"/>
      <c r="B353" s="78"/>
      <c r="C353" s="189"/>
      <c r="D353" s="259"/>
      <c r="E353" s="186"/>
      <c r="F353" s="187"/>
    </row>
    <row r="354" spans="1:6" x14ac:dyDescent="0.2">
      <c r="A354" s="275"/>
      <c r="B354" s="78"/>
      <c r="C354" s="189"/>
      <c r="D354" s="259"/>
      <c r="E354" s="186"/>
      <c r="F354" s="187"/>
    </row>
    <row r="355" spans="1:6" x14ac:dyDescent="0.2">
      <c r="A355" s="275"/>
      <c r="B355" s="78"/>
      <c r="C355" s="189"/>
      <c r="D355" s="259"/>
      <c r="E355" s="186"/>
      <c r="F355" s="187"/>
    </row>
    <row r="356" spans="1:6" x14ac:dyDescent="0.2">
      <c r="A356" s="275"/>
      <c r="B356" s="78"/>
      <c r="C356" s="189"/>
      <c r="D356" s="259"/>
      <c r="E356" s="186"/>
      <c r="F356" s="187"/>
    </row>
    <row r="357" spans="1:6" x14ac:dyDescent="0.2">
      <c r="A357" s="275"/>
      <c r="B357" s="78"/>
      <c r="C357" s="189"/>
      <c r="D357" s="259"/>
      <c r="E357" s="186"/>
      <c r="F357" s="187"/>
    </row>
    <row r="358" spans="1:6" x14ac:dyDescent="0.2">
      <c r="A358" s="275"/>
      <c r="B358" s="78"/>
      <c r="C358" s="189"/>
      <c r="D358" s="259"/>
      <c r="E358" s="186"/>
      <c r="F358" s="187"/>
    </row>
    <row r="359" spans="1:6" x14ac:dyDescent="0.2">
      <c r="A359" s="275"/>
      <c r="B359" s="78"/>
      <c r="C359" s="189"/>
      <c r="D359" s="259"/>
      <c r="E359" s="186"/>
      <c r="F359" s="187"/>
    </row>
    <row r="360" spans="1:6" x14ac:dyDescent="0.2">
      <c r="A360" s="275"/>
      <c r="B360" s="78"/>
      <c r="C360" s="189"/>
      <c r="D360" s="259"/>
      <c r="E360" s="186"/>
      <c r="F360" s="187"/>
    </row>
    <row r="361" spans="1:6" x14ac:dyDescent="0.2">
      <c r="A361" s="275"/>
      <c r="B361" s="78"/>
      <c r="C361" s="189"/>
      <c r="D361" s="259"/>
      <c r="E361" s="186"/>
      <c r="F361" s="187"/>
    </row>
    <row r="362" spans="1:6" x14ac:dyDescent="0.2">
      <c r="A362" s="275"/>
      <c r="B362" s="78"/>
      <c r="C362" s="189"/>
      <c r="D362" s="259"/>
      <c r="E362" s="186"/>
      <c r="F362" s="187"/>
    </row>
    <row r="363" spans="1:6" x14ac:dyDescent="0.2">
      <c r="A363" s="275"/>
      <c r="B363" s="78"/>
      <c r="C363" s="189"/>
      <c r="D363" s="259"/>
      <c r="E363" s="186"/>
      <c r="F363" s="187"/>
    </row>
    <row r="364" spans="1:6" x14ac:dyDescent="0.2">
      <c r="A364" s="275"/>
      <c r="B364" s="78"/>
      <c r="C364" s="189"/>
      <c r="D364" s="259"/>
      <c r="E364" s="186"/>
      <c r="F364" s="187"/>
    </row>
    <row r="365" spans="1:6" x14ac:dyDescent="0.2">
      <c r="A365" s="275"/>
      <c r="B365" s="78"/>
      <c r="C365" s="189"/>
      <c r="D365" s="259"/>
      <c r="E365" s="186"/>
      <c r="F365" s="187"/>
    </row>
    <row r="366" spans="1:6" x14ac:dyDescent="0.2">
      <c r="A366" s="275"/>
      <c r="B366" s="78"/>
      <c r="C366" s="189"/>
      <c r="D366" s="259"/>
      <c r="E366" s="186"/>
      <c r="F366" s="187"/>
    </row>
    <row r="367" spans="1:6" x14ac:dyDescent="0.2">
      <c r="A367" s="275"/>
      <c r="B367" s="78"/>
      <c r="C367" s="189"/>
      <c r="D367" s="259"/>
      <c r="E367" s="186"/>
      <c r="F367" s="187"/>
    </row>
    <row r="368" spans="1:6" x14ac:dyDescent="0.2">
      <c r="A368" s="275"/>
      <c r="B368" s="78"/>
      <c r="C368" s="189"/>
      <c r="D368" s="259"/>
      <c r="E368" s="186"/>
      <c r="F368" s="187"/>
    </row>
    <row r="369" spans="1:6" x14ac:dyDescent="0.2">
      <c r="A369" s="275"/>
      <c r="B369" s="78"/>
      <c r="C369" s="189"/>
      <c r="D369" s="259"/>
      <c r="E369" s="186"/>
      <c r="F369" s="187"/>
    </row>
    <row r="370" spans="1:6" x14ac:dyDescent="0.2">
      <c r="A370" s="275"/>
      <c r="B370" s="78"/>
      <c r="C370" s="189"/>
      <c r="D370" s="259"/>
      <c r="E370" s="186"/>
      <c r="F370" s="187"/>
    </row>
    <row r="371" spans="1:6" x14ac:dyDescent="0.2">
      <c r="A371" s="275"/>
      <c r="B371" s="78"/>
      <c r="C371" s="189"/>
      <c r="D371" s="259"/>
      <c r="E371" s="186"/>
      <c r="F371" s="187"/>
    </row>
    <row r="372" spans="1:6" x14ac:dyDescent="0.2">
      <c r="A372" s="275"/>
      <c r="B372" s="78"/>
      <c r="C372" s="189"/>
      <c r="D372" s="259"/>
      <c r="E372" s="186"/>
      <c r="F372" s="187"/>
    </row>
    <row r="373" spans="1:6" x14ac:dyDescent="0.2">
      <c r="A373" s="275"/>
      <c r="B373" s="78"/>
      <c r="C373" s="189"/>
      <c r="D373" s="259"/>
      <c r="E373" s="186"/>
      <c r="F373" s="187"/>
    </row>
    <row r="374" spans="1:6" x14ac:dyDescent="0.2">
      <c r="A374" s="275"/>
      <c r="B374" s="78"/>
      <c r="C374" s="189"/>
      <c r="D374" s="259"/>
      <c r="E374" s="186"/>
      <c r="F374" s="187"/>
    </row>
    <row r="375" spans="1:6" x14ac:dyDescent="0.2">
      <c r="A375" s="275"/>
      <c r="B375" s="78"/>
      <c r="C375" s="189"/>
      <c r="D375" s="259"/>
      <c r="E375" s="186"/>
      <c r="F375" s="187"/>
    </row>
    <row r="376" spans="1:6" x14ac:dyDescent="0.2">
      <c r="A376" s="275"/>
      <c r="B376" s="78"/>
      <c r="C376" s="189"/>
      <c r="D376" s="259"/>
      <c r="E376" s="186"/>
      <c r="F376" s="187"/>
    </row>
    <row r="377" spans="1:6" x14ac:dyDescent="0.2">
      <c r="A377" s="275"/>
      <c r="B377" s="78"/>
      <c r="C377" s="189"/>
      <c r="D377" s="259"/>
      <c r="E377" s="186"/>
      <c r="F377" s="187"/>
    </row>
    <row r="378" spans="1:6" x14ac:dyDescent="0.2">
      <c r="A378" s="275"/>
      <c r="B378" s="78"/>
      <c r="C378" s="189"/>
      <c r="D378" s="259"/>
      <c r="E378" s="186"/>
      <c r="F378" s="187"/>
    </row>
    <row r="379" spans="1:6" x14ac:dyDescent="0.2">
      <c r="A379" s="275"/>
      <c r="B379" s="78"/>
      <c r="C379" s="189"/>
      <c r="D379" s="259"/>
      <c r="E379" s="186"/>
      <c r="F379" s="187"/>
    </row>
    <row r="380" spans="1:6" x14ac:dyDescent="0.2">
      <c r="A380" s="275"/>
      <c r="B380" s="78"/>
      <c r="C380" s="189"/>
      <c r="D380" s="259"/>
      <c r="E380" s="186"/>
      <c r="F380" s="187"/>
    </row>
    <row r="381" spans="1:6" x14ac:dyDescent="0.2">
      <c r="A381" s="275"/>
      <c r="B381" s="78"/>
      <c r="C381" s="189"/>
      <c r="D381" s="259"/>
      <c r="E381" s="186"/>
      <c r="F381" s="187"/>
    </row>
    <row r="382" spans="1:6" x14ac:dyDescent="0.2">
      <c r="A382" s="275"/>
      <c r="B382" s="78"/>
      <c r="C382" s="189"/>
      <c r="D382" s="259"/>
      <c r="E382" s="186"/>
      <c r="F382" s="187"/>
    </row>
    <row r="383" spans="1:6" x14ac:dyDescent="0.2">
      <c r="A383" s="275"/>
      <c r="B383" s="78"/>
      <c r="C383" s="189"/>
      <c r="D383" s="259"/>
      <c r="E383" s="186"/>
      <c r="F383" s="187"/>
    </row>
    <row r="384" spans="1:6" x14ac:dyDescent="0.2">
      <c r="A384" s="275"/>
      <c r="B384" s="78"/>
      <c r="C384" s="189"/>
      <c r="D384" s="259"/>
      <c r="E384" s="186"/>
      <c r="F384" s="187"/>
    </row>
    <row r="385" spans="1:6" x14ac:dyDescent="0.2">
      <c r="A385" s="275"/>
      <c r="B385" s="78"/>
      <c r="C385" s="189"/>
      <c r="D385" s="259"/>
      <c r="E385" s="186"/>
      <c r="F385" s="187"/>
    </row>
    <row r="386" spans="1:6" x14ac:dyDescent="0.2">
      <c r="A386" s="275"/>
      <c r="B386" s="78"/>
      <c r="C386" s="189"/>
      <c r="D386" s="259"/>
      <c r="E386" s="186"/>
      <c r="F386" s="187"/>
    </row>
    <row r="387" spans="1:6" x14ac:dyDescent="0.2">
      <c r="A387" s="275"/>
      <c r="B387" s="78"/>
      <c r="C387" s="189"/>
      <c r="D387" s="259"/>
      <c r="E387" s="186"/>
      <c r="F387" s="187"/>
    </row>
    <row r="388" spans="1:6" x14ac:dyDescent="0.2">
      <c r="A388" s="275"/>
      <c r="B388" s="78"/>
      <c r="C388" s="189"/>
      <c r="D388" s="259"/>
      <c r="E388" s="186"/>
      <c r="F388" s="187"/>
    </row>
    <row r="389" spans="1:6" x14ac:dyDescent="0.2">
      <c r="A389" s="275"/>
      <c r="B389" s="78"/>
      <c r="C389" s="189"/>
      <c r="D389" s="259"/>
      <c r="E389" s="186"/>
      <c r="F389" s="187"/>
    </row>
    <row r="390" spans="1:6" x14ac:dyDescent="0.2">
      <c r="A390" s="275"/>
      <c r="B390" s="78"/>
      <c r="C390" s="189"/>
      <c r="D390" s="259"/>
      <c r="E390" s="186"/>
      <c r="F390" s="187"/>
    </row>
    <row r="391" spans="1:6" x14ac:dyDescent="0.2">
      <c r="A391" s="275"/>
      <c r="B391" s="78"/>
      <c r="C391" s="189"/>
      <c r="D391" s="259"/>
      <c r="E391" s="186"/>
      <c r="F391" s="187"/>
    </row>
    <row r="392" spans="1:6" x14ac:dyDescent="0.2">
      <c r="A392" s="275"/>
      <c r="B392" s="78"/>
      <c r="C392" s="189"/>
      <c r="D392" s="259"/>
      <c r="E392" s="186"/>
      <c r="F392" s="187"/>
    </row>
    <row r="393" spans="1:6" x14ac:dyDescent="0.2">
      <c r="A393" s="275"/>
      <c r="B393" s="78"/>
      <c r="C393" s="189"/>
      <c r="D393" s="259"/>
      <c r="E393" s="186"/>
      <c r="F393" s="187"/>
    </row>
    <row r="394" spans="1:6" x14ac:dyDescent="0.2">
      <c r="A394" s="275"/>
      <c r="B394" s="78"/>
      <c r="C394" s="189"/>
      <c r="D394" s="259"/>
      <c r="E394" s="186"/>
      <c r="F394" s="187"/>
    </row>
    <row r="395" spans="1:6" x14ac:dyDescent="0.2">
      <c r="A395" s="275"/>
      <c r="B395" s="78"/>
      <c r="C395" s="189"/>
      <c r="D395" s="259"/>
      <c r="E395" s="186"/>
      <c r="F395" s="187"/>
    </row>
    <row r="396" spans="1:6" x14ac:dyDescent="0.2">
      <c r="A396" s="275"/>
      <c r="B396" s="78"/>
      <c r="C396" s="189"/>
      <c r="D396" s="259"/>
      <c r="E396" s="186"/>
      <c r="F396" s="187"/>
    </row>
    <row r="397" spans="1:6" x14ac:dyDescent="0.2">
      <c r="A397" s="275"/>
      <c r="B397" s="78"/>
      <c r="C397" s="189"/>
      <c r="D397" s="259"/>
      <c r="E397" s="186"/>
      <c r="F397" s="187"/>
    </row>
    <row r="398" spans="1:6" x14ac:dyDescent="0.2">
      <c r="A398" s="275"/>
      <c r="B398" s="78"/>
      <c r="C398" s="189"/>
      <c r="D398" s="259"/>
      <c r="E398" s="186"/>
      <c r="F398" s="187"/>
    </row>
    <row r="399" spans="1:6" x14ac:dyDescent="0.2">
      <c r="A399" s="275"/>
      <c r="B399" s="78"/>
      <c r="C399" s="189"/>
      <c r="D399" s="259"/>
      <c r="E399" s="186"/>
      <c r="F399" s="187"/>
    </row>
    <row r="400" spans="1:6" x14ac:dyDescent="0.2">
      <c r="A400" s="275"/>
      <c r="B400" s="78"/>
      <c r="C400" s="189"/>
      <c r="D400" s="259"/>
      <c r="E400" s="186"/>
      <c r="F400" s="187"/>
    </row>
    <row r="401" spans="1:6" x14ac:dyDescent="0.2">
      <c r="A401" s="275"/>
      <c r="B401" s="78"/>
      <c r="C401" s="189"/>
      <c r="D401" s="259"/>
      <c r="E401" s="186"/>
      <c r="F401" s="187"/>
    </row>
    <row r="402" spans="1:6" x14ac:dyDescent="0.2">
      <c r="A402" s="275"/>
      <c r="B402" s="78"/>
      <c r="C402" s="189"/>
      <c r="D402" s="259"/>
      <c r="E402" s="186"/>
      <c r="F402" s="187"/>
    </row>
    <row r="403" spans="1:6" x14ac:dyDescent="0.2">
      <c r="A403" s="275"/>
      <c r="B403" s="78"/>
      <c r="C403" s="189"/>
      <c r="D403" s="259"/>
      <c r="E403" s="186"/>
      <c r="F403" s="187"/>
    </row>
    <row r="404" spans="1:6" x14ac:dyDescent="0.2">
      <c r="A404" s="275"/>
      <c r="B404" s="78"/>
      <c r="C404" s="189"/>
      <c r="D404" s="259"/>
      <c r="E404" s="186"/>
      <c r="F404" s="187"/>
    </row>
    <row r="405" spans="1:6" x14ac:dyDescent="0.2">
      <c r="A405" s="275"/>
      <c r="B405" s="78"/>
      <c r="C405" s="189"/>
      <c r="D405" s="259"/>
      <c r="E405" s="186"/>
      <c r="F405" s="187"/>
    </row>
    <row r="406" spans="1:6" x14ac:dyDescent="0.2">
      <c r="A406" s="275"/>
      <c r="B406" s="78"/>
      <c r="C406" s="189"/>
      <c r="D406" s="259"/>
      <c r="E406" s="186"/>
      <c r="F406" s="187"/>
    </row>
    <row r="407" spans="1:6" x14ac:dyDescent="0.2">
      <c r="A407" s="275"/>
      <c r="B407" s="78"/>
      <c r="C407" s="189"/>
      <c r="D407" s="259"/>
      <c r="E407" s="186"/>
      <c r="F407" s="187"/>
    </row>
    <row r="408" spans="1:6" x14ac:dyDescent="0.2">
      <c r="A408" s="275"/>
      <c r="B408" s="78"/>
      <c r="C408" s="189"/>
      <c r="D408" s="259"/>
      <c r="E408" s="186"/>
      <c r="F408" s="187"/>
    </row>
    <row r="409" spans="1:6" x14ac:dyDescent="0.2">
      <c r="A409" s="275"/>
      <c r="B409" s="78"/>
      <c r="C409" s="189"/>
      <c r="D409" s="259"/>
      <c r="E409" s="186"/>
      <c r="F409" s="187"/>
    </row>
    <row r="410" spans="1:6" x14ac:dyDescent="0.2">
      <c r="A410" s="275"/>
      <c r="B410" s="78"/>
      <c r="C410" s="189"/>
      <c r="D410" s="259"/>
      <c r="E410" s="186"/>
      <c r="F410" s="187"/>
    </row>
    <row r="411" spans="1:6" x14ac:dyDescent="0.2">
      <c r="A411" s="275"/>
      <c r="B411" s="78"/>
      <c r="C411" s="189"/>
      <c r="D411" s="259"/>
      <c r="E411" s="186"/>
      <c r="F411" s="187"/>
    </row>
    <row r="412" spans="1:6" x14ac:dyDescent="0.2">
      <c r="A412" s="275"/>
      <c r="B412" s="78"/>
      <c r="C412" s="189"/>
      <c r="D412" s="259"/>
      <c r="E412" s="186"/>
      <c r="F412" s="187"/>
    </row>
    <row r="413" spans="1:6" x14ac:dyDescent="0.2">
      <c r="A413" s="275"/>
      <c r="B413" s="78"/>
      <c r="C413" s="189"/>
      <c r="D413" s="259"/>
      <c r="E413" s="186"/>
      <c r="F413" s="187"/>
    </row>
    <row r="414" spans="1:6" x14ac:dyDescent="0.2">
      <c r="A414" s="275"/>
      <c r="B414" s="78"/>
      <c r="C414" s="189"/>
      <c r="D414" s="259"/>
      <c r="E414" s="186"/>
      <c r="F414" s="187"/>
    </row>
    <row r="415" spans="1:6" x14ac:dyDescent="0.2">
      <c r="A415" s="275"/>
      <c r="B415" s="78"/>
      <c r="C415" s="189"/>
      <c r="D415" s="259"/>
      <c r="E415" s="186"/>
      <c r="F415" s="187"/>
    </row>
    <row r="416" spans="1:6" x14ac:dyDescent="0.2">
      <c r="A416" s="275"/>
      <c r="B416" s="78"/>
      <c r="C416" s="189"/>
      <c r="D416" s="259"/>
      <c r="E416" s="186"/>
      <c r="F416" s="187"/>
    </row>
    <row r="417" spans="1:6" x14ac:dyDescent="0.2">
      <c r="A417" s="275"/>
      <c r="B417" s="78"/>
      <c r="C417" s="189"/>
      <c r="D417" s="259"/>
      <c r="E417" s="186"/>
      <c r="F417" s="187"/>
    </row>
    <row r="418" spans="1:6" x14ac:dyDescent="0.2">
      <c r="A418" s="275"/>
      <c r="B418" s="78"/>
      <c r="C418" s="189"/>
      <c r="D418" s="259"/>
      <c r="E418" s="186"/>
      <c r="F418" s="187"/>
    </row>
    <row r="419" spans="1:6" x14ac:dyDescent="0.2">
      <c r="A419" s="275"/>
      <c r="B419" s="78"/>
      <c r="C419" s="189"/>
      <c r="D419" s="259"/>
      <c r="E419" s="186"/>
      <c r="F419" s="187"/>
    </row>
    <row r="420" spans="1:6" x14ac:dyDescent="0.2">
      <c r="A420" s="275"/>
      <c r="B420" s="78"/>
      <c r="C420" s="189"/>
      <c r="D420" s="259"/>
      <c r="E420" s="186"/>
      <c r="F420" s="187"/>
    </row>
    <row r="421" spans="1:6" x14ac:dyDescent="0.2">
      <c r="A421" s="275"/>
      <c r="B421" s="78"/>
      <c r="C421" s="189"/>
      <c r="D421" s="259"/>
      <c r="E421" s="186"/>
      <c r="F421" s="187"/>
    </row>
    <row r="422" spans="1:6" x14ac:dyDescent="0.2">
      <c r="A422" s="275"/>
      <c r="B422" s="78"/>
      <c r="C422" s="189"/>
      <c r="D422" s="259"/>
      <c r="E422" s="186"/>
      <c r="F422" s="187"/>
    </row>
    <row r="423" spans="1:6" x14ac:dyDescent="0.2">
      <c r="A423" s="275"/>
      <c r="B423" s="78"/>
      <c r="C423" s="189"/>
      <c r="D423" s="259"/>
      <c r="E423" s="186"/>
      <c r="F423" s="187"/>
    </row>
    <row r="424" spans="1:6" x14ac:dyDescent="0.2">
      <c r="A424" s="275"/>
      <c r="B424" s="78"/>
      <c r="C424" s="189"/>
      <c r="D424" s="259"/>
      <c r="E424" s="186"/>
      <c r="F424" s="187"/>
    </row>
    <row r="425" spans="1:6" x14ac:dyDescent="0.2">
      <c r="A425" s="275"/>
      <c r="B425" s="78"/>
      <c r="C425" s="189"/>
      <c r="D425" s="259"/>
      <c r="E425" s="186"/>
      <c r="F425" s="187"/>
    </row>
    <row r="426" spans="1:6" x14ac:dyDescent="0.2">
      <c r="A426" s="275"/>
      <c r="B426" s="78"/>
      <c r="C426" s="189"/>
      <c r="D426" s="259"/>
      <c r="E426" s="186"/>
      <c r="F426" s="187"/>
    </row>
    <row r="427" spans="1:6" x14ac:dyDescent="0.2">
      <c r="A427" s="275"/>
      <c r="B427" s="78"/>
      <c r="C427" s="189"/>
      <c r="D427" s="259"/>
      <c r="E427" s="186"/>
      <c r="F427" s="187"/>
    </row>
    <row r="428" spans="1:6" x14ac:dyDescent="0.2">
      <c r="A428" s="275"/>
      <c r="B428" s="78"/>
      <c r="C428" s="189"/>
      <c r="D428" s="259"/>
      <c r="E428" s="186"/>
      <c r="F428" s="187"/>
    </row>
    <row r="429" spans="1:6" x14ac:dyDescent="0.2">
      <c r="A429" s="275"/>
      <c r="B429" s="78"/>
      <c r="C429" s="189"/>
      <c r="D429" s="259"/>
      <c r="E429" s="186"/>
      <c r="F429" s="187"/>
    </row>
    <row r="430" spans="1:6" x14ac:dyDescent="0.2">
      <c r="A430" s="275"/>
      <c r="B430" s="78"/>
      <c r="C430" s="189"/>
      <c r="D430" s="259"/>
      <c r="E430" s="186"/>
      <c r="F430" s="187"/>
    </row>
    <row r="431" spans="1:6" x14ac:dyDescent="0.2">
      <c r="A431" s="275"/>
      <c r="B431" s="78"/>
      <c r="C431" s="189"/>
      <c r="D431" s="259"/>
      <c r="E431" s="186"/>
      <c r="F431" s="187"/>
    </row>
    <row r="432" spans="1:6" x14ac:dyDescent="0.2">
      <c r="A432" s="275"/>
      <c r="B432" s="78"/>
      <c r="C432" s="189"/>
      <c r="D432" s="259"/>
      <c r="E432" s="186"/>
      <c r="F432" s="187"/>
    </row>
    <row r="433" spans="1:6" x14ac:dyDescent="0.2">
      <c r="A433" s="275"/>
      <c r="B433" s="78"/>
      <c r="C433" s="189"/>
      <c r="D433" s="259"/>
      <c r="E433" s="186"/>
      <c r="F433" s="187"/>
    </row>
    <row r="434" spans="1:6" x14ac:dyDescent="0.2">
      <c r="A434" s="275"/>
      <c r="B434" s="78"/>
      <c r="C434" s="189"/>
      <c r="D434" s="259"/>
      <c r="E434" s="186"/>
      <c r="F434" s="187"/>
    </row>
    <row r="435" spans="1:6" x14ac:dyDescent="0.2">
      <c r="A435" s="275"/>
      <c r="B435" s="78"/>
      <c r="C435" s="189"/>
      <c r="D435" s="259"/>
      <c r="E435" s="186"/>
      <c r="F435" s="187"/>
    </row>
    <row r="436" spans="1:6" x14ac:dyDescent="0.2">
      <c r="A436" s="275"/>
      <c r="B436" s="78"/>
      <c r="C436" s="189"/>
      <c r="D436" s="259"/>
      <c r="E436" s="186"/>
      <c r="F436" s="187"/>
    </row>
    <row r="437" spans="1:6" x14ac:dyDescent="0.2">
      <c r="A437" s="275"/>
      <c r="B437" s="78"/>
      <c r="C437" s="189"/>
      <c r="D437" s="259"/>
      <c r="E437" s="186"/>
      <c r="F437" s="187"/>
    </row>
    <row r="438" spans="1:6" x14ac:dyDescent="0.2">
      <c r="A438" s="275"/>
      <c r="B438" s="78"/>
      <c r="C438" s="189"/>
      <c r="D438" s="259"/>
      <c r="E438" s="186"/>
      <c r="F438" s="187"/>
    </row>
    <row r="439" spans="1:6" x14ac:dyDescent="0.2">
      <c r="A439" s="275"/>
      <c r="B439" s="78"/>
      <c r="C439" s="189"/>
      <c r="D439" s="259"/>
      <c r="E439" s="186"/>
      <c r="F439" s="187"/>
    </row>
    <row r="440" spans="1:6" x14ac:dyDescent="0.2">
      <c r="A440" s="275"/>
      <c r="B440" s="78"/>
      <c r="C440" s="189"/>
      <c r="D440" s="259"/>
      <c r="E440" s="186"/>
      <c r="F440" s="187"/>
    </row>
    <row r="441" spans="1:6" x14ac:dyDescent="0.2">
      <c r="A441" s="275"/>
      <c r="B441" s="78"/>
      <c r="C441" s="189"/>
      <c r="D441" s="259"/>
      <c r="E441" s="186"/>
      <c r="F441" s="187"/>
    </row>
    <row r="442" spans="1:6" x14ac:dyDescent="0.2">
      <c r="A442" s="275"/>
      <c r="B442" s="78"/>
      <c r="C442" s="189"/>
      <c r="D442" s="259"/>
      <c r="E442" s="186"/>
      <c r="F442" s="187"/>
    </row>
    <row r="443" spans="1:6" x14ac:dyDescent="0.2">
      <c r="A443" s="275"/>
      <c r="B443" s="78"/>
      <c r="C443" s="189"/>
      <c r="D443" s="259"/>
      <c r="E443" s="186"/>
      <c r="F443" s="187"/>
    </row>
    <row r="444" spans="1:6" x14ac:dyDescent="0.2">
      <c r="A444" s="275"/>
      <c r="B444" s="78"/>
      <c r="C444" s="189"/>
      <c r="D444" s="259"/>
      <c r="E444" s="186"/>
      <c r="F444" s="187"/>
    </row>
    <row r="445" spans="1:6" x14ac:dyDescent="0.2">
      <c r="A445" s="275"/>
      <c r="B445" s="78"/>
      <c r="C445" s="189"/>
      <c r="D445" s="259"/>
      <c r="E445" s="186"/>
      <c r="F445" s="187"/>
    </row>
    <row r="446" spans="1:6" x14ac:dyDescent="0.2">
      <c r="A446" s="275"/>
      <c r="B446" s="78"/>
      <c r="C446" s="189"/>
      <c r="D446" s="259"/>
      <c r="E446" s="186"/>
      <c r="F446" s="187"/>
    </row>
    <row r="447" spans="1:6" x14ac:dyDescent="0.2">
      <c r="A447" s="275"/>
      <c r="B447" s="78"/>
      <c r="C447" s="189"/>
      <c r="D447" s="259"/>
      <c r="E447" s="186"/>
      <c r="F447" s="187"/>
    </row>
    <row r="448" spans="1:6" x14ac:dyDescent="0.2">
      <c r="A448" s="275"/>
      <c r="B448" s="78"/>
      <c r="C448" s="189"/>
      <c r="D448" s="259"/>
      <c r="E448" s="186"/>
      <c r="F448" s="187"/>
    </row>
    <row r="449" spans="1:6" x14ac:dyDescent="0.2">
      <c r="A449" s="275"/>
      <c r="B449" s="78"/>
      <c r="C449" s="189"/>
      <c r="D449" s="259"/>
      <c r="E449" s="186"/>
      <c r="F449" s="187"/>
    </row>
    <row r="450" spans="1:6" x14ac:dyDescent="0.2">
      <c r="A450" s="275"/>
      <c r="B450" s="78"/>
      <c r="C450" s="189"/>
      <c r="D450" s="259"/>
      <c r="E450" s="186"/>
      <c r="F450" s="187"/>
    </row>
    <row r="451" spans="1:6" x14ac:dyDescent="0.2">
      <c r="A451" s="275"/>
      <c r="B451" s="78"/>
      <c r="C451" s="189"/>
      <c r="D451" s="259"/>
      <c r="E451" s="186"/>
      <c r="F451" s="187"/>
    </row>
    <row r="452" spans="1:6" x14ac:dyDescent="0.2">
      <c r="A452" s="275"/>
      <c r="B452" s="78"/>
      <c r="C452" s="189"/>
      <c r="D452" s="259"/>
      <c r="E452" s="186"/>
      <c r="F452" s="187"/>
    </row>
    <row r="453" spans="1:6" x14ac:dyDescent="0.2">
      <c r="A453" s="275"/>
      <c r="B453" s="78"/>
      <c r="C453" s="189"/>
      <c r="D453" s="259"/>
      <c r="E453" s="186"/>
      <c r="F453" s="187"/>
    </row>
    <row r="454" spans="1:6" x14ac:dyDescent="0.2">
      <c r="A454" s="275"/>
      <c r="B454" s="78"/>
      <c r="C454" s="189"/>
      <c r="D454" s="259"/>
      <c r="E454" s="186"/>
      <c r="F454" s="187"/>
    </row>
    <row r="455" spans="1:6" x14ac:dyDescent="0.2">
      <c r="A455" s="275"/>
      <c r="B455" s="78"/>
      <c r="C455" s="189"/>
      <c r="D455" s="259"/>
      <c r="E455" s="186"/>
      <c r="F455" s="187"/>
    </row>
    <row r="456" spans="1:6" x14ac:dyDescent="0.2">
      <c r="A456" s="275"/>
      <c r="B456" s="78"/>
      <c r="C456" s="189"/>
      <c r="D456" s="259"/>
      <c r="E456" s="186"/>
      <c r="F456" s="187"/>
    </row>
    <row r="457" spans="1:6" x14ac:dyDescent="0.2">
      <c r="A457" s="275"/>
      <c r="B457" s="78"/>
      <c r="C457" s="189"/>
      <c r="D457" s="259"/>
      <c r="E457" s="186"/>
      <c r="F457" s="187"/>
    </row>
    <row r="458" spans="1:6" x14ac:dyDescent="0.2">
      <c r="A458" s="275"/>
      <c r="B458" s="78"/>
      <c r="C458" s="189"/>
      <c r="D458" s="259"/>
      <c r="E458" s="186"/>
      <c r="F458" s="187"/>
    </row>
    <row r="459" spans="1:6" x14ac:dyDescent="0.2">
      <c r="A459" s="275"/>
      <c r="B459" s="78"/>
      <c r="C459" s="189"/>
      <c r="D459" s="259"/>
      <c r="E459" s="186"/>
      <c r="F459" s="187"/>
    </row>
    <row r="460" spans="1:6" x14ac:dyDescent="0.2">
      <c r="A460" s="275"/>
      <c r="B460" s="78"/>
      <c r="C460" s="189"/>
      <c r="D460" s="259"/>
      <c r="E460" s="186"/>
      <c r="F460" s="187"/>
    </row>
    <row r="461" spans="1:6" x14ac:dyDescent="0.2">
      <c r="A461" s="275"/>
      <c r="B461" s="78"/>
      <c r="C461" s="189"/>
      <c r="D461" s="259"/>
      <c r="E461" s="186"/>
      <c r="F461" s="187"/>
    </row>
    <row r="462" spans="1:6" x14ac:dyDescent="0.2">
      <c r="A462" s="275"/>
      <c r="B462" s="78"/>
      <c r="C462" s="189"/>
      <c r="D462" s="259"/>
      <c r="E462" s="186"/>
      <c r="F462" s="187"/>
    </row>
    <row r="463" spans="1:6" x14ac:dyDescent="0.2">
      <c r="A463" s="275"/>
      <c r="B463" s="78"/>
      <c r="C463" s="189"/>
      <c r="D463" s="259"/>
      <c r="E463" s="186"/>
      <c r="F463" s="187"/>
    </row>
    <row r="464" spans="1:6" x14ac:dyDescent="0.2">
      <c r="A464" s="275"/>
      <c r="B464" s="78"/>
      <c r="C464" s="189"/>
      <c r="D464" s="259"/>
      <c r="E464" s="186"/>
      <c r="F464" s="187"/>
    </row>
    <row r="465" spans="1:6" x14ac:dyDescent="0.2">
      <c r="A465" s="275"/>
      <c r="B465" s="78"/>
      <c r="C465" s="189"/>
      <c r="D465" s="259"/>
      <c r="E465" s="186"/>
      <c r="F465" s="187"/>
    </row>
    <row r="466" spans="1:6" x14ac:dyDescent="0.2">
      <c r="A466" s="275"/>
      <c r="B466" s="78"/>
      <c r="C466" s="189"/>
      <c r="D466" s="259"/>
      <c r="E466" s="186"/>
      <c r="F466" s="187"/>
    </row>
    <row r="467" spans="1:6" x14ac:dyDescent="0.2">
      <c r="A467" s="275"/>
      <c r="B467" s="78"/>
      <c r="C467" s="189"/>
      <c r="D467" s="259"/>
      <c r="E467" s="186"/>
      <c r="F467" s="187"/>
    </row>
    <row r="468" spans="1:6" x14ac:dyDescent="0.2">
      <c r="A468" s="275"/>
      <c r="B468" s="78"/>
      <c r="C468" s="189"/>
      <c r="D468" s="259"/>
      <c r="E468" s="186"/>
      <c r="F468" s="187"/>
    </row>
    <row r="469" spans="1:6" x14ac:dyDescent="0.2">
      <c r="A469" s="275"/>
      <c r="B469" s="78"/>
      <c r="C469" s="189"/>
      <c r="D469" s="259"/>
      <c r="E469" s="186"/>
      <c r="F469" s="187"/>
    </row>
    <row r="470" spans="1:6" x14ac:dyDescent="0.2">
      <c r="A470" s="275"/>
      <c r="B470" s="78"/>
      <c r="C470" s="189"/>
      <c r="D470" s="259"/>
      <c r="E470" s="186"/>
      <c r="F470" s="187"/>
    </row>
    <row r="471" spans="1:6" x14ac:dyDescent="0.2">
      <c r="A471" s="275"/>
      <c r="B471" s="78"/>
      <c r="C471" s="189"/>
      <c r="D471" s="259"/>
      <c r="E471" s="186"/>
      <c r="F471" s="187"/>
    </row>
    <row r="472" spans="1:6" x14ac:dyDescent="0.2">
      <c r="A472" s="275"/>
      <c r="B472" s="78"/>
      <c r="C472" s="189"/>
      <c r="D472" s="259"/>
      <c r="E472" s="186"/>
      <c r="F472" s="187"/>
    </row>
    <row r="473" spans="1:6" x14ac:dyDescent="0.2">
      <c r="A473" s="275"/>
      <c r="B473" s="78"/>
      <c r="C473" s="189"/>
      <c r="D473" s="259"/>
      <c r="E473" s="186"/>
      <c r="F473" s="187"/>
    </row>
    <row r="474" spans="1:6" x14ac:dyDescent="0.2">
      <c r="A474" s="275"/>
      <c r="B474" s="78"/>
      <c r="C474" s="189"/>
      <c r="D474" s="259"/>
      <c r="E474" s="186"/>
      <c r="F474" s="187"/>
    </row>
    <row r="475" spans="1:6" x14ac:dyDescent="0.2">
      <c r="A475" s="275"/>
      <c r="B475" s="78"/>
      <c r="C475" s="189"/>
      <c r="D475" s="259"/>
      <c r="E475" s="186"/>
      <c r="F475" s="187"/>
    </row>
    <row r="476" spans="1:6" x14ac:dyDescent="0.2">
      <c r="A476" s="275"/>
      <c r="B476" s="78"/>
      <c r="C476" s="189"/>
      <c r="D476" s="259"/>
      <c r="E476" s="186"/>
      <c r="F476" s="187"/>
    </row>
    <row r="477" spans="1:6" x14ac:dyDescent="0.2">
      <c r="A477" s="275"/>
      <c r="B477" s="78"/>
      <c r="C477" s="189"/>
      <c r="D477" s="259"/>
      <c r="E477" s="186"/>
      <c r="F477" s="187"/>
    </row>
    <row r="478" spans="1:6" x14ac:dyDescent="0.2">
      <c r="A478" s="275"/>
      <c r="B478" s="78"/>
      <c r="C478" s="189"/>
      <c r="D478" s="259"/>
      <c r="E478" s="186"/>
      <c r="F478" s="187"/>
    </row>
    <row r="479" spans="1:6" x14ac:dyDescent="0.2">
      <c r="A479" s="275"/>
      <c r="B479" s="78"/>
      <c r="C479" s="189"/>
      <c r="D479" s="259"/>
      <c r="E479" s="186"/>
      <c r="F479" s="187"/>
    </row>
    <row r="480" spans="1:6" x14ac:dyDescent="0.2">
      <c r="A480" s="275"/>
      <c r="B480" s="78"/>
      <c r="C480" s="189"/>
      <c r="D480" s="259"/>
      <c r="E480" s="186"/>
      <c r="F480" s="187"/>
    </row>
    <row r="481" spans="1:6" x14ac:dyDescent="0.2">
      <c r="A481" s="275"/>
      <c r="B481" s="78"/>
      <c r="C481" s="189"/>
      <c r="D481" s="259"/>
      <c r="E481" s="186"/>
      <c r="F481" s="187"/>
    </row>
    <row r="482" spans="1:6" x14ac:dyDescent="0.2">
      <c r="A482" s="275"/>
      <c r="B482" s="78"/>
      <c r="C482" s="189"/>
      <c r="D482" s="259"/>
      <c r="E482" s="186"/>
      <c r="F482" s="187"/>
    </row>
    <row r="483" spans="1:6" x14ac:dyDescent="0.2">
      <c r="A483" s="275"/>
      <c r="B483" s="78"/>
      <c r="C483" s="189"/>
      <c r="D483" s="259"/>
      <c r="E483" s="186"/>
      <c r="F483" s="187"/>
    </row>
    <row r="484" spans="1:6" x14ac:dyDescent="0.2">
      <c r="A484" s="275"/>
      <c r="B484" s="78"/>
      <c r="C484" s="189"/>
      <c r="D484" s="259"/>
      <c r="E484" s="186"/>
      <c r="F484" s="187"/>
    </row>
    <row r="485" spans="1:6" x14ac:dyDescent="0.2">
      <c r="A485" s="275"/>
      <c r="B485" s="78"/>
      <c r="C485" s="189"/>
      <c r="D485" s="259"/>
      <c r="E485" s="186"/>
      <c r="F485" s="187"/>
    </row>
    <row r="486" spans="1:6" x14ac:dyDescent="0.2">
      <c r="A486" s="275"/>
      <c r="B486" s="78"/>
      <c r="C486" s="189"/>
      <c r="D486" s="259"/>
      <c r="E486" s="186"/>
      <c r="F486" s="187"/>
    </row>
    <row r="487" spans="1:6" x14ac:dyDescent="0.2">
      <c r="A487" s="275"/>
      <c r="B487" s="78"/>
      <c r="C487" s="189"/>
      <c r="D487" s="259"/>
      <c r="E487" s="186"/>
      <c r="F487" s="187"/>
    </row>
    <row r="488" spans="1:6" x14ac:dyDescent="0.2">
      <c r="A488" s="275"/>
      <c r="B488" s="78"/>
      <c r="C488" s="189"/>
      <c r="D488" s="259"/>
      <c r="E488" s="186"/>
      <c r="F488" s="187"/>
    </row>
    <row r="489" spans="1:6" x14ac:dyDescent="0.2">
      <c r="A489" s="275"/>
      <c r="B489" s="78"/>
      <c r="C489" s="189"/>
      <c r="D489" s="259"/>
      <c r="E489" s="186"/>
      <c r="F489" s="187"/>
    </row>
    <row r="490" spans="1:6" x14ac:dyDescent="0.2">
      <c r="A490" s="275"/>
      <c r="B490" s="78"/>
      <c r="C490" s="189"/>
      <c r="D490" s="259"/>
      <c r="E490" s="186"/>
      <c r="F490" s="187"/>
    </row>
    <row r="491" spans="1:6" x14ac:dyDescent="0.2">
      <c r="A491" s="275"/>
      <c r="B491" s="78"/>
      <c r="C491" s="189"/>
      <c r="D491" s="259"/>
      <c r="E491" s="186"/>
      <c r="F491" s="187"/>
    </row>
    <row r="492" spans="1:6" x14ac:dyDescent="0.2">
      <c r="A492" s="275"/>
      <c r="B492" s="78"/>
      <c r="C492" s="189"/>
      <c r="D492" s="259"/>
      <c r="E492" s="186"/>
      <c r="F492" s="187"/>
    </row>
    <row r="493" spans="1:6" x14ac:dyDescent="0.2">
      <c r="A493" s="275"/>
      <c r="B493" s="78"/>
      <c r="C493" s="189"/>
      <c r="D493" s="259"/>
      <c r="E493" s="186"/>
      <c r="F493" s="187"/>
    </row>
    <row r="494" spans="1:6" x14ac:dyDescent="0.2">
      <c r="A494" s="275"/>
      <c r="B494" s="78"/>
      <c r="C494" s="189"/>
      <c r="D494" s="259"/>
      <c r="E494" s="186"/>
      <c r="F494" s="187"/>
    </row>
    <row r="495" spans="1:6" x14ac:dyDescent="0.2">
      <c r="A495" s="275"/>
      <c r="B495" s="78"/>
      <c r="C495" s="189"/>
      <c r="D495" s="259"/>
      <c r="E495" s="186"/>
      <c r="F495" s="187"/>
    </row>
    <row r="496" spans="1:6" x14ac:dyDescent="0.2">
      <c r="A496" s="275"/>
      <c r="B496" s="78"/>
      <c r="C496" s="189"/>
      <c r="D496" s="259"/>
      <c r="E496" s="186"/>
      <c r="F496" s="187"/>
    </row>
    <row r="497" spans="1:6" x14ac:dyDescent="0.2">
      <c r="A497" s="275"/>
      <c r="B497" s="78"/>
      <c r="C497" s="189"/>
      <c r="D497" s="259"/>
      <c r="E497" s="186"/>
      <c r="F497" s="187"/>
    </row>
    <row r="498" spans="1:6" x14ac:dyDescent="0.2">
      <c r="A498" s="275"/>
      <c r="B498" s="78"/>
      <c r="C498" s="189"/>
      <c r="D498" s="259"/>
      <c r="E498" s="186"/>
      <c r="F498" s="187"/>
    </row>
    <row r="499" spans="1:6" x14ac:dyDescent="0.2">
      <c r="A499" s="275"/>
      <c r="B499" s="78"/>
      <c r="C499" s="189"/>
      <c r="D499" s="259"/>
      <c r="E499" s="186"/>
      <c r="F499" s="187"/>
    </row>
    <row r="500" spans="1:6" x14ac:dyDescent="0.2">
      <c r="A500" s="275"/>
      <c r="B500" s="78"/>
      <c r="C500" s="189"/>
      <c r="D500" s="259"/>
      <c r="E500" s="186"/>
      <c r="F500" s="187"/>
    </row>
    <row r="501" spans="1:6" x14ac:dyDescent="0.2">
      <c r="A501" s="275"/>
      <c r="B501" s="78"/>
      <c r="C501" s="189"/>
      <c r="D501" s="259"/>
      <c r="E501" s="186"/>
      <c r="F501" s="187"/>
    </row>
    <row r="502" spans="1:6" x14ac:dyDescent="0.2">
      <c r="A502" s="275"/>
      <c r="B502" s="78"/>
      <c r="C502" s="189"/>
      <c r="D502" s="259"/>
      <c r="E502" s="186"/>
      <c r="F502" s="187"/>
    </row>
    <row r="503" spans="1:6" x14ac:dyDescent="0.2">
      <c r="A503" s="275"/>
      <c r="B503" s="78"/>
      <c r="C503" s="189"/>
      <c r="D503" s="259"/>
      <c r="E503" s="186"/>
      <c r="F503" s="187"/>
    </row>
    <row r="504" spans="1:6" x14ac:dyDescent="0.2">
      <c r="A504" s="275"/>
      <c r="B504" s="78"/>
      <c r="C504" s="189"/>
      <c r="D504" s="259"/>
      <c r="E504" s="186"/>
      <c r="F504" s="187"/>
    </row>
    <row r="505" spans="1:6" x14ac:dyDescent="0.2">
      <c r="A505" s="275"/>
      <c r="B505" s="78"/>
      <c r="C505" s="189"/>
      <c r="D505" s="259"/>
      <c r="E505" s="186"/>
      <c r="F505" s="187"/>
    </row>
    <row r="506" spans="1:6" x14ac:dyDescent="0.2">
      <c r="A506" s="275"/>
      <c r="B506" s="78"/>
      <c r="C506" s="189"/>
      <c r="D506" s="259"/>
      <c r="E506" s="186"/>
      <c r="F506" s="187"/>
    </row>
    <row r="507" spans="1:6" x14ac:dyDescent="0.2">
      <c r="A507" s="275"/>
      <c r="B507" s="78"/>
      <c r="C507" s="189"/>
      <c r="D507" s="259"/>
      <c r="E507" s="186"/>
      <c r="F507" s="187"/>
    </row>
    <row r="508" spans="1:6" x14ac:dyDescent="0.2">
      <c r="A508" s="275"/>
      <c r="B508" s="78"/>
      <c r="C508" s="189"/>
      <c r="D508" s="259"/>
      <c r="E508" s="186"/>
      <c r="F508" s="187"/>
    </row>
    <row r="509" spans="1:6" x14ac:dyDescent="0.2">
      <c r="A509" s="275"/>
      <c r="B509" s="78"/>
      <c r="C509" s="189"/>
      <c r="D509" s="259"/>
      <c r="E509" s="186"/>
      <c r="F509" s="187"/>
    </row>
    <row r="510" spans="1:6" x14ac:dyDescent="0.2">
      <c r="A510" s="275"/>
      <c r="B510" s="78"/>
      <c r="C510" s="189"/>
      <c r="D510" s="259"/>
      <c r="E510" s="186"/>
      <c r="F510" s="187"/>
    </row>
    <row r="511" spans="1:6" x14ac:dyDescent="0.2">
      <c r="A511" s="275"/>
      <c r="B511" s="78"/>
      <c r="C511" s="189"/>
      <c r="D511" s="259"/>
      <c r="E511" s="186"/>
      <c r="F511" s="187"/>
    </row>
    <row r="512" spans="1:6" x14ac:dyDescent="0.2">
      <c r="A512" s="275"/>
      <c r="B512" s="78"/>
      <c r="C512" s="189"/>
      <c r="D512" s="259"/>
      <c r="E512" s="186"/>
      <c r="F512" s="187"/>
    </row>
    <row r="513" spans="1:6" x14ac:dyDescent="0.2">
      <c r="A513" s="275"/>
      <c r="B513" s="78"/>
      <c r="C513" s="189"/>
      <c r="D513" s="259"/>
      <c r="E513" s="186"/>
      <c r="F513" s="187"/>
    </row>
    <row r="514" spans="1:6" x14ac:dyDescent="0.2">
      <c r="A514" s="275"/>
      <c r="B514" s="78"/>
      <c r="C514" s="189"/>
      <c r="D514" s="259"/>
      <c r="E514" s="186"/>
      <c r="F514" s="187"/>
    </row>
    <row r="515" spans="1:6" x14ac:dyDescent="0.2">
      <c r="A515" s="275"/>
      <c r="B515" s="78"/>
      <c r="C515" s="189"/>
      <c r="D515" s="259"/>
      <c r="E515" s="186"/>
      <c r="F515" s="187"/>
    </row>
    <row r="516" spans="1:6" x14ac:dyDescent="0.2">
      <c r="A516" s="275"/>
      <c r="B516" s="78"/>
      <c r="C516" s="189"/>
      <c r="D516" s="259"/>
      <c r="E516" s="186"/>
      <c r="F516" s="187"/>
    </row>
    <row r="517" spans="1:6" x14ac:dyDescent="0.2">
      <c r="A517" s="275"/>
      <c r="B517" s="78"/>
      <c r="C517" s="189"/>
      <c r="D517" s="259"/>
      <c r="E517" s="186"/>
      <c r="F517" s="187"/>
    </row>
    <row r="518" spans="1:6" x14ac:dyDescent="0.2">
      <c r="A518" s="275"/>
      <c r="B518" s="78"/>
      <c r="C518" s="189"/>
      <c r="D518" s="259"/>
      <c r="E518" s="186"/>
      <c r="F518" s="187"/>
    </row>
    <row r="519" spans="1:6" x14ac:dyDescent="0.2">
      <c r="A519" s="275"/>
      <c r="B519" s="78"/>
      <c r="C519" s="189"/>
      <c r="D519" s="259"/>
      <c r="E519" s="186"/>
      <c r="F519" s="187"/>
    </row>
    <row r="520" spans="1:6" x14ac:dyDescent="0.2">
      <c r="A520" s="275"/>
      <c r="B520" s="78"/>
      <c r="C520" s="189"/>
      <c r="D520" s="259"/>
      <c r="E520" s="186"/>
      <c r="F520" s="187"/>
    </row>
    <row r="521" spans="1:6" x14ac:dyDescent="0.2">
      <c r="A521" s="275"/>
      <c r="B521" s="78"/>
      <c r="C521" s="189"/>
      <c r="D521" s="259"/>
      <c r="E521" s="186"/>
      <c r="F521" s="187"/>
    </row>
    <row r="522" spans="1:6" x14ac:dyDescent="0.2">
      <c r="A522" s="275"/>
      <c r="B522" s="78"/>
      <c r="C522" s="189"/>
      <c r="D522" s="259"/>
      <c r="E522" s="186"/>
      <c r="F522" s="187"/>
    </row>
    <row r="523" spans="1:6" x14ac:dyDescent="0.2">
      <c r="A523" s="275"/>
      <c r="B523" s="78"/>
      <c r="C523" s="189"/>
      <c r="D523" s="259"/>
      <c r="E523" s="186"/>
      <c r="F523" s="187"/>
    </row>
    <row r="524" spans="1:6" x14ac:dyDescent="0.2">
      <c r="A524" s="275"/>
      <c r="B524" s="78"/>
      <c r="C524" s="189"/>
      <c r="D524" s="259"/>
      <c r="E524" s="186"/>
      <c r="F524" s="187"/>
    </row>
    <row r="525" spans="1:6" x14ac:dyDescent="0.2">
      <c r="A525" s="275"/>
      <c r="B525" s="78"/>
      <c r="C525" s="189"/>
      <c r="D525" s="259"/>
      <c r="E525" s="186"/>
      <c r="F525" s="187"/>
    </row>
    <row r="526" spans="1:6" x14ac:dyDescent="0.2">
      <c r="A526" s="275"/>
      <c r="B526" s="78"/>
      <c r="C526" s="189"/>
      <c r="D526" s="259"/>
      <c r="E526" s="186"/>
      <c r="F526" s="187"/>
    </row>
    <row r="527" spans="1:6" x14ac:dyDescent="0.2">
      <c r="A527" s="275"/>
      <c r="B527" s="78"/>
      <c r="C527" s="189"/>
      <c r="D527" s="259"/>
      <c r="E527" s="186"/>
      <c r="F527" s="187"/>
    </row>
    <row r="528" spans="1:6" x14ac:dyDescent="0.2">
      <c r="A528" s="275"/>
      <c r="B528" s="78"/>
      <c r="C528" s="189"/>
      <c r="D528" s="259"/>
      <c r="E528" s="186"/>
      <c r="F528" s="187"/>
    </row>
    <row r="529" spans="1:6" x14ac:dyDescent="0.2">
      <c r="A529" s="275"/>
      <c r="B529" s="78"/>
      <c r="C529" s="189"/>
      <c r="D529" s="259"/>
      <c r="E529" s="186"/>
      <c r="F529" s="187"/>
    </row>
    <row r="530" spans="1:6" x14ac:dyDescent="0.2">
      <c r="A530" s="275"/>
      <c r="B530" s="78"/>
      <c r="C530" s="189"/>
      <c r="D530" s="259"/>
      <c r="E530" s="186"/>
      <c r="F530" s="187"/>
    </row>
    <row r="531" spans="1:6" x14ac:dyDescent="0.2">
      <c r="A531" s="275"/>
      <c r="B531" s="78"/>
      <c r="C531" s="189"/>
      <c r="D531" s="259"/>
      <c r="E531" s="186"/>
      <c r="F531" s="187"/>
    </row>
    <row r="532" spans="1:6" x14ac:dyDescent="0.2">
      <c r="A532" s="275"/>
      <c r="B532" s="78"/>
      <c r="C532" s="189"/>
      <c r="D532" s="259"/>
      <c r="E532" s="186"/>
      <c r="F532" s="187"/>
    </row>
    <row r="533" spans="1:6" x14ac:dyDescent="0.2">
      <c r="A533" s="275"/>
      <c r="B533" s="78"/>
      <c r="C533" s="189"/>
      <c r="D533" s="259"/>
      <c r="E533" s="186"/>
      <c r="F533" s="187"/>
    </row>
    <row r="534" spans="1:6" x14ac:dyDescent="0.2">
      <c r="A534" s="275"/>
      <c r="B534" s="78"/>
      <c r="C534" s="189"/>
      <c r="D534" s="259"/>
      <c r="E534" s="186"/>
      <c r="F534" s="187"/>
    </row>
    <row r="535" spans="1:6" x14ac:dyDescent="0.2">
      <c r="A535" s="275"/>
      <c r="B535" s="78"/>
      <c r="C535" s="189"/>
      <c r="D535" s="259"/>
      <c r="E535" s="186"/>
      <c r="F535" s="187"/>
    </row>
    <row r="536" spans="1:6" x14ac:dyDescent="0.2">
      <c r="A536" s="275"/>
      <c r="B536" s="78"/>
      <c r="C536" s="189"/>
      <c r="D536" s="259"/>
      <c r="E536" s="186"/>
      <c r="F536" s="187"/>
    </row>
    <row r="537" spans="1:6" x14ac:dyDescent="0.2">
      <c r="A537" s="275"/>
      <c r="B537" s="78"/>
      <c r="C537" s="189"/>
      <c r="D537" s="259"/>
      <c r="E537" s="186"/>
      <c r="F537" s="187"/>
    </row>
    <row r="538" spans="1:6" x14ac:dyDescent="0.2">
      <c r="A538" s="275"/>
      <c r="B538" s="78"/>
      <c r="C538" s="189"/>
      <c r="D538" s="259"/>
      <c r="E538" s="186"/>
      <c r="F538" s="187"/>
    </row>
    <row r="539" spans="1:6" x14ac:dyDescent="0.2">
      <c r="A539" s="275"/>
      <c r="B539" s="78"/>
      <c r="C539" s="189"/>
      <c r="D539" s="259"/>
      <c r="E539" s="186"/>
      <c r="F539" s="187"/>
    </row>
    <row r="540" spans="1:6" x14ac:dyDescent="0.2">
      <c r="A540" s="275"/>
      <c r="B540" s="78"/>
      <c r="C540" s="189"/>
      <c r="D540" s="259"/>
      <c r="E540" s="186"/>
      <c r="F540" s="187"/>
    </row>
    <row r="541" spans="1:6" x14ac:dyDescent="0.2">
      <c r="A541" s="275"/>
      <c r="B541" s="78"/>
      <c r="C541" s="189"/>
      <c r="D541" s="259"/>
      <c r="E541" s="186"/>
      <c r="F541" s="187"/>
    </row>
    <row r="542" spans="1:6" x14ac:dyDescent="0.2">
      <c r="A542" s="275"/>
      <c r="B542" s="78"/>
      <c r="C542" s="189"/>
      <c r="D542" s="259"/>
      <c r="E542" s="186"/>
      <c r="F542" s="187"/>
    </row>
    <row r="543" spans="1:6" x14ac:dyDescent="0.2">
      <c r="A543" s="275"/>
      <c r="B543" s="78"/>
      <c r="C543" s="189"/>
      <c r="D543" s="259"/>
      <c r="E543" s="186"/>
      <c r="F543" s="187"/>
    </row>
    <row r="544" spans="1:6" x14ac:dyDescent="0.2">
      <c r="A544" s="275"/>
      <c r="B544" s="78"/>
      <c r="C544" s="189"/>
      <c r="D544" s="259"/>
      <c r="E544" s="186"/>
      <c r="F544" s="187"/>
    </row>
    <row r="545" spans="1:6" x14ac:dyDescent="0.2">
      <c r="A545" s="275"/>
      <c r="B545" s="78"/>
      <c r="C545" s="189"/>
      <c r="D545" s="259"/>
      <c r="E545" s="186"/>
      <c r="F545" s="187"/>
    </row>
    <row r="546" spans="1:6" x14ac:dyDescent="0.2">
      <c r="A546" s="275"/>
      <c r="B546" s="78"/>
      <c r="C546" s="189"/>
      <c r="D546" s="259"/>
      <c r="E546" s="186"/>
      <c r="F546" s="187"/>
    </row>
    <row r="547" spans="1:6" x14ac:dyDescent="0.2">
      <c r="A547" s="275"/>
      <c r="B547" s="78"/>
      <c r="C547" s="189"/>
      <c r="D547" s="259"/>
      <c r="E547" s="186"/>
      <c r="F547" s="187"/>
    </row>
    <row r="548" spans="1:6" x14ac:dyDescent="0.2">
      <c r="A548" s="275"/>
      <c r="B548" s="78"/>
      <c r="C548" s="189"/>
      <c r="D548" s="259"/>
      <c r="E548" s="186"/>
      <c r="F548" s="187"/>
    </row>
    <row r="549" spans="1:6" x14ac:dyDescent="0.2">
      <c r="A549" s="275"/>
      <c r="B549" s="78"/>
      <c r="C549" s="189"/>
      <c r="D549" s="259"/>
      <c r="E549" s="186"/>
      <c r="F549" s="187"/>
    </row>
    <row r="550" spans="1:6" x14ac:dyDescent="0.2">
      <c r="A550" s="275"/>
      <c r="B550" s="78"/>
      <c r="C550" s="189"/>
      <c r="D550" s="259"/>
      <c r="E550" s="186"/>
      <c r="F550" s="187"/>
    </row>
    <row r="551" spans="1:6" x14ac:dyDescent="0.2">
      <c r="A551" s="275"/>
      <c r="B551" s="78"/>
      <c r="C551" s="189"/>
      <c r="D551" s="259"/>
      <c r="E551" s="186"/>
      <c r="F551" s="187"/>
    </row>
    <row r="552" spans="1:6" x14ac:dyDescent="0.2">
      <c r="A552" s="275"/>
      <c r="B552" s="78"/>
      <c r="C552" s="189"/>
      <c r="D552" s="259"/>
      <c r="E552" s="186"/>
      <c r="F552" s="187"/>
    </row>
    <row r="553" spans="1:6" x14ac:dyDescent="0.2">
      <c r="A553" s="275"/>
      <c r="B553" s="78"/>
      <c r="C553" s="189"/>
      <c r="D553" s="259"/>
      <c r="E553" s="186"/>
      <c r="F553" s="187"/>
    </row>
    <row r="554" spans="1:6" x14ac:dyDescent="0.2">
      <c r="A554" s="275"/>
      <c r="B554" s="78"/>
      <c r="C554" s="189"/>
      <c r="D554" s="259"/>
      <c r="E554" s="186"/>
      <c r="F554" s="187"/>
    </row>
    <row r="555" spans="1:6" x14ac:dyDescent="0.2">
      <c r="A555" s="275"/>
      <c r="B555" s="78"/>
      <c r="C555" s="189"/>
      <c r="D555" s="259"/>
      <c r="E555" s="186"/>
      <c r="F555" s="187"/>
    </row>
    <row r="556" spans="1:6" x14ac:dyDescent="0.2">
      <c r="A556" s="275"/>
      <c r="B556" s="78"/>
      <c r="C556" s="189"/>
      <c r="D556" s="259"/>
      <c r="E556" s="186"/>
      <c r="F556" s="187"/>
    </row>
    <row r="557" spans="1:6" x14ac:dyDescent="0.2">
      <c r="A557" s="275"/>
      <c r="B557" s="78"/>
      <c r="C557" s="189"/>
      <c r="D557" s="259"/>
      <c r="E557" s="186"/>
      <c r="F557" s="187"/>
    </row>
    <row r="558" spans="1:6" x14ac:dyDescent="0.2">
      <c r="A558" s="275"/>
      <c r="B558" s="78"/>
      <c r="C558" s="189"/>
      <c r="D558" s="259"/>
      <c r="E558" s="186"/>
      <c r="F558" s="187"/>
    </row>
    <row r="559" spans="1:6" x14ac:dyDescent="0.2">
      <c r="A559" s="275"/>
      <c r="B559" s="78"/>
      <c r="C559" s="189"/>
      <c r="D559" s="259"/>
      <c r="E559" s="186"/>
      <c r="F559" s="187"/>
    </row>
    <row r="560" spans="1:6" x14ac:dyDescent="0.2">
      <c r="A560" s="275"/>
      <c r="B560" s="78"/>
      <c r="C560" s="189"/>
      <c r="D560" s="259"/>
      <c r="E560" s="186"/>
      <c r="F560" s="187"/>
    </row>
    <row r="561" spans="1:6" x14ac:dyDescent="0.2">
      <c r="A561" s="275"/>
      <c r="B561" s="78"/>
      <c r="C561" s="189"/>
      <c r="D561" s="259"/>
      <c r="E561" s="186"/>
      <c r="F561" s="187"/>
    </row>
    <row r="562" spans="1:6" x14ac:dyDescent="0.2">
      <c r="A562" s="275"/>
      <c r="B562" s="78"/>
      <c r="C562" s="189"/>
      <c r="D562" s="259"/>
      <c r="E562" s="186"/>
      <c r="F562" s="187"/>
    </row>
    <row r="563" spans="1:6" x14ac:dyDescent="0.2">
      <c r="A563" s="275"/>
      <c r="B563" s="78"/>
      <c r="C563" s="189"/>
      <c r="D563" s="259"/>
      <c r="E563" s="186"/>
      <c r="F563" s="187"/>
    </row>
    <row r="564" spans="1:6" x14ac:dyDescent="0.2">
      <c r="A564" s="275"/>
      <c r="B564" s="78"/>
      <c r="C564" s="189"/>
      <c r="D564" s="259"/>
      <c r="E564" s="186"/>
      <c r="F564" s="187"/>
    </row>
    <row r="565" spans="1:6" x14ac:dyDescent="0.2">
      <c r="A565" s="275"/>
      <c r="B565" s="78"/>
      <c r="C565" s="189"/>
      <c r="D565" s="259"/>
      <c r="E565" s="186"/>
      <c r="F565" s="187"/>
    </row>
    <row r="566" spans="1:6" x14ac:dyDescent="0.2">
      <c r="A566" s="275"/>
      <c r="B566" s="78"/>
      <c r="C566" s="189"/>
      <c r="D566" s="259"/>
      <c r="E566" s="186"/>
      <c r="F566" s="187"/>
    </row>
    <row r="567" spans="1:6" x14ac:dyDescent="0.2">
      <c r="A567" s="275"/>
      <c r="B567" s="78"/>
      <c r="C567" s="189"/>
      <c r="D567" s="259"/>
      <c r="E567" s="186"/>
      <c r="F567" s="187"/>
    </row>
    <row r="568" spans="1:6" x14ac:dyDescent="0.2">
      <c r="A568" s="275"/>
      <c r="B568" s="78"/>
      <c r="C568" s="189"/>
      <c r="D568" s="259"/>
      <c r="E568" s="186"/>
      <c r="F568" s="187"/>
    </row>
    <row r="569" spans="1:6" x14ac:dyDescent="0.2">
      <c r="A569" s="275"/>
      <c r="B569" s="78"/>
      <c r="C569" s="189"/>
      <c r="D569" s="259"/>
      <c r="E569" s="186"/>
      <c r="F569" s="187"/>
    </row>
    <row r="570" spans="1:6" x14ac:dyDescent="0.2">
      <c r="A570" s="275"/>
      <c r="B570" s="78"/>
      <c r="C570" s="189"/>
      <c r="D570" s="259"/>
      <c r="E570" s="186"/>
      <c r="F570" s="187"/>
    </row>
    <row r="571" spans="1:6" x14ac:dyDescent="0.2">
      <c r="A571" s="275"/>
      <c r="B571" s="78"/>
      <c r="C571" s="189"/>
      <c r="D571" s="259"/>
      <c r="E571" s="186"/>
      <c r="F571" s="187"/>
    </row>
    <row r="572" spans="1:6" x14ac:dyDescent="0.2">
      <c r="A572" s="275"/>
      <c r="B572" s="78"/>
      <c r="C572" s="189"/>
      <c r="D572" s="259"/>
      <c r="E572" s="186"/>
      <c r="F572" s="187"/>
    </row>
    <row r="573" spans="1:6" x14ac:dyDescent="0.2">
      <c r="A573" s="275"/>
      <c r="B573" s="78"/>
      <c r="C573" s="189"/>
      <c r="D573" s="259"/>
      <c r="E573" s="186"/>
      <c r="F573" s="187"/>
    </row>
    <row r="574" spans="1:6" x14ac:dyDescent="0.2">
      <c r="A574" s="275"/>
      <c r="B574" s="78"/>
      <c r="C574" s="189"/>
      <c r="D574" s="259"/>
      <c r="E574" s="186"/>
      <c r="F574" s="187"/>
    </row>
    <row r="575" spans="1:6" x14ac:dyDescent="0.2">
      <c r="A575" s="275"/>
      <c r="B575" s="78"/>
      <c r="C575" s="189"/>
      <c r="D575" s="259"/>
      <c r="E575" s="186"/>
      <c r="F575" s="187"/>
    </row>
    <row r="576" spans="1:6" x14ac:dyDescent="0.2">
      <c r="A576" s="275"/>
      <c r="B576" s="78"/>
      <c r="C576" s="189"/>
      <c r="D576" s="259"/>
      <c r="E576" s="186"/>
      <c r="F576" s="187"/>
    </row>
    <row r="577" spans="1:6" x14ac:dyDescent="0.2">
      <c r="A577" s="275"/>
      <c r="B577" s="78"/>
      <c r="C577" s="189"/>
      <c r="D577" s="259"/>
      <c r="E577" s="186"/>
      <c r="F577" s="187"/>
    </row>
    <row r="578" spans="1:6" x14ac:dyDescent="0.2">
      <c r="A578" s="275"/>
      <c r="B578" s="78"/>
      <c r="C578" s="189"/>
      <c r="D578" s="259"/>
      <c r="E578" s="186"/>
      <c r="F578" s="187"/>
    </row>
    <row r="579" spans="1:6" x14ac:dyDescent="0.2">
      <c r="A579" s="275"/>
      <c r="B579" s="78"/>
      <c r="C579" s="189"/>
      <c r="D579" s="259"/>
      <c r="E579" s="186"/>
      <c r="F579" s="187"/>
    </row>
    <row r="580" spans="1:6" x14ac:dyDescent="0.2">
      <c r="A580" s="275"/>
      <c r="B580" s="78"/>
      <c r="C580" s="189"/>
      <c r="D580" s="259"/>
      <c r="E580" s="186"/>
      <c r="F580" s="187"/>
    </row>
    <row r="581" spans="1:6" x14ac:dyDescent="0.2">
      <c r="A581" s="275"/>
      <c r="B581" s="78"/>
      <c r="C581" s="189"/>
      <c r="D581" s="259"/>
      <c r="E581" s="186"/>
      <c r="F581" s="187"/>
    </row>
    <row r="582" spans="1:6" x14ac:dyDescent="0.2">
      <c r="A582" s="275"/>
      <c r="B582" s="78"/>
      <c r="C582" s="189"/>
      <c r="D582" s="259"/>
      <c r="E582" s="186"/>
      <c r="F582" s="187"/>
    </row>
    <row r="583" spans="1:6" x14ac:dyDescent="0.2">
      <c r="A583" s="275"/>
      <c r="B583" s="78"/>
      <c r="C583" s="189"/>
      <c r="D583" s="259"/>
      <c r="E583" s="186"/>
      <c r="F583" s="187"/>
    </row>
    <row r="584" spans="1:6" x14ac:dyDescent="0.2">
      <c r="A584" s="275"/>
      <c r="B584" s="78"/>
      <c r="C584" s="189"/>
      <c r="D584" s="259"/>
      <c r="E584" s="186"/>
      <c r="F584" s="187"/>
    </row>
    <row r="585" spans="1:6" x14ac:dyDescent="0.2">
      <c r="A585" s="275"/>
      <c r="B585" s="78"/>
      <c r="C585" s="189"/>
      <c r="D585" s="259"/>
      <c r="E585" s="186"/>
      <c r="F585" s="187"/>
    </row>
    <row r="586" spans="1:6" x14ac:dyDescent="0.2">
      <c r="A586" s="275"/>
      <c r="B586" s="78"/>
      <c r="C586" s="189"/>
      <c r="D586" s="259"/>
      <c r="E586" s="186"/>
      <c r="F586" s="187"/>
    </row>
    <row r="587" spans="1:6" x14ac:dyDescent="0.2">
      <c r="A587" s="275"/>
      <c r="B587" s="78"/>
      <c r="C587" s="189"/>
      <c r="D587" s="259"/>
      <c r="E587" s="186"/>
      <c r="F587" s="187"/>
    </row>
    <row r="588" spans="1:6" x14ac:dyDescent="0.2">
      <c r="A588" s="275"/>
      <c r="B588" s="78"/>
      <c r="C588" s="189"/>
      <c r="D588" s="259"/>
      <c r="E588" s="186"/>
      <c r="F588" s="187"/>
    </row>
    <row r="589" spans="1:6" x14ac:dyDescent="0.2">
      <c r="A589" s="275"/>
      <c r="B589" s="78"/>
      <c r="C589" s="189"/>
      <c r="D589" s="259"/>
      <c r="E589" s="186"/>
      <c r="F589" s="187"/>
    </row>
    <row r="590" spans="1:6" x14ac:dyDescent="0.2">
      <c r="A590" s="275"/>
      <c r="B590" s="78"/>
      <c r="C590" s="189"/>
      <c r="D590" s="259"/>
      <c r="E590" s="186"/>
      <c r="F590" s="187"/>
    </row>
    <row r="591" spans="1:6" x14ac:dyDescent="0.2">
      <c r="A591" s="275"/>
      <c r="B591" s="78"/>
      <c r="C591" s="189"/>
      <c r="D591" s="259"/>
      <c r="E591" s="186"/>
      <c r="F591" s="187"/>
    </row>
    <row r="592" spans="1:6" x14ac:dyDescent="0.2">
      <c r="A592" s="275"/>
      <c r="B592" s="78"/>
      <c r="C592" s="189"/>
      <c r="D592" s="259"/>
      <c r="E592" s="186"/>
      <c r="F592" s="187"/>
    </row>
    <row r="593" spans="1:6" x14ac:dyDescent="0.2">
      <c r="A593" s="275"/>
      <c r="B593" s="78"/>
      <c r="C593" s="189"/>
      <c r="D593" s="259"/>
      <c r="E593" s="186"/>
      <c r="F593" s="187"/>
    </row>
    <row r="594" spans="1:6" x14ac:dyDescent="0.2">
      <c r="A594" s="275"/>
      <c r="B594" s="78"/>
      <c r="C594" s="189"/>
      <c r="D594" s="259"/>
      <c r="E594" s="186"/>
      <c r="F594" s="187"/>
    </row>
    <row r="595" spans="1:6" x14ac:dyDescent="0.2">
      <c r="A595" s="275"/>
      <c r="B595" s="78"/>
      <c r="C595" s="189"/>
      <c r="D595" s="259"/>
      <c r="E595" s="186"/>
      <c r="F595" s="187"/>
    </row>
    <row r="596" spans="1:6" x14ac:dyDescent="0.2">
      <c r="A596" s="275"/>
      <c r="B596" s="78"/>
      <c r="C596" s="189"/>
      <c r="D596" s="259"/>
      <c r="E596" s="186"/>
      <c r="F596" s="187"/>
    </row>
    <row r="597" spans="1:6" x14ac:dyDescent="0.2">
      <c r="A597" s="275"/>
      <c r="B597" s="78"/>
      <c r="C597" s="189"/>
      <c r="D597" s="259"/>
      <c r="E597" s="186"/>
      <c r="F597" s="187"/>
    </row>
    <row r="598" spans="1:6" x14ac:dyDescent="0.2">
      <c r="A598" s="275"/>
      <c r="B598" s="78"/>
      <c r="C598" s="189"/>
      <c r="D598" s="259"/>
      <c r="E598" s="186"/>
      <c r="F598" s="187"/>
    </row>
    <row r="599" spans="1:6" x14ac:dyDescent="0.2">
      <c r="A599" s="275"/>
      <c r="B599" s="78"/>
      <c r="C599" s="189"/>
      <c r="D599" s="259"/>
      <c r="E599" s="186"/>
      <c r="F599" s="187"/>
    </row>
    <row r="600" spans="1:6" x14ac:dyDescent="0.2">
      <c r="A600" s="275"/>
      <c r="B600" s="78"/>
      <c r="C600" s="189"/>
      <c r="D600" s="259"/>
      <c r="E600" s="186"/>
      <c r="F600" s="187"/>
    </row>
    <row r="601" spans="1:6" x14ac:dyDescent="0.2">
      <c r="A601" s="275"/>
      <c r="B601" s="78"/>
      <c r="C601" s="189"/>
      <c r="D601" s="259"/>
      <c r="E601" s="186"/>
      <c r="F601" s="187"/>
    </row>
    <row r="602" spans="1:6" x14ac:dyDescent="0.2">
      <c r="A602" s="275"/>
      <c r="B602" s="78"/>
      <c r="C602" s="189"/>
      <c r="D602" s="259"/>
      <c r="E602" s="186"/>
      <c r="F602" s="187"/>
    </row>
    <row r="603" spans="1:6" x14ac:dyDescent="0.2">
      <c r="A603" s="275"/>
      <c r="B603" s="78"/>
      <c r="C603" s="189"/>
      <c r="D603" s="259"/>
      <c r="E603" s="186"/>
      <c r="F603" s="187"/>
    </row>
    <row r="604" spans="1:6" x14ac:dyDescent="0.2">
      <c r="A604" s="275"/>
      <c r="B604" s="78"/>
      <c r="C604" s="189"/>
      <c r="D604" s="259"/>
      <c r="E604" s="186"/>
      <c r="F604" s="187"/>
    </row>
    <row r="605" spans="1:6" x14ac:dyDescent="0.2">
      <c r="A605" s="275"/>
      <c r="B605" s="78"/>
      <c r="C605" s="189"/>
      <c r="D605" s="259"/>
      <c r="E605" s="186"/>
      <c r="F605" s="187"/>
    </row>
    <row r="606" spans="1:6" x14ac:dyDescent="0.2">
      <c r="A606" s="275"/>
      <c r="B606" s="78"/>
      <c r="C606" s="189"/>
      <c r="D606" s="259"/>
      <c r="E606" s="186"/>
      <c r="F606" s="187"/>
    </row>
    <row r="607" spans="1:6" x14ac:dyDescent="0.2">
      <c r="A607" s="275"/>
      <c r="B607" s="78"/>
      <c r="C607" s="189"/>
      <c r="D607" s="259"/>
      <c r="E607" s="186"/>
      <c r="F607" s="187"/>
    </row>
    <row r="608" spans="1:6" x14ac:dyDescent="0.2">
      <c r="A608" s="275"/>
      <c r="B608" s="78"/>
      <c r="C608" s="189"/>
      <c r="D608" s="259"/>
      <c r="E608" s="186"/>
      <c r="F608" s="187"/>
    </row>
    <row r="609" spans="1:6" x14ac:dyDescent="0.2">
      <c r="A609" s="275"/>
      <c r="B609" s="78"/>
      <c r="C609" s="189"/>
      <c r="D609" s="259"/>
      <c r="E609" s="186"/>
      <c r="F609" s="187"/>
    </row>
    <row r="610" spans="1:6" x14ac:dyDescent="0.2">
      <c r="A610" s="275"/>
      <c r="B610" s="78"/>
      <c r="C610" s="189"/>
      <c r="D610" s="259"/>
      <c r="E610" s="186"/>
      <c r="F610" s="187"/>
    </row>
    <row r="611" spans="1:6" x14ac:dyDescent="0.2">
      <c r="A611" s="275"/>
      <c r="B611" s="78"/>
      <c r="C611" s="189"/>
      <c r="D611" s="259"/>
      <c r="E611" s="186"/>
      <c r="F611" s="187"/>
    </row>
    <row r="612" spans="1:6" x14ac:dyDescent="0.2">
      <c r="A612" s="275"/>
      <c r="B612" s="78"/>
      <c r="C612" s="189"/>
      <c r="D612" s="259"/>
      <c r="E612" s="186"/>
      <c r="F612" s="187"/>
    </row>
    <row r="613" spans="1:6" x14ac:dyDescent="0.2">
      <c r="A613" s="275"/>
      <c r="B613" s="78"/>
      <c r="C613" s="189"/>
      <c r="D613" s="259"/>
      <c r="E613" s="186"/>
      <c r="F613" s="187"/>
    </row>
    <row r="614" spans="1:6" x14ac:dyDescent="0.2">
      <c r="A614" s="275"/>
      <c r="B614" s="78"/>
      <c r="C614" s="189"/>
      <c r="D614" s="259"/>
      <c r="E614" s="186"/>
      <c r="F614" s="187"/>
    </row>
    <row r="615" spans="1:6" x14ac:dyDescent="0.2">
      <c r="A615" s="275"/>
      <c r="B615" s="78"/>
      <c r="C615" s="189"/>
      <c r="D615" s="259"/>
      <c r="E615" s="186"/>
      <c r="F615" s="187"/>
    </row>
    <row r="616" spans="1:6" x14ac:dyDescent="0.2">
      <c r="A616" s="275"/>
      <c r="B616" s="78"/>
      <c r="C616" s="189"/>
      <c r="D616" s="259"/>
      <c r="E616" s="186"/>
      <c r="F616" s="187"/>
    </row>
    <row r="617" spans="1:6" x14ac:dyDescent="0.2">
      <c r="A617" s="275"/>
      <c r="B617" s="78"/>
      <c r="C617" s="189"/>
      <c r="D617" s="259"/>
      <c r="E617" s="186"/>
      <c r="F617" s="187"/>
    </row>
    <row r="618" spans="1:6" x14ac:dyDescent="0.2">
      <c r="A618" s="275"/>
      <c r="B618" s="78"/>
      <c r="C618" s="189"/>
      <c r="D618" s="259"/>
      <c r="E618" s="186"/>
      <c r="F618" s="187"/>
    </row>
    <row r="619" spans="1:6" x14ac:dyDescent="0.2">
      <c r="A619" s="275"/>
      <c r="B619" s="78"/>
      <c r="C619" s="189"/>
      <c r="D619" s="259"/>
      <c r="E619" s="186"/>
      <c r="F619" s="187"/>
    </row>
    <row r="620" spans="1:6" x14ac:dyDescent="0.2">
      <c r="A620" s="275"/>
      <c r="B620" s="78"/>
      <c r="C620" s="189"/>
      <c r="D620" s="259"/>
      <c r="E620" s="186"/>
      <c r="F620" s="187"/>
    </row>
    <row r="621" spans="1:6" x14ac:dyDescent="0.2">
      <c r="A621" s="275"/>
      <c r="B621" s="78"/>
      <c r="C621" s="189"/>
      <c r="D621" s="259"/>
      <c r="E621" s="186"/>
      <c r="F621" s="187"/>
    </row>
    <row r="622" spans="1:6" x14ac:dyDescent="0.2">
      <c r="A622" s="275"/>
      <c r="B622" s="78"/>
      <c r="C622" s="189"/>
      <c r="D622" s="259"/>
      <c r="E622" s="186"/>
      <c r="F622" s="187"/>
    </row>
    <row r="623" spans="1:6" x14ac:dyDescent="0.2">
      <c r="A623" s="275"/>
      <c r="B623" s="78"/>
      <c r="C623" s="189"/>
      <c r="D623" s="259"/>
      <c r="E623" s="186"/>
      <c r="F623" s="187"/>
    </row>
    <row r="624" spans="1:6" x14ac:dyDescent="0.2">
      <c r="A624" s="275"/>
      <c r="B624" s="78"/>
      <c r="C624" s="189"/>
      <c r="D624" s="259"/>
      <c r="E624" s="186"/>
      <c r="F624" s="187"/>
    </row>
    <row r="625" spans="1:6" x14ac:dyDescent="0.2">
      <c r="A625" s="275"/>
      <c r="B625" s="78"/>
      <c r="C625" s="189"/>
      <c r="D625" s="259"/>
      <c r="E625" s="186"/>
      <c r="F625" s="187"/>
    </row>
    <row r="626" spans="1:6" x14ac:dyDescent="0.2">
      <c r="A626" s="275"/>
      <c r="B626" s="78"/>
      <c r="C626" s="189"/>
      <c r="D626" s="259"/>
      <c r="E626" s="186"/>
      <c r="F626" s="187"/>
    </row>
    <row r="627" spans="1:6" x14ac:dyDescent="0.2">
      <c r="A627" s="275"/>
      <c r="B627" s="78"/>
      <c r="C627" s="189"/>
      <c r="D627" s="259"/>
      <c r="E627" s="186"/>
      <c r="F627" s="187"/>
    </row>
    <row r="628" spans="1:6" x14ac:dyDescent="0.2">
      <c r="A628" s="275"/>
      <c r="B628" s="78"/>
      <c r="C628" s="189"/>
      <c r="D628" s="259"/>
      <c r="E628" s="186"/>
      <c r="F628" s="187"/>
    </row>
    <row r="629" spans="1:6" x14ac:dyDescent="0.2">
      <c r="A629" s="275"/>
      <c r="B629" s="78"/>
      <c r="C629" s="189"/>
      <c r="D629" s="259"/>
      <c r="E629" s="186"/>
      <c r="F629" s="187"/>
    </row>
    <row r="630" spans="1:6" x14ac:dyDescent="0.2">
      <c r="A630" s="275"/>
      <c r="B630" s="78"/>
      <c r="C630" s="189"/>
      <c r="D630" s="259"/>
      <c r="E630" s="186"/>
      <c r="F630" s="187"/>
    </row>
    <row r="631" spans="1:6" x14ac:dyDescent="0.2">
      <c r="A631" s="275"/>
      <c r="B631" s="78"/>
      <c r="C631" s="189"/>
      <c r="D631" s="259"/>
      <c r="E631" s="186"/>
      <c r="F631" s="187"/>
    </row>
    <row r="632" spans="1:6" x14ac:dyDescent="0.2">
      <c r="A632" s="275"/>
      <c r="B632" s="78"/>
      <c r="C632" s="189"/>
      <c r="D632" s="259"/>
      <c r="E632" s="186"/>
      <c r="F632" s="187"/>
    </row>
    <row r="633" spans="1:6" x14ac:dyDescent="0.2">
      <c r="A633" s="275"/>
      <c r="B633" s="78"/>
      <c r="C633" s="189"/>
      <c r="D633" s="259"/>
      <c r="E633" s="186"/>
      <c r="F633" s="187"/>
    </row>
    <row r="634" spans="1:6" x14ac:dyDescent="0.2">
      <c r="A634" s="275"/>
      <c r="B634" s="78"/>
      <c r="C634" s="189"/>
      <c r="D634" s="259"/>
      <c r="E634" s="186"/>
      <c r="F634" s="187"/>
    </row>
    <row r="635" spans="1:6" x14ac:dyDescent="0.2">
      <c r="A635" s="275"/>
      <c r="B635" s="78"/>
      <c r="C635" s="189"/>
      <c r="D635" s="259"/>
      <c r="E635" s="186"/>
      <c r="F635" s="187"/>
    </row>
    <row r="636" spans="1:6" x14ac:dyDescent="0.2">
      <c r="A636" s="275"/>
      <c r="B636" s="78"/>
      <c r="C636" s="189"/>
      <c r="D636" s="259"/>
      <c r="E636" s="186"/>
      <c r="F636" s="187"/>
    </row>
    <row r="637" spans="1:6" x14ac:dyDescent="0.2">
      <c r="A637" s="275"/>
      <c r="B637" s="78"/>
      <c r="C637" s="189"/>
      <c r="D637" s="259"/>
      <c r="E637" s="186"/>
      <c r="F637" s="187"/>
    </row>
    <row r="638" spans="1:6" x14ac:dyDescent="0.2">
      <c r="A638" s="275"/>
      <c r="B638" s="78"/>
      <c r="C638" s="189"/>
      <c r="D638" s="259"/>
      <c r="E638" s="186"/>
      <c r="F638" s="187"/>
    </row>
    <row r="639" spans="1:6" x14ac:dyDescent="0.2">
      <c r="A639" s="275"/>
      <c r="B639" s="78"/>
      <c r="C639" s="189"/>
      <c r="D639" s="259"/>
      <c r="E639" s="186"/>
      <c r="F639" s="187"/>
    </row>
    <row r="640" spans="1:6" x14ac:dyDescent="0.2">
      <c r="A640" s="275"/>
      <c r="B640" s="78"/>
      <c r="C640" s="189"/>
      <c r="D640" s="259"/>
      <c r="E640" s="186"/>
      <c r="F640" s="187"/>
    </row>
    <row r="641" spans="1:6" x14ac:dyDescent="0.2">
      <c r="A641" s="275"/>
      <c r="B641" s="78"/>
      <c r="C641" s="189"/>
      <c r="D641" s="259"/>
      <c r="E641" s="186"/>
      <c r="F641" s="187"/>
    </row>
    <row r="642" spans="1:6" x14ac:dyDescent="0.2">
      <c r="A642" s="275"/>
      <c r="B642" s="78"/>
      <c r="C642" s="189"/>
      <c r="D642" s="259"/>
      <c r="E642" s="186"/>
      <c r="F642" s="187"/>
    </row>
    <row r="643" spans="1:6" x14ac:dyDescent="0.2">
      <c r="A643" s="275"/>
      <c r="B643" s="78"/>
      <c r="C643" s="189"/>
      <c r="D643" s="259"/>
      <c r="E643" s="186"/>
      <c r="F643" s="187"/>
    </row>
    <row r="644" spans="1:6" x14ac:dyDescent="0.2">
      <c r="A644" s="275"/>
      <c r="B644" s="78"/>
      <c r="C644" s="189"/>
      <c r="D644" s="259"/>
      <c r="E644" s="186"/>
      <c r="F644" s="187"/>
    </row>
    <row r="645" spans="1:6" x14ac:dyDescent="0.2">
      <c r="A645" s="275"/>
      <c r="B645" s="78"/>
      <c r="C645" s="189"/>
      <c r="D645" s="259"/>
      <c r="E645" s="186"/>
      <c r="F645" s="187"/>
    </row>
    <row r="646" spans="1:6" x14ac:dyDescent="0.2">
      <c r="A646" s="275"/>
      <c r="B646" s="78"/>
      <c r="C646" s="189"/>
      <c r="D646" s="259"/>
      <c r="E646" s="186"/>
      <c r="F646" s="187"/>
    </row>
    <row r="647" spans="1:6" x14ac:dyDescent="0.2">
      <c r="A647" s="275"/>
      <c r="B647" s="78"/>
      <c r="C647" s="189"/>
      <c r="D647" s="259"/>
      <c r="E647" s="186"/>
      <c r="F647" s="187"/>
    </row>
    <row r="648" spans="1:6" x14ac:dyDescent="0.2">
      <c r="A648" s="275"/>
      <c r="B648" s="78"/>
      <c r="C648" s="189"/>
      <c r="D648" s="259"/>
      <c r="E648" s="186"/>
      <c r="F648" s="187"/>
    </row>
    <row r="649" spans="1:6" x14ac:dyDescent="0.2">
      <c r="A649" s="275"/>
      <c r="B649" s="78"/>
      <c r="C649" s="189"/>
      <c r="D649" s="259"/>
      <c r="E649" s="186"/>
      <c r="F649" s="187"/>
    </row>
    <row r="650" spans="1:6" x14ac:dyDescent="0.2">
      <c r="A650" s="275"/>
      <c r="B650" s="78"/>
      <c r="C650" s="189"/>
      <c r="D650" s="259"/>
      <c r="E650" s="186"/>
      <c r="F650" s="187"/>
    </row>
    <row r="651" spans="1:6" x14ac:dyDescent="0.2">
      <c r="A651" s="275"/>
      <c r="B651" s="78"/>
      <c r="C651" s="189"/>
      <c r="D651" s="259"/>
      <c r="E651" s="186"/>
      <c r="F651" s="187"/>
    </row>
    <row r="652" spans="1:6" x14ac:dyDescent="0.2">
      <c r="A652" s="275"/>
      <c r="B652" s="78"/>
      <c r="C652" s="189"/>
      <c r="D652" s="259"/>
      <c r="E652" s="186"/>
      <c r="F652" s="187"/>
    </row>
    <row r="653" spans="1:6" x14ac:dyDescent="0.2">
      <c r="A653" s="275"/>
      <c r="B653" s="78"/>
      <c r="C653" s="189"/>
      <c r="D653" s="259"/>
      <c r="E653" s="186"/>
      <c r="F653" s="187"/>
    </row>
    <row r="654" spans="1:6" x14ac:dyDescent="0.2">
      <c r="A654" s="275"/>
      <c r="B654" s="78"/>
      <c r="C654" s="189"/>
      <c r="D654" s="259"/>
      <c r="E654" s="186"/>
      <c r="F654" s="187"/>
    </row>
    <row r="655" spans="1:6" x14ac:dyDescent="0.2">
      <c r="A655" s="275"/>
      <c r="B655" s="78"/>
      <c r="C655" s="189"/>
      <c r="D655" s="259"/>
      <c r="E655" s="186"/>
      <c r="F655" s="187"/>
    </row>
    <row r="656" spans="1:6" x14ac:dyDescent="0.2">
      <c r="A656" s="275"/>
      <c r="B656" s="78"/>
      <c r="C656" s="189"/>
      <c r="D656" s="259"/>
      <c r="E656" s="186"/>
      <c r="F656" s="187"/>
    </row>
    <row r="657" spans="1:6" x14ac:dyDescent="0.2">
      <c r="A657" s="275"/>
      <c r="B657" s="78"/>
      <c r="C657" s="189"/>
      <c r="D657" s="259"/>
      <c r="E657" s="186"/>
      <c r="F657" s="187"/>
    </row>
    <row r="658" spans="1:6" x14ac:dyDescent="0.2">
      <c r="A658" s="275"/>
      <c r="B658" s="78"/>
      <c r="C658" s="189"/>
      <c r="D658" s="259"/>
      <c r="E658" s="186"/>
      <c r="F658" s="187"/>
    </row>
    <row r="659" spans="1:6" x14ac:dyDescent="0.2">
      <c r="A659" s="275"/>
      <c r="B659" s="78"/>
      <c r="C659" s="189"/>
      <c r="D659" s="259"/>
      <c r="E659" s="186"/>
      <c r="F659" s="187"/>
    </row>
    <row r="660" spans="1:6" x14ac:dyDescent="0.2">
      <c r="A660" s="275"/>
      <c r="B660" s="78"/>
      <c r="C660" s="189"/>
      <c r="D660" s="259"/>
      <c r="E660" s="186"/>
      <c r="F660" s="187"/>
    </row>
    <row r="661" spans="1:6" x14ac:dyDescent="0.2">
      <c r="A661" s="275"/>
      <c r="B661" s="78"/>
      <c r="C661" s="189"/>
      <c r="D661" s="259"/>
      <c r="E661" s="186"/>
      <c r="F661" s="187"/>
    </row>
    <row r="662" spans="1:6" x14ac:dyDescent="0.2">
      <c r="A662" s="275"/>
      <c r="B662" s="78"/>
      <c r="C662" s="189"/>
      <c r="D662" s="259"/>
      <c r="E662" s="186"/>
      <c r="F662" s="187"/>
    </row>
    <row r="663" spans="1:6" x14ac:dyDescent="0.2">
      <c r="A663" s="275"/>
      <c r="B663" s="78"/>
      <c r="C663" s="189"/>
      <c r="D663" s="259"/>
      <c r="E663" s="186"/>
      <c r="F663" s="187"/>
    </row>
    <row r="664" spans="1:6" x14ac:dyDescent="0.2">
      <c r="A664" s="275"/>
      <c r="B664" s="78"/>
      <c r="C664" s="189"/>
      <c r="D664" s="259"/>
      <c r="E664" s="186"/>
      <c r="F664" s="187"/>
    </row>
    <row r="665" spans="1:6" x14ac:dyDescent="0.2">
      <c r="A665" s="275"/>
      <c r="B665" s="78"/>
      <c r="C665" s="189"/>
      <c r="D665" s="259"/>
      <c r="E665" s="186"/>
      <c r="F665" s="187"/>
    </row>
    <row r="666" spans="1:6" x14ac:dyDescent="0.2">
      <c r="A666" s="275"/>
      <c r="B666" s="78"/>
      <c r="C666" s="189"/>
      <c r="D666" s="259"/>
      <c r="E666" s="186"/>
      <c r="F666" s="187"/>
    </row>
    <row r="667" spans="1:6" x14ac:dyDescent="0.2">
      <c r="A667" s="275"/>
      <c r="B667" s="78"/>
      <c r="C667" s="189"/>
      <c r="D667" s="259"/>
      <c r="E667" s="186"/>
      <c r="F667" s="187"/>
    </row>
    <row r="668" spans="1:6" x14ac:dyDescent="0.2">
      <c r="A668" s="275"/>
      <c r="B668" s="78"/>
      <c r="C668" s="189"/>
      <c r="D668" s="259"/>
      <c r="E668" s="186"/>
      <c r="F668" s="187"/>
    </row>
    <row r="669" spans="1:6" x14ac:dyDescent="0.2">
      <c r="A669" s="275"/>
      <c r="B669" s="78"/>
      <c r="C669" s="189"/>
      <c r="D669" s="259"/>
      <c r="E669" s="186"/>
      <c r="F669" s="187"/>
    </row>
    <row r="670" spans="1:6" x14ac:dyDescent="0.2">
      <c r="A670" s="275"/>
      <c r="B670" s="78"/>
      <c r="C670" s="189"/>
      <c r="D670" s="259"/>
      <c r="E670" s="186"/>
      <c r="F670" s="187"/>
    </row>
    <row r="671" spans="1:6" x14ac:dyDescent="0.2">
      <c r="A671" s="275"/>
      <c r="B671" s="78"/>
      <c r="C671" s="189"/>
      <c r="D671" s="259"/>
      <c r="E671" s="186"/>
      <c r="F671" s="187"/>
    </row>
    <row r="672" spans="1:6" x14ac:dyDescent="0.2">
      <c r="A672" s="275"/>
      <c r="B672" s="78"/>
      <c r="C672" s="189"/>
      <c r="D672" s="259"/>
      <c r="E672" s="186"/>
      <c r="F672" s="187"/>
    </row>
    <row r="673" spans="1:6" x14ac:dyDescent="0.2">
      <c r="A673" s="275"/>
      <c r="B673" s="78"/>
      <c r="C673" s="189"/>
      <c r="D673" s="259"/>
      <c r="E673" s="186"/>
      <c r="F673" s="187"/>
    </row>
    <row r="674" spans="1:6" x14ac:dyDescent="0.2">
      <c r="A674" s="275"/>
      <c r="B674" s="78"/>
      <c r="C674" s="189"/>
      <c r="D674" s="259"/>
      <c r="E674" s="186"/>
      <c r="F674" s="187"/>
    </row>
    <row r="675" spans="1:6" x14ac:dyDescent="0.2">
      <c r="A675" s="275"/>
      <c r="B675" s="78"/>
      <c r="C675" s="189"/>
      <c r="D675" s="259"/>
      <c r="E675" s="186"/>
      <c r="F675" s="187"/>
    </row>
    <row r="676" spans="1:6" x14ac:dyDescent="0.2">
      <c r="A676" s="275"/>
      <c r="B676" s="78"/>
      <c r="C676" s="189"/>
      <c r="D676" s="259"/>
      <c r="E676" s="186"/>
      <c r="F676" s="187"/>
    </row>
    <row r="677" spans="1:6" x14ac:dyDescent="0.2">
      <c r="A677" s="275"/>
      <c r="B677" s="78"/>
      <c r="C677" s="189"/>
      <c r="D677" s="259"/>
      <c r="E677" s="186"/>
      <c r="F677" s="187"/>
    </row>
    <row r="678" spans="1:6" x14ac:dyDescent="0.2">
      <c r="A678" s="275"/>
      <c r="B678" s="78"/>
      <c r="C678" s="189"/>
      <c r="D678" s="259"/>
      <c r="E678" s="186"/>
      <c r="F678" s="187"/>
    </row>
    <row r="679" spans="1:6" x14ac:dyDescent="0.2">
      <c r="A679" s="275"/>
      <c r="B679" s="78"/>
      <c r="C679" s="189"/>
      <c r="D679" s="259"/>
      <c r="E679" s="186"/>
      <c r="F679" s="187"/>
    </row>
    <row r="680" spans="1:6" x14ac:dyDescent="0.2">
      <c r="A680" s="275"/>
      <c r="B680" s="78"/>
      <c r="C680" s="189"/>
      <c r="D680" s="259"/>
      <c r="E680" s="186"/>
      <c r="F680" s="187"/>
    </row>
    <row r="681" spans="1:6" x14ac:dyDescent="0.2">
      <c r="A681" s="275"/>
      <c r="B681" s="78"/>
      <c r="C681" s="189"/>
      <c r="D681" s="259"/>
      <c r="E681" s="186"/>
      <c r="F681" s="187"/>
    </row>
    <row r="682" spans="1:6" x14ac:dyDescent="0.2">
      <c r="A682" s="275"/>
      <c r="B682" s="78"/>
      <c r="C682" s="189"/>
      <c r="D682" s="259"/>
      <c r="E682" s="186"/>
      <c r="F682" s="187"/>
    </row>
    <row r="683" spans="1:6" x14ac:dyDescent="0.2">
      <c r="A683" s="275"/>
      <c r="B683" s="78"/>
      <c r="C683" s="189"/>
      <c r="D683" s="259"/>
      <c r="E683" s="186"/>
      <c r="F683" s="187"/>
    </row>
    <row r="684" spans="1:6" x14ac:dyDescent="0.2">
      <c r="A684" s="275"/>
      <c r="B684" s="78"/>
      <c r="C684" s="189"/>
      <c r="D684" s="259"/>
      <c r="E684" s="186"/>
      <c r="F684" s="187"/>
    </row>
    <row r="685" spans="1:6" x14ac:dyDescent="0.2">
      <c r="A685" s="275"/>
      <c r="B685" s="78"/>
      <c r="C685" s="189"/>
      <c r="D685" s="259"/>
      <c r="E685" s="186"/>
      <c r="F685" s="187"/>
    </row>
    <row r="686" spans="1:6" x14ac:dyDescent="0.2">
      <c r="A686" s="275"/>
      <c r="B686" s="78"/>
      <c r="C686" s="189"/>
      <c r="D686" s="259"/>
      <c r="E686" s="186"/>
      <c r="F686" s="187"/>
    </row>
    <row r="687" spans="1:6" x14ac:dyDescent="0.2">
      <c r="A687" s="275"/>
      <c r="B687" s="78"/>
      <c r="C687" s="189"/>
      <c r="D687" s="259"/>
      <c r="E687" s="186"/>
      <c r="F687" s="187"/>
    </row>
    <row r="688" spans="1:6" x14ac:dyDescent="0.2">
      <c r="A688" s="275"/>
      <c r="B688" s="78"/>
      <c r="C688" s="189"/>
      <c r="D688" s="259"/>
      <c r="E688" s="186"/>
      <c r="F688" s="187"/>
    </row>
    <row r="689" spans="1:6" x14ac:dyDescent="0.2">
      <c r="A689" s="275"/>
      <c r="B689" s="78"/>
      <c r="C689" s="189"/>
      <c r="D689" s="259"/>
      <c r="E689" s="186"/>
      <c r="F689" s="187"/>
    </row>
    <row r="690" spans="1:6" x14ac:dyDescent="0.2">
      <c r="A690" s="275"/>
      <c r="B690" s="78"/>
      <c r="C690" s="189"/>
      <c r="D690" s="259"/>
      <c r="E690" s="186"/>
      <c r="F690" s="187"/>
    </row>
    <row r="691" spans="1:6" x14ac:dyDescent="0.2">
      <c r="A691" s="275"/>
      <c r="B691" s="78"/>
      <c r="C691" s="189"/>
      <c r="D691" s="259"/>
      <c r="E691" s="186"/>
      <c r="F691" s="187"/>
    </row>
    <row r="692" spans="1:6" x14ac:dyDescent="0.2">
      <c r="A692" s="275"/>
      <c r="B692" s="78"/>
      <c r="C692" s="189"/>
      <c r="D692" s="259"/>
      <c r="E692" s="186"/>
      <c r="F692" s="187"/>
    </row>
    <row r="693" spans="1:6" x14ac:dyDescent="0.2">
      <c r="A693" s="275"/>
      <c r="B693" s="78"/>
      <c r="C693" s="189"/>
      <c r="D693" s="259"/>
      <c r="E693" s="186"/>
      <c r="F693" s="187"/>
    </row>
    <row r="694" spans="1:6" x14ac:dyDescent="0.2">
      <c r="A694" s="275"/>
      <c r="B694" s="78"/>
      <c r="C694" s="189"/>
      <c r="D694" s="259"/>
      <c r="E694" s="186"/>
      <c r="F694" s="187"/>
    </row>
    <row r="695" spans="1:6" x14ac:dyDescent="0.2">
      <c r="A695" s="275"/>
      <c r="B695" s="78"/>
      <c r="C695" s="189"/>
      <c r="D695" s="259"/>
      <c r="E695" s="186"/>
      <c r="F695" s="187"/>
    </row>
    <row r="696" spans="1:6" x14ac:dyDescent="0.2">
      <c r="A696" s="275"/>
      <c r="B696" s="78"/>
      <c r="C696" s="189"/>
      <c r="D696" s="259"/>
      <c r="E696" s="186"/>
      <c r="F696" s="187"/>
    </row>
    <row r="697" spans="1:6" x14ac:dyDescent="0.2">
      <c r="A697" s="275"/>
      <c r="B697" s="78"/>
      <c r="C697" s="189"/>
      <c r="D697" s="259"/>
      <c r="E697" s="186"/>
      <c r="F697" s="187"/>
    </row>
    <row r="698" spans="1:6" x14ac:dyDescent="0.2">
      <c r="A698" s="275"/>
      <c r="B698" s="78"/>
      <c r="C698" s="189"/>
      <c r="D698" s="259"/>
      <c r="E698" s="186"/>
      <c r="F698" s="187"/>
    </row>
    <row r="699" spans="1:6" x14ac:dyDescent="0.2">
      <c r="A699" s="275"/>
      <c r="B699" s="78"/>
      <c r="C699" s="189"/>
      <c r="D699" s="259"/>
      <c r="E699" s="186"/>
      <c r="F699" s="187"/>
    </row>
    <row r="700" spans="1:6" x14ac:dyDescent="0.2">
      <c r="A700" s="275"/>
      <c r="B700" s="78"/>
      <c r="C700" s="189"/>
      <c r="D700" s="259"/>
      <c r="E700" s="186"/>
      <c r="F700" s="187"/>
    </row>
    <row r="701" spans="1:6" x14ac:dyDescent="0.2">
      <c r="A701" s="275"/>
      <c r="B701" s="78"/>
      <c r="C701" s="189"/>
      <c r="D701" s="259"/>
      <c r="E701" s="186"/>
      <c r="F701" s="187"/>
    </row>
    <row r="702" spans="1:6" x14ac:dyDescent="0.2">
      <c r="A702" s="275"/>
      <c r="B702" s="78"/>
      <c r="C702" s="189"/>
      <c r="D702" s="259"/>
      <c r="E702" s="186"/>
      <c r="F702" s="187"/>
    </row>
    <row r="703" spans="1:6" x14ac:dyDescent="0.2">
      <c r="A703" s="275"/>
      <c r="B703" s="78"/>
      <c r="C703" s="189"/>
      <c r="D703" s="259"/>
      <c r="E703" s="186"/>
      <c r="F703" s="187"/>
    </row>
    <row r="704" spans="1:6" x14ac:dyDescent="0.2">
      <c r="A704" s="275"/>
      <c r="B704" s="78"/>
      <c r="C704" s="189"/>
      <c r="D704" s="259"/>
      <c r="E704" s="186"/>
      <c r="F704" s="187"/>
    </row>
    <row r="705" spans="1:6" x14ac:dyDescent="0.2">
      <c r="A705" s="275"/>
      <c r="B705" s="78"/>
      <c r="C705" s="189"/>
      <c r="D705" s="259"/>
      <c r="E705" s="186"/>
      <c r="F705" s="187"/>
    </row>
    <row r="706" spans="1:6" x14ac:dyDescent="0.2">
      <c r="A706" s="275"/>
      <c r="B706" s="78"/>
      <c r="C706" s="189"/>
      <c r="D706" s="259"/>
      <c r="E706" s="186"/>
      <c r="F706" s="187"/>
    </row>
    <row r="707" spans="1:6" x14ac:dyDescent="0.2">
      <c r="A707" s="275"/>
      <c r="B707" s="78"/>
      <c r="C707" s="189"/>
      <c r="D707" s="259"/>
      <c r="E707" s="186"/>
      <c r="F707" s="187"/>
    </row>
    <row r="708" spans="1:6" x14ac:dyDescent="0.2">
      <c r="A708" s="275"/>
      <c r="B708" s="78"/>
      <c r="C708" s="189"/>
      <c r="D708" s="259"/>
      <c r="E708" s="186"/>
      <c r="F708" s="187"/>
    </row>
    <row r="709" spans="1:6" x14ac:dyDescent="0.2">
      <c r="A709" s="275"/>
      <c r="B709" s="78"/>
      <c r="C709" s="189"/>
      <c r="D709" s="259"/>
      <c r="E709" s="186"/>
      <c r="F709" s="187"/>
    </row>
    <row r="710" spans="1:6" x14ac:dyDescent="0.2">
      <c r="A710" s="275"/>
      <c r="B710" s="78"/>
      <c r="C710" s="189"/>
      <c r="D710" s="259"/>
      <c r="E710" s="186"/>
      <c r="F710" s="187"/>
    </row>
    <row r="711" spans="1:6" x14ac:dyDescent="0.2">
      <c r="A711" s="275"/>
      <c r="B711" s="78"/>
      <c r="C711" s="189"/>
      <c r="D711" s="259"/>
      <c r="E711" s="186"/>
      <c r="F711" s="187"/>
    </row>
    <row r="712" spans="1:6" x14ac:dyDescent="0.2">
      <c r="A712" s="275"/>
      <c r="B712" s="78"/>
      <c r="C712" s="189"/>
      <c r="D712" s="259"/>
      <c r="E712" s="186"/>
      <c r="F712" s="187"/>
    </row>
    <row r="713" spans="1:6" x14ac:dyDescent="0.2">
      <c r="A713" s="275"/>
      <c r="B713" s="78"/>
      <c r="C713" s="189"/>
      <c r="D713" s="259"/>
      <c r="E713" s="186"/>
      <c r="F713" s="187"/>
    </row>
    <row r="714" spans="1:6" x14ac:dyDescent="0.2">
      <c r="A714" s="275"/>
      <c r="B714" s="78"/>
      <c r="C714" s="189"/>
      <c r="D714" s="259"/>
      <c r="E714" s="186"/>
      <c r="F714" s="187"/>
    </row>
    <row r="715" spans="1:6" x14ac:dyDescent="0.2">
      <c r="A715" s="275"/>
      <c r="B715" s="78"/>
      <c r="C715" s="189"/>
      <c r="D715" s="259"/>
      <c r="E715" s="186"/>
      <c r="F715" s="187"/>
    </row>
    <row r="716" spans="1:6" x14ac:dyDescent="0.2">
      <c r="A716" s="275"/>
      <c r="B716" s="78"/>
      <c r="C716" s="189"/>
      <c r="D716" s="259"/>
      <c r="E716" s="186"/>
      <c r="F716" s="187"/>
    </row>
    <row r="717" spans="1:6" x14ac:dyDescent="0.2">
      <c r="A717" s="275"/>
      <c r="B717" s="78"/>
      <c r="C717" s="189"/>
      <c r="D717" s="259"/>
      <c r="E717" s="186"/>
      <c r="F717" s="187"/>
    </row>
    <row r="718" spans="1:6" x14ac:dyDescent="0.2">
      <c r="A718" s="275"/>
      <c r="B718" s="78"/>
      <c r="C718" s="189"/>
      <c r="D718" s="259"/>
      <c r="E718" s="186"/>
      <c r="F718" s="187"/>
    </row>
    <row r="719" spans="1:6" x14ac:dyDescent="0.2">
      <c r="A719" s="275"/>
      <c r="B719" s="78"/>
      <c r="C719" s="189"/>
      <c r="D719" s="259"/>
      <c r="E719" s="186"/>
      <c r="F719" s="187"/>
    </row>
    <row r="720" spans="1:6" x14ac:dyDescent="0.2">
      <c r="A720" s="275"/>
      <c r="B720" s="78"/>
      <c r="C720" s="189"/>
      <c r="D720" s="259"/>
      <c r="E720" s="186"/>
      <c r="F720" s="187"/>
    </row>
    <row r="721" spans="1:6" x14ac:dyDescent="0.2">
      <c r="A721" s="275"/>
      <c r="B721" s="78"/>
      <c r="C721" s="189"/>
      <c r="D721" s="259"/>
      <c r="E721" s="186"/>
      <c r="F721" s="187"/>
    </row>
    <row r="722" spans="1:6" x14ac:dyDescent="0.2">
      <c r="A722" s="275"/>
      <c r="B722" s="78"/>
      <c r="C722" s="189"/>
      <c r="D722" s="259"/>
      <c r="E722" s="186"/>
      <c r="F722" s="187"/>
    </row>
    <row r="723" spans="1:6" x14ac:dyDescent="0.2">
      <c r="A723" s="275"/>
      <c r="B723" s="78"/>
      <c r="C723" s="189"/>
      <c r="D723" s="259"/>
      <c r="E723" s="186"/>
      <c r="F723" s="187"/>
    </row>
    <row r="724" spans="1:6" x14ac:dyDescent="0.2">
      <c r="A724" s="275"/>
      <c r="B724" s="78"/>
      <c r="C724" s="189"/>
      <c r="D724" s="259"/>
      <c r="E724" s="186"/>
      <c r="F724" s="187"/>
    </row>
    <row r="725" spans="1:6" x14ac:dyDescent="0.2">
      <c r="A725" s="275"/>
      <c r="B725" s="78"/>
      <c r="C725" s="189"/>
      <c r="D725" s="259"/>
      <c r="E725" s="186"/>
      <c r="F725" s="187"/>
    </row>
    <row r="726" spans="1:6" x14ac:dyDescent="0.2">
      <c r="A726" s="275"/>
      <c r="B726" s="78"/>
      <c r="C726" s="189"/>
      <c r="D726" s="259"/>
      <c r="E726" s="186"/>
      <c r="F726" s="187"/>
    </row>
    <row r="727" spans="1:6" x14ac:dyDescent="0.2">
      <c r="A727" s="275"/>
      <c r="B727" s="78"/>
      <c r="C727" s="189"/>
      <c r="D727" s="259"/>
      <c r="E727" s="186"/>
      <c r="F727" s="187"/>
    </row>
    <row r="728" spans="1:6" x14ac:dyDescent="0.2">
      <c r="A728" s="275"/>
      <c r="B728" s="78"/>
      <c r="C728" s="189"/>
      <c r="D728" s="259"/>
      <c r="E728" s="186"/>
      <c r="F728" s="187"/>
    </row>
    <row r="729" spans="1:6" x14ac:dyDescent="0.2">
      <c r="A729" s="275"/>
      <c r="B729" s="78"/>
      <c r="C729" s="189"/>
      <c r="D729" s="259"/>
      <c r="E729" s="186"/>
      <c r="F729" s="187"/>
    </row>
    <row r="730" spans="1:6" x14ac:dyDescent="0.2">
      <c r="A730" s="275"/>
      <c r="B730" s="78"/>
      <c r="C730" s="189"/>
      <c r="D730" s="259"/>
      <c r="E730" s="186"/>
      <c r="F730" s="187"/>
    </row>
    <row r="731" spans="1:6" x14ac:dyDescent="0.2">
      <c r="A731" s="275"/>
      <c r="B731" s="78"/>
      <c r="C731" s="189"/>
      <c r="D731" s="259"/>
      <c r="E731" s="186"/>
      <c r="F731" s="187"/>
    </row>
    <row r="732" spans="1:6" x14ac:dyDescent="0.2">
      <c r="A732" s="275"/>
      <c r="B732" s="78"/>
      <c r="C732" s="189"/>
      <c r="D732" s="259"/>
      <c r="E732" s="186"/>
      <c r="F732" s="187"/>
    </row>
    <row r="733" spans="1:6" x14ac:dyDescent="0.2">
      <c r="A733" s="275"/>
      <c r="B733" s="78"/>
      <c r="C733" s="189"/>
      <c r="D733" s="259"/>
      <c r="E733" s="186"/>
      <c r="F733" s="187"/>
    </row>
    <row r="734" spans="1:6" x14ac:dyDescent="0.2">
      <c r="A734" s="275"/>
      <c r="B734" s="78"/>
      <c r="C734" s="189"/>
      <c r="D734" s="259"/>
      <c r="E734" s="186"/>
      <c r="F734" s="187"/>
    </row>
    <row r="735" spans="1:6" x14ac:dyDescent="0.2">
      <c r="A735" s="275"/>
      <c r="B735" s="78"/>
      <c r="C735" s="189"/>
      <c r="D735" s="259"/>
      <c r="E735" s="186"/>
      <c r="F735" s="187"/>
    </row>
    <row r="736" spans="1:6" x14ac:dyDescent="0.2">
      <c r="A736" s="275"/>
      <c r="B736" s="78"/>
      <c r="C736" s="189"/>
      <c r="D736" s="259"/>
      <c r="E736" s="186"/>
      <c r="F736" s="187"/>
    </row>
    <row r="737" spans="1:6" x14ac:dyDescent="0.2">
      <c r="A737" s="275"/>
      <c r="B737" s="78"/>
      <c r="C737" s="189"/>
      <c r="D737" s="259"/>
      <c r="E737" s="186"/>
      <c r="F737" s="187"/>
    </row>
    <row r="738" spans="1:6" x14ac:dyDescent="0.2">
      <c r="A738" s="275"/>
      <c r="B738" s="78"/>
      <c r="C738" s="189"/>
      <c r="D738" s="259"/>
      <c r="E738" s="186"/>
      <c r="F738" s="187"/>
    </row>
    <row r="739" spans="1:6" x14ac:dyDescent="0.2">
      <c r="A739" s="275"/>
      <c r="B739" s="78"/>
      <c r="C739" s="189"/>
      <c r="D739" s="259"/>
      <c r="E739" s="186"/>
      <c r="F739" s="187"/>
    </row>
    <row r="740" spans="1:6" x14ac:dyDescent="0.2">
      <c r="A740" s="275"/>
      <c r="B740" s="78"/>
      <c r="C740" s="189"/>
      <c r="D740" s="259"/>
      <c r="E740" s="186"/>
      <c r="F740" s="187"/>
    </row>
    <row r="741" spans="1:6" x14ac:dyDescent="0.2">
      <c r="A741" s="275"/>
      <c r="B741" s="78"/>
      <c r="C741" s="189"/>
      <c r="D741" s="259"/>
      <c r="E741" s="186"/>
      <c r="F741" s="187"/>
    </row>
    <row r="742" spans="1:6" x14ac:dyDescent="0.2">
      <c r="A742" s="275"/>
      <c r="B742" s="78"/>
      <c r="C742" s="189"/>
      <c r="D742" s="259"/>
      <c r="E742" s="186"/>
      <c r="F742" s="187"/>
    </row>
    <row r="743" spans="1:6" x14ac:dyDescent="0.2">
      <c r="A743" s="275"/>
      <c r="B743" s="78"/>
      <c r="C743" s="189"/>
      <c r="D743" s="259"/>
      <c r="E743" s="186"/>
      <c r="F743" s="187"/>
    </row>
    <row r="744" spans="1:6" x14ac:dyDescent="0.2">
      <c r="A744" s="275"/>
      <c r="B744" s="78"/>
      <c r="C744" s="189"/>
      <c r="D744" s="259"/>
      <c r="E744" s="186"/>
      <c r="F744" s="187"/>
    </row>
    <row r="745" spans="1:6" x14ac:dyDescent="0.2">
      <c r="A745" s="275"/>
      <c r="B745" s="78"/>
      <c r="C745" s="189"/>
      <c r="D745" s="259"/>
      <c r="E745" s="186"/>
      <c r="F745" s="187"/>
    </row>
    <row r="746" spans="1:6" x14ac:dyDescent="0.2">
      <c r="A746" s="275"/>
      <c r="B746" s="78"/>
      <c r="C746" s="189"/>
      <c r="D746" s="259"/>
      <c r="E746" s="186"/>
      <c r="F746" s="187"/>
    </row>
    <row r="747" spans="1:6" x14ac:dyDescent="0.2">
      <c r="A747" s="275"/>
      <c r="B747" s="78"/>
      <c r="C747" s="189"/>
      <c r="D747" s="259"/>
      <c r="E747" s="186"/>
      <c r="F747" s="187"/>
    </row>
    <row r="748" spans="1:6" x14ac:dyDescent="0.2">
      <c r="A748" s="275"/>
      <c r="B748" s="78"/>
      <c r="C748" s="189"/>
      <c r="D748" s="259"/>
      <c r="E748" s="186"/>
      <c r="F748" s="187"/>
    </row>
    <row r="749" spans="1:6" x14ac:dyDescent="0.2">
      <c r="A749" s="275"/>
      <c r="B749" s="78"/>
      <c r="C749" s="189"/>
      <c r="D749" s="259"/>
      <c r="E749" s="186"/>
      <c r="F749" s="187"/>
    </row>
    <row r="750" spans="1:6" x14ac:dyDescent="0.2">
      <c r="A750" s="275"/>
      <c r="B750" s="78"/>
      <c r="C750" s="189"/>
      <c r="D750" s="259"/>
      <c r="E750" s="186"/>
      <c r="F750" s="187"/>
    </row>
    <row r="751" spans="1:6" x14ac:dyDescent="0.2">
      <c r="A751" s="275"/>
      <c r="B751" s="78"/>
      <c r="C751" s="189"/>
      <c r="D751" s="259"/>
      <c r="E751" s="186"/>
      <c r="F751" s="187"/>
    </row>
    <row r="752" spans="1:6" x14ac:dyDescent="0.2">
      <c r="A752" s="275"/>
      <c r="B752" s="78"/>
      <c r="C752" s="189"/>
      <c r="D752" s="259"/>
      <c r="E752" s="186"/>
      <c r="F752" s="187"/>
    </row>
    <row r="753" spans="1:6" x14ac:dyDescent="0.2">
      <c r="A753" s="275"/>
      <c r="B753" s="78"/>
      <c r="C753" s="189"/>
      <c r="D753" s="259"/>
      <c r="E753" s="186"/>
      <c r="F753" s="187"/>
    </row>
    <row r="754" spans="1:6" x14ac:dyDescent="0.2">
      <c r="A754" s="275"/>
      <c r="B754" s="78"/>
      <c r="C754" s="189"/>
      <c r="D754" s="259"/>
      <c r="E754" s="186"/>
      <c r="F754" s="187"/>
    </row>
    <row r="755" spans="1:6" x14ac:dyDescent="0.2">
      <c r="A755" s="275"/>
      <c r="B755" s="78"/>
      <c r="C755" s="189"/>
      <c r="D755" s="259"/>
      <c r="E755" s="186"/>
      <c r="F755" s="187"/>
    </row>
    <row r="756" spans="1:6" x14ac:dyDescent="0.2">
      <c r="A756" s="275"/>
      <c r="B756" s="78"/>
      <c r="C756" s="189"/>
      <c r="D756" s="259"/>
      <c r="E756" s="186"/>
      <c r="F756" s="187"/>
    </row>
    <row r="757" spans="1:6" x14ac:dyDescent="0.2">
      <c r="A757" s="275"/>
      <c r="B757" s="78"/>
      <c r="C757" s="189"/>
      <c r="D757" s="259"/>
      <c r="E757" s="186"/>
      <c r="F757" s="187"/>
    </row>
    <row r="758" spans="1:6" x14ac:dyDescent="0.2">
      <c r="A758" s="275"/>
      <c r="B758" s="78"/>
      <c r="C758" s="189"/>
      <c r="D758" s="259"/>
      <c r="E758" s="186"/>
      <c r="F758" s="187"/>
    </row>
    <row r="759" spans="1:6" x14ac:dyDescent="0.2">
      <c r="A759" s="275"/>
      <c r="B759" s="78"/>
      <c r="C759" s="189"/>
      <c r="D759" s="259"/>
      <c r="E759" s="186"/>
      <c r="F759" s="187"/>
    </row>
    <row r="760" spans="1:6" x14ac:dyDescent="0.2">
      <c r="A760" s="275"/>
      <c r="B760" s="78"/>
      <c r="C760" s="189"/>
      <c r="D760" s="259"/>
      <c r="E760" s="186"/>
      <c r="F760" s="187"/>
    </row>
    <row r="761" spans="1:6" x14ac:dyDescent="0.2">
      <c r="A761" s="275"/>
      <c r="B761" s="78"/>
      <c r="C761" s="189"/>
      <c r="D761" s="259"/>
      <c r="E761" s="186"/>
      <c r="F761" s="187"/>
    </row>
    <row r="762" spans="1:6" x14ac:dyDescent="0.2">
      <c r="A762" s="275"/>
      <c r="B762" s="78"/>
      <c r="C762" s="189"/>
      <c r="D762" s="259"/>
      <c r="E762" s="186"/>
      <c r="F762" s="187"/>
    </row>
    <row r="763" spans="1:6" x14ac:dyDescent="0.2">
      <c r="A763" s="275"/>
      <c r="B763" s="78"/>
      <c r="C763" s="189"/>
      <c r="D763" s="259"/>
      <c r="E763" s="186"/>
      <c r="F763" s="187"/>
    </row>
    <row r="764" spans="1:6" x14ac:dyDescent="0.2">
      <c r="A764" s="275"/>
      <c r="B764" s="78"/>
      <c r="C764" s="189"/>
      <c r="D764" s="259"/>
      <c r="E764" s="186"/>
      <c r="F764" s="187"/>
    </row>
    <row r="765" spans="1:6" x14ac:dyDescent="0.2">
      <c r="A765" s="275"/>
      <c r="B765" s="78"/>
      <c r="C765" s="189"/>
      <c r="D765" s="259"/>
      <c r="E765" s="186"/>
      <c r="F765" s="187"/>
    </row>
    <row r="766" spans="1:6" x14ac:dyDescent="0.2">
      <c r="A766" s="275"/>
      <c r="B766" s="78"/>
      <c r="C766" s="189"/>
      <c r="D766" s="259"/>
      <c r="E766" s="186"/>
      <c r="F766" s="187"/>
    </row>
    <row r="767" spans="1:6" x14ac:dyDescent="0.2">
      <c r="A767" s="275"/>
      <c r="B767" s="78"/>
      <c r="C767" s="189"/>
      <c r="D767" s="259"/>
      <c r="E767" s="186"/>
      <c r="F767" s="187"/>
    </row>
    <row r="768" spans="1:6" x14ac:dyDescent="0.2">
      <c r="A768" s="275"/>
      <c r="B768" s="78"/>
      <c r="C768" s="189"/>
      <c r="D768" s="259"/>
      <c r="E768" s="186"/>
      <c r="F768" s="187"/>
    </row>
    <row r="769" spans="1:6" x14ac:dyDescent="0.2">
      <c r="A769" s="275"/>
      <c r="B769" s="78"/>
      <c r="C769" s="189"/>
      <c r="D769" s="259"/>
      <c r="E769" s="186"/>
      <c r="F769" s="187"/>
    </row>
    <row r="770" spans="1:6" x14ac:dyDescent="0.2">
      <c r="A770" s="275"/>
      <c r="B770" s="78"/>
      <c r="C770" s="189"/>
      <c r="D770" s="259"/>
      <c r="E770" s="186"/>
      <c r="F770" s="187"/>
    </row>
    <row r="771" spans="1:6" x14ac:dyDescent="0.2">
      <c r="A771" s="275"/>
      <c r="B771" s="78"/>
      <c r="C771" s="189"/>
      <c r="D771" s="259"/>
      <c r="E771" s="186"/>
      <c r="F771" s="187"/>
    </row>
    <row r="772" spans="1:6" x14ac:dyDescent="0.2">
      <c r="A772" s="275"/>
      <c r="B772" s="78"/>
      <c r="C772" s="189"/>
      <c r="D772" s="259"/>
      <c r="E772" s="186"/>
      <c r="F772" s="187"/>
    </row>
    <row r="773" spans="1:6" x14ac:dyDescent="0.2">
      <c r="A773" s="275"/>
      <c r="B773" s="78"/>
      <c r="C773" s="189"/>
      <c r="D773" s="259"/>
      <c r="E773" s="186"/>
      <c r="F773" s="187"/>
    </row>
    <row r="774" spans="1:6" x14ac:dyDescent="0.2">
      <c r="A774" s="275"/>
      <c r="B774" s="78"/>
      <c r="C774" s="189"/>
      <c r="D774" s="259"/>
      <c r="E774" s="186"/>
      <c r="F774" s="187"/>
    </row>
    <row r="775" spans="1:6" x14ac:dyDescent="0.2">
      <c r="A775" s="275"/>
      <c r="B775" s="78"/>
      <c r="C775" s="189"/>
      <c r="D775" s="259"/>
      <c r="E775" s="186"/>
      <c r="F775" s="187"/>
    </row>
    <row r="776" spans="1:6" x14ac:dyDescent="0.2">
      <c r="A776" s="275"/>
      <c r="B776" s="78"/>
      <c r="C776" s="189"/>
      <c r="D776" s="259"/>
      <c r="E776" s="186"/>
      <c r="F776" s="187"/>
    </row>
    <row r="777" spans="1:6" x14ac:dyDescent="0.2">
      <c r="A777" s="275"/>
      <c r="B777" s="78"/>
      <c r="C777" s="189"/>
      <c r="D777" s="259"/>
      <c r="E777" s="186"/>
      <c r="F777" s="187"/>
    </row>
    <row r="778" spans="1:6" x14ac:dyDescent="0.2">
      <c r="A778" s="275"/>
      <c r="B778" s="78"/>
      <c r="C778" s="189"/>
      <c r="D778" s="259"/>
      <c r="E778" s="186"/>
      <c r="F778" s="187"/>
    </row>
    <row r="779" spans="1:6" x14ac:dyDescent="0.2">
      <c r="A779" s="275"/>
      <c r="B779" s="78"/>
      <c r="C779" s="189"/>
      <c r="D779" s="259"/>
      <c r="E779" s="186"/>
      <c r="F779" s="187"/>
    </row>
    <row r="780" spans="1:6" x14ac:dyDescent="0.2">
      <c r="A780" s="275"/>
      <c r="B780" s="78"/>
      <c r="C780" s="189"/>
      <c r="D780" s="259"/>
      <c r="E780" s="186"/>
      <c r="F780" s="187"/>
    </row>
    <row r="781" spans="1:6" x14ac:dyDescent="0.2">
      <c r="A781" s="275"/>
      <c r="B781" s="78"/>
      <c r="C781" s="189"/>
      <c r="D781" s="259"/>
      <c r="E781" s="186"/>
      <c r="F781" s="187"/>
    </row>
    <row r="782" spans="1:6" x14ac:dyDescent="0.2">
      <c r="A782" s="275"/>
      <c r="B782" s="78"/>
      <c r="C782" s="189"/>
      <c r="D782" s="259"/>
      <c r="E782" s="186"/>
      <c r="F782" s="187"/>
    </row>
    <row r="783" spans="1:6" x14ac:dyDescent="0.2">
      <c r="A783" s="275"/>
      <c r="B783" s="78"/>
      <c r="C783" s="189"/>
      <c r="D783" s="259"/>
      <c r="E783" s="186"/>
      <c r="F783" s="187"/>
    </row>
    <row r="784" spans="1:6" x14ac:dyDescent="0.2">
      <c r="A784" s="275"/>
      <c r="B784" s="78"/>
      <c r="C784" s="189"/>
      <c r="D784" s="259"/>
      <c r="E784" s="186"/>
      <c r="F784" s="187"/>
    </row>
    <row r="785" spans="1:6" x14ac:dyDescent="0.2">
      <c r="A785" s="275"/>
      <c r="B785" s="78"/>
      <c r="C785" s="189"/>
      <c r="D785" s="259"/>
      <c r="E785" s="186"/>
      <c r="F785" s="187"/>
    </row>
    <row r="786" spans="1:6" x14ac:dyDescent="0.2">
      <c r="A786" s="275"/>
      <c r="B786" s="78"/>
      <c r="C786" s="189"/>
      <c r="D786" s="259"/>
      <c r="E786" s="186"/>
      <c r="F786" s="187"/>
    </row>
    <row r="787" spans="1:6" x14ac:dyDescent="0.2">
      <c r="A787" s="275"/>
      <c r="B787" s="78"/>
      <c r="C787" s="189"/>
      <c r="D787" s="259"/>
      <c r="E787" s="186"/>
      <c r="F787" s="187"/>
    </row>
    <row r="788" spans="1:6" x14ac:dyDescent="0.2">
      <c r="A788" s="275"/>
      <c r="B788" s="78"/>
      <c r="C788" s="189"/>
      <c r="D788" s="259"/>
      <c r="E788" s="186"/>
      <c r="F788" s="187"/>
    </row>
    <row r="789" spans="1:6" x14ac:dyDescent="0.2">
      <c r="A789" s="275"/>
      <c r="B789" s="78"/>
      <c r="C789" s="189"/>
      <c r="D789" s="259"/>
      <c r="E789" s="186"/>
      <c r="F789" s="187"/>
    </row>
    <row r="790" spans="1:6" x14ac:dyDescent="0.2">
      <c r="A790" s="275"/>
      <c r="B790" s="78"/>
      <c r="C790" s="189"/>
      <c r="D790" s="259"/>
      <c r="E790" s="186"/>
      <c r="F790" s="187"/>
    </row>
    <row r="791" spans="1:6" x14ac:dyDescent="0.2">
      <c r="A791" s="275"/>
      <c r="B791" s="78"/>
      <c r="C791" s="189"/>
      <c r="D791" s="259"/>
      <c r="E791" s="186"/>
      <c r="F791" s="187"/>
    </row>
    <row r="792" spans="1:6" x14ac:dyDescent="0.2">
      <c r="A792" s="275"/>
      <c r="B792" s="78"/>
      <c r="C792" s="189"/>
      <c r="D792" s="259"/>
      <c r="E792" s="186"/>
      <c r="F792" s="187"/>
    </row>
    <row r="793" spans="1:6" x14ac:dyDescent="0.2">
      <c r="A793" s="275"/>
      <c r="B793" s="78"/>
      <c r="C793" s="189"/>
      <c r="D793" s="259"/>
      <c r="E793" s="186"/>
      <c r="F793" s="187"/>
    </row>
    <row r="794" spans="1:6" x14ac:dyDescent="0.2">
      <c r="A794" s="275"/>
      <c r="B794" s="78"/>
      <c r="C794" s="189"/>
      <c r="D794" s="259"/>
      <c r="E794" s="186"/>
      <c r="F794" s="187"/>
    </row>
    <row r="795" spans="1:6" x14ac:dyDescent="0.2">
      <c r="A795" s="275"/>
      <c r="B795" s="78"/>
      <c r="C795" s="189"/>
      <c r="D795" s="259"/>
      <c r="E795" s="186"/>
      <c r="F795" s="187"/>
    </row>
    <row r="796" spans="1:6" x14ac:dyDescent="0.2">
      <c r="A796" s="275"/>
      <c r="B796" s="78"/>
      <c r="C796" s="189"/>
      <c r="D796" s="259"/>
      <c r="E796" s="186"/>
      <c r="F796" s="187"/>
    </row>
    <row r="797" spans="1:6" x14ac:dyDescent="0.2">
      <c r="A797" s="275"/>
      <c r="B797" s="78"/>
      <c r="C797" s="189"/>
      <c r="D797" s="259"/>
      <c r="E797" s="186"/>
      <c r="F797" s="187"/>
    </row>
    <row r="798" spans="1:6" x14ac:dyDescent="0.2">
      <c r="A798" s="275"/>
      <c r="B798" s="78"/>
      <c r="C798" s="189"/>
      <c r="D798" s="259"/>
      <c r="E798" s="186"/>
      <c r="F798" s="187"/>
    </row>
    <row r="799" spans="1:6" x14ac:dyDescent="0.2">
      <c r="A799" s="275"/>
      <c r="B799" s="78"/>
      <c r="C799" s="189"/>
      <c r="D799" s="259"/>
      <c r="E799" s="186"/>
      <c r="F799" s="187"/>
    </row>
    <row r="800" spans="1:6" x14ac:dyDescent="0.2">
      <c r="A800" s="275"/>
      <c r="B800" s="78"/>
      <c r="C800" s="189"/>
      <c r="D800" s="259"/>
      <c r="E800" s="186"/>
      <c r="F800" s="187"/>
    </row>
    <row r="801" spans="1:6" x14ac:dyDescent="0.2">
      <c r="A801" s="275"/>
      <c r="B801" s="78"/>
      <c r="C801" s="189"/>
      <c r="D801" s="259"/>
      <c r="E801" s="186"/>
      <c r="F801" s="187"/>
    </row>
    <row r="802" spans="1:6" x14ac:dyDescent="0.2">
      <c r="A802" s="275"/>
      <c r="B802" s="78"/>
      <c r="C802" s="189"/>
      <c r="D802" s="259"/>
      <c r="E802" s="186"/>
      <c r="F802" s="187"/>
    </row>
    <row r="803" spans="1:6" x14ac:dyDescent="0.2">
      <c r="A803" s="275"/>
      <c r="B803" s="78"/>
      <c r="C803" s="189"/>
      <c r="D803" s="259"/>
      <c r="E803" s="186"/>
      <c r="F803" s="187"/>
    </row>
    <row r="804" spans="1:6" x14ac:dyDescent="0.2">
      <c r="A804" s="275"/>
      <c r="B804" s="78"/>
      <c r="C804" s="189"/>
      <c r="D804" s="259"/>
      <c r="E804" s="186"/>
      <c r="F804" s="187"/>
    </row>
    <row r="805" spans="1:6" x14ac:dyDescent="0.2">
      <c r="A805" s="275"/>
      <c r="B805" s="78"/>
      <c r="C805" s="189"/>
      <c r="D805" s="259"/>
      <c r="E805" s="186"/>
      <c r="F805" s="187"/>
    </row>
    <row r="806" spans="1:6" x14ac:dyDescent="0.2">
      <c r="A806" s="275"/>
      <c r="B806" s="78"/>
      <c r="C806" s="189"/>
      <c r="D806" s="259"/>
      <c r="E806" s="186"/>
      <c r="F806" s="187"/>
    </row>
    <row r="807" spans="1:6" x14ac:dyDescent="0.2">
      <c r="A807" s="275"/>
      <c r="B807" s="78"/>
      <c r="C807" s="189"/>
      <c r="D807" s="259"/>
      <c r="E807" s="186"/>
      <c r="F807" s="187"/>
    </row>
    <row r="808" spans="1:6" x14ac:dyDescent="0.2">
      <c r="A808" s="275"/>
      <c r="B808" s="78"/>
      <c r="C808" s="189"/>
      <c r="D808" s="259"/>
      <c r="E808" s="186"/>
      <c r="F808" s="187"/>
    </row>
    <row r="809" spans="1:6" x14ac:dyDescent="0.2">
      <c r="A809" s="275"/>
      <c r="B809" s="78"/>
      <c r="C809" s="189"/>
      <c r="D809" s="259"/>
      <c r="E809" s="186"/>
      <c r="F809" s="187"/>
    </row>
    <row r="810" spans="1:6" x14ac:dyDescent="0.2">
      <c r="A810" s="275"/>
      <c r="B810" s="78"/>
      <c r="C810" s="189"/>
      <c r="D810" s="259"/>
      <c r="E810" s="186"/>
      <c r="F810" s="187"/>
    </row>
    <row r="811" spans="1:6" x14ac:dyDescent="0.2">
      <c r="A811" s="275"/>
      <c r="B811" s="78"/>
      <c r="C811" s="189"/>
      <c r="D811" s="259"/>
      <c r="E811" s="186"/>
      <c r="F811" s="187"/>
    </row>
    <row r="812" spans="1:6" x14ac:dyDescent="0.2">
      <c r="A812" s="275"/>
      <c r="B812" s="78"/>
      <c r="C812" s="189"/>
      <c r="D812" s="259"/>
      <c r="E812" s="186"/>
      <c r="F812" s="187"/>
    </row>
    <row r="813" spans="1:6" x14ac:dyDescent="0.2">
      <c r="A813" s="275"/>
      <c r="B813" s="78"/>
      <c r="C813" s="189"/>
      <c r="D813" s="259"/>
      <c r="E813" s="186"/>
      <c r="F813" s="187"/>
    </row>
    <row r="814" spans="1:6" x14ac:dyDescent="0.2">
      <c r="A814" s="275"/>
      <c r="B814" s="78"/>
      <c r="C814" s="189"/>
      <c r="D814" s="259"/>
      <c r="E814" s="186"/>
      <c r="F814" s="187"/>
    </row>
    <row r="815" spans="1:6" x14ac:dyDescent="0.2">
      <c r="A815" s="275"/>
      <c r="B815" s="78"/>
      <c r="C815" s="189"/>
      <c r="D815" s="259"/>
      <c r="E815" s="186"/>
      <c r="F815" s="187"/>
    </row>
    <row r="816" spans="1:6" x14ac:dyDescent="0.2">
      <c r="A816" s="275"/>
      <c r="B816" s="78"/>
      <c r="C816" s="189"/>
      <c r="D816" s="259"/>
      <c r="E816" s="186"/>
      <c r="F816" s="187"/>
    </row>
    <row r="817" spans="1:6" x14ac:dyDescent="0.2">
      <c r="A817" s="275"/>
      <c r="B817" s="78"/>
      <c r="C817" s="189"/>
      <c r="D817" s="259"/>
      <c r="E817" s="186"/>
      <c r="F817" s="187"/>
    </row>
    <row r="818" spans="1:6" x14ac:dyDescent="0.2">
      <c r="A818" s="275"/>
      <c r="B818" s="78"/>
      <c r="C818" s="189"/>
      <c r="D818" s="259"/>
      <c r="E818" s="186"/>
      <c r="F818" s="187"/>
    </row>
    <row r="819" spans="1:6" x14ac:dyDescent="0.2">
      <c r="A819" s="275"/>
      <c r="B819" s="78"/>
      <c r="C819" s="189"/>
      <c r="D819" s="259"/>
      <c r="E819" s="186"/>
      <c r="F819" s="187"/>
    </row>
    <row r="820" spans="1:6" x14ac:dyDescent="0.2">
      <c r="A820" s="275"/>
      <c r="B820" s="78"/>
      <c r="C820" s="189"/>
      <c r="D820" s="259"/>
      <c r="E820" s="186"/>
      <c r="F820" s="187"/>
    </row>
    <row r="821" spans="1:6" x14ac:dyDescent="0.2">
      <c r="A821" s="275"/>
      <c r="B821" s="78"/>
      <c r="C821" s="189"/>
      <c r="D821" s="259"/>
      <c r="E821" s="186"/>
      <c r="F821" s="187"/>
    </row>
    <row r="822" spans="1:6" x14ac:dyDescent="0.2">
      <c r="A822" s="275"/>
      <c r="B822" s="78"/>
      <c r="C822" s="189"/>
      <c r="D822" s="259"/>
      <c r="E822" s="186"/>
      <c r="F822" s="187"/>
    </row>
    <row r="823" spans="1:6" x14ac:dyDescent="0.2">
      <c r="A823" s="275"/>
      <c r="B823" s="78"/>
      <c r="C823" s="189"/>
      <c r="D823" s="259"/>
      <c r="E823" s="186"/>
      <c r="F823" s="187"/>
    </row>
    <row r="824" spans="1:6" x14ac:dyDescent="0.2">
      <c r="A824" s="275"/>
      <c r="B824" s="78"/>
      <c r="C824" s="189"/>
      <c r="D824" s="259"/>
      <c r="E824" s="186"/>
      <c r="F824" s="187"/>
    </row>
    <row r="825" spans="1:6" x14ac:dyDescent="0.2">
      <c r="A825" s="275"/>
      <c r="B825" s="78"/>
      <c r="C825" s="189"/>
      <c r="D825" s="259"/>
      <c r="E825" s="186"/>
      <c r="F825" s="187"/>
    </row>
    <row r="826" spans="1:6" x14ac:dyDescent="0.2">
      <c r="A826" s="275"/>
      <c r="B826" s="78"/>
      <c r="C826" s="189"/>
      <c r="D826" s="259"/>
      <c r="E826" s="186"/>
      <c r="F826" s="187"/>
    </row>
    <row r="827" spans="1:6" x14ac:dyDescent="0.2">
      <c r="A827" s="275"/>
      <c r="B827" s="78"/>
      <c r="C827" s="189"/>
      <c r="D827" s="259"/>
      <c r="E827" s="186"/>
      <c r="F827" s="187"/>
    </row>
    <row r="828" spans="1:6" x14ac:dyDescent="0.2">
      <c r="A828" s="275"/>
      <c r="B828" s="78"/>
      <c r="C828" s="189"/>
      <c r="D828" s="259"/>
      <c r="E828" s="186"/>
      <c r="F828" s="187"/>
    </row>
    <row r="829" spans="1:6" x14ac:dyDescent="0.2">
      <c r="A829" s="275"/>
      <c r="B829" s="78"/>
      <c r="C829" s="189"/>
      <c r="D829" s="259"/>
      <c r="E829" s="186"/>
      <c r="F829" s="187"/>
    </row>
    <row r="830" spans="1:6" x14ac:dyDescent="0.2">
      <c r="A830" s="275"/>
      <c r="B830" s="78"/>
      <c r="C830" s="189"/>
      <c r="D830" s="259"/>
      <c r="E830" s="186"/>
      <c r="F830" s="187"/>
    </row>
    <row r="831" spans="1:6" x14ac:dyDescent="0.2">
      <c r="A831" s="275"/>
      <c r="B831" s="78"/>
      <c r="C831" s="189"/>
      <c r="D831" s="259"/>
      <c r="E831" s="186"/>
      <c r="F831" s="187"/>
    </row>
    <row r="832" spans="1:6" x14ac:dyDescent="0.2">
      <c r="A832" s="275"/>
      <c r="B832" s="78"/>
      <c r="C832" s="189"/>
      <c r="D832" s="259"/>
      <c r="E832" s="186"/>
      <c r="F832" s="187"/>
    </row>
    <row r="833" spans="1:6" x14ac:dyDescent="0.2">
      <c r="A833" s="275"/>
      <c r="B833" s="78"/>
      <c r="C833" s="189"/>
      <c r="D833" s="259"/>
      <c r="E833" s="186"/>
      <c r="F833" s="187"/>
    </row>
    <row r="834" spans="1:6" x14ac:dyDescent="0.2">
      <c r="A834" s="275"/>
      <c r="B834" s="78"/>
      <c r="C834" s="189"/>
      <c r="D834" s="259"/>
      <c r="E834" s="186"/>
      <c r="F834" s="187"/>
    </row>
    <row r="835" spans="1:6" x14ac:dyDescent="0.2">
      <c r="A835" s="275"/>
      <c r="B835" s="78"/>
      <c r="C835" s="189"/>
      <c r="D835" s="259"/>
      <c r="E835" s="186"/>
      <c r="F835" s="187"/>
    </row>
    <row r="836" spans="1:6" x14ac:dyDescent="0.2">
      <c r="A836" s="275"/>
      <c r="B836" s="78"/>
      <c r="C836" s="189"/>
      <c r="D836" s="259"/>
      <c r="E836" s="186"/>
      <c r="F836" s="187"/>
    </row>
    <row r="837" spans="1:6" x14ac:dyDescent="0.2">
      <c r="A837" s="275"/>
      <c r="B837" s="78"/>
      <c r="C837" s="189"/>
      <c r="D837" s="259"/>
      <c r="E837" s="186"/>
      <c r="F837" s="187"/>
    </row>
    <row r="838" spans="1:6" x14ac:dyDescent="0.2">
      <c r="A838" s="275"/>
      <c r="B838" s="78"/>
      <c r="C838" s="189"/>
      <c r="D838" s="259"/>
      <c r="E838" s="186"/>
      <c r="F838" s="187"/>
    </row>
    <row r="839" spans="1:6" x14ac:dyDescent="0.2">
      <c r="A839" s="275"/>
      <c r="B839" s="78"/>
      <c r="C839" s="189"/>
      <c r="D839" s="259"/>
      <c r="E839" s="186"/>
      <c r="F839" s="187"/>
    </row>
    <row r="840" spans="1:6" x14ac:dyDescent="0.2">
      <c r="A840" s="275"/>
      <c r="B840" s="78"/>
      <c r="C840" s="189"/>
      <c r="D840" s="259"/>
      <c r="E840" s="186"/>
      <c r="F840" s="187"/>
    </row>
    <row r="841" spans="1:6" x14ac:dyDescent="0.2">
      <c r="A841" s="275"/>
      <c r="B841" s="78"/>
      <c r="C841" s="189"/>
      <c r="D841" s="259"/>
      <c r="E841" s="186"/>
      <c r="F841" s="187"/>
    </row>
    <row r="842" spans="1:6" x14ac:dyDescent="0.2">
      <c r="A842" s="275"/>
      <c r="B842" s="78"/>
      <c r="C842" s="189"/>
      <c r="D842" s="259"/>
      <c r="E842" s="186"/>
      <c r="F842" s="187"/>
    </row>
    <row r="843" spans="1:6" x14ac:dyDescent="0.2">
      <c r="A843" s="275"/>
      <c r="B843" s="78"/>
      <c r="C843" s="189"/>
      <c r="D843" s="259"/>
      <c r="E843" s="186"/>
      <c r="F843" s="187"/>
    </row>
    <row r="844" spans="1:6" x14ac:dyDescent="0.2">
      <c r="A844" s="275"/>
      <c r="B844" s="78"/>
      <c r="C844" s="189"/>
      <c r="D844" s="259"/>
      <c r="E844" s="186"/>
      <c r="F844" s="187"/>
    </row>
    <row r="845" spans="1:6" x14ac:dyDescent="0.2">
      <c r="A845" s="275"/>
      <c r="B845" s="78"/>
      <c r="C845" s="189"/>
      <c r="D845" s="259"/>
      <c r="E845" s="186"/>
      <c r="F845" s="187"/>
    </row>
    <row r="846" spans="1:6" x14ac:dyDescent="0.2">
      <c r="A846" s="275"/>
      <c r="B846" s="78"/>
      <c r="C846" s="189"/>
      <c r="D846" s="259"/>
      <c r="E846" s="186"/>
      <c r="F846" s="187"/>
    </row>
    <row r="847" spans="1:6" x14ac:dyDescent="0.2">
      <c r="A847" s="275"/>
      <c r="B847" s="78"/>
      <c r="C847" s="189"/>
      <c r="D847" s="259"/>
      <c r="E847" s="186"/>
      <c r="F847" s="187"/>
    </row>
    <row r="848" spans="1:6" x14ac:dyDescent="0.2">
      <c r="A848" s="275"/>
      <c r="B848" s="78"/>
      <c r="C848" s="189"/>
      <c r="D848" s="259"/>
      <c r="E848" s="186"/>
      <c r="F848" s="187"/>
    </row>
    <row r="849" spans="1:6" x14ac:dyDescent="0.2">
      <c r="A849" s="275"/>
      <c r="B849" s="78"/>
      <c r="C849" s="189"/>
      <c r="D849" s="259"/>
      <c r="E849" s="186"/>
      <c r="F849" s="187"/>
    </row>
    <row r="850" spans="1:6" x14ac:dyDescent="0.2">
      <c r="A850" s="275"/>
      <c r="B850" s="78"/>
      <c r="C850" s="189"/>
      <c r="D850" s="259"/>
      <c r="E850" s="186"/>
      <c r="F850" s="187"/>
    </row>
    <row r="851" spans="1:6" x14ac:dyDescent="0.2">
      <c r="A851" s="275"/>
      <c r="B851" s="78"/>
      <c r="C851" s="189"/>
      <c r="D851" s="259"/>
      <c r="E851" s="186"/>
      <c r="F851" s="187"/>
    </row>
    <row r="852" spans="1:6" x14ac:dyDescent="0.2">
      <c r="A852" s="275"/>
      <c r="B852" s="78"/>
      <c r="C852" s="189"/>
      <c r="D852" s="259"/>
      <c r="E852" s="186"/>
      <c r="F852" s="187"/>
    </row>
    <row r="853" spans="1:6" x14ac:dyDescent="0.2">
      <c r="A853" s="275"/>
      <c r="B853" s="78"/>
      <c r="C853" s="189"/>
      <c r="D853" s="259"/>
      <c r="E853" s="186"/>
      <c r="F853" s="187"/>
    </row>
    <row r="854" spans="1:6" x14ac:dyDescent="0.2">
      <c r="A854" s="275"/>
      <c r="B854" s="78"/>
      <c r="C854" s="189"/>
      <c r="D854" s="259"/>
      <c r="E854" s="186"/>
      <c r="F854" s="187"/>
    </row>
    <row r="855" spans="1:6" x14ac:dyDescent="0.2">
      <c r="A855" s="275"/>
      <c r="B855" s="78"/>
      <c r="C855" s="189"/>
      <c r="D855" s="259"/>
      <c r="E855" s="186"/>
      <c r="F855" s="187"/>
    </row>
    <row r="856" spans="1:6" x14ac:dyDescent="0.2">
      <c r="A856" s="275"/>
      <c r="B856" s="78"/>
      <c r="C856" s="189"/>
      <c r="D856" s="259"/>
      <c r="E856" s="186"/>
      <c r="F856" s="187"/>
    </row>
    <row r="857" spans="1:6" x14ac:dyDescent="0.2">
      <c r="A857" s="275"/>
      <c r="B857" s="78"/>
      <c r="C857" s="189"/>
      <c r="D857" s="259"/>
      <c r="E857" s="186"/>
      <c r="F857" s="187"/>
    </row>
    <row r="858" spans="1:6" x14ac:dyDescent="0.2">
      <c r="A858" s="275"/>
      <c r="B858" s="78"/>
      <c r="C858" s="189"/>
      <c r="D858" s="259"/>
      <c r="E858" s="186"/>
      <c r="F858" s="187"/>
    </row>
    <row r="859" spans="1:6" x14ac:dyDescent="0.2">
      <c r="A859" s="275"/>
      <c r="B859" s="78"/>
      <c r="C859" s="189"/>
      <c r="D859" s="259"/>
      <c r="E859" s="186"/>
      <c r="F859" s="187"/>
    </row>
    <row r="860" spans="1:6" x14ac:dyDescent="0.2">
      <c r="A860" s="275"/>
      <c r="B860" s="78"/>
      <c r="C860" s="189"/>
      <c r="D860" s="259"/>
      <c r="E860" s="186"/>
      <c r="F860" s="187"/>
    </row>
    <row r="861" spans="1:6" x14ac:dyDescent="0.2">
      <c r="A861" s="275"/>
      <c r="B861" s="78"/>
      <c r="C861" s="189"/>
      <c r="D861" s="259"/>
      <c r="E861" s="186"/>
      <c r="F861" s="187"/>
    </row>
    <row r="862" spans="1:6" x14ac:dyDescent="0.2">
      <c r="A862" s="275"/>
      <c r="B862" s="78"/>
      <c r="C862" s="189"/>
      <c r="D862" s="259"/>
      <c r="E862" s="186"/>
      <c r="F862" s="187"/>
    </row>
    <row r="863" spans="1:6" x14ac:dyDescent="0.2">
      <c r="A863" s="275"/>
      <c r="B863" s="78"/>
      <c r="C863" s="189"/>
      <c r="D863" s="259"/>
      <c r="E863" s="186"/>
      <c r="F863" s="187"/>
    </row>
    <row r="864" spans="1:6" x14ac:dyDescent="0.2">
      <c r="A864" s="275"/>
      <c r="B864" s="78"/>
      <c r="C864" s="189"/>
      <c r="D864" s="259"/>
      <c r="E864" s="186"/>
      <c r="F864" s="187"/>
    </row>
    <row r="865" spans="1:6" x14ac:dyDescent="0.2">
      <c r="A865" s="275"/>
      <c r="B865" s="78"/>
      <c r="C865" s="189"/>
      <c r="D865" s="259"/>
      <c r="E865" s="186"/>
      <c r="F865" s="187"/>
    </row>
    <row r="866" spans="1:6" x14ac:dyDescent="0.2">
      <c r="A866" s="275"/>
      <c r="B866" s="78"/>
      <c r="C866" s="189"/>
      <c r="D866" s="259"/>
      <c r="E866" s="186"/>
      <c r="F866" s="187"/>
    </row>
    <row r="867" spans="1:6" x14ac:dyDescent="0.2">
      <c r="A867" s="275"/>
      <c r="B867" s="78"/>
      <c r="C867" s="189"/>
      <c r="D867" s="259"/>
      <c r="E867" s="186"/>
      <c r="F867" s="187"/>
    </row>
    <row r="868" spans="1:6" x14ac:dyDescent="0.2">
      <c r="A868" s="275"/>
      <c r="B868" s="78"/>
      <c r="C868" s="189"/>
      <c r="D868" s="259"/>
      <c r="E868" s="186"/>
      <c r="F868" s="187"/>
    </row>
    <row r="869" spans="1:6" x14ac:dyDescent="0.2">
      <c r="A869" s="275"/>
      <c r="B869" s="78"/>
      <c r="C869" s="189"/>
      <c r="D869" s="259"/>
      <c r="E869" s="186"/>
      <c r="F869" s="187"/>
    </row>
    <row r="870" spans="1:6" x14ac:dyDescent="0.2">
      <c r="A870" s="275"/>
      <c r="B870" s="78"/>
      <c r="C870" s="189"/>
      <c r="D870" s="259"/>
      <c r="E870" s="186"/>
      <c r="F870" s="187"/>
    </row>
    <row r="871" spans="1:6" x14ac:dyDescent="0.2">
      <c r="A871" s="275"/>
      <c r="B871" s="78"/>
      <c r="C871" s="189"/>
      <c r="D871" s="259"/>
      <c r="E871" s="186"/>
      <c r="F871" s="187"/>
    </row>
    <row r="872" spans="1:6" x14ac:dyDescent="0.2">
      <c r="A872" s="275"/>
      <c r="B872" s="78"/>
      <c r="C872" s="189"/>
      <c r="D872" s="259"/>
      <c r="E872" s="186"/>
      <c r="F872" s="187"/>
    </row>
    <row r="873" spans="1:6" x14ac:dyDescent="0.2">
      <c r="A873" s="275"/>
      <c r="B873" s="78"/>
      <c r="C873" s="189"/>
      <c r="D873" s="259"/>
      <c r="E873" s="186"/>
      <c r="F873" s="187"/>
    </row>
    <row r="874" spans="1:6" x14ac:dyDescent="0.2">
      <c r="A874" s="275"/>
      <c r="B874" s="78"/>
      <c r="C874" s="189"/>
      <c r="D874" s="259"/>
      <c r="E874" s="186"/>
      <c r="F874" s="187"/>
    </row>
    <row r="875" spans="1:6" x14ac:dyDescent="0.2">
      <c r="A875" s="275"/>
      <c r="B875" s="78"/>
      <c r="C875" s="189"/>
      <c r="D875" s="259"/>
      <c r="E875" s="186"/>
      <c r="F875" s="187"/>
    </row>
    <row r="876" spans="1:6" x14ac:dyDescent="0.2">
      <c r="A876" s="275"/>
      <c r="B876" s="78"/>
      <c r="C876" s="189"/>
      <c r="D876" s="259"/>
      <c r="E876" s="186"/>
      <c r="F876" s="187"/>
    </row>
    <row r="877" spans="1:6" x14ac:dyDescent="0.2">
      <c r="A877" s="275"/>
      <c r="B877" s="78"/>
      <c r="C877" s="189"/>
      <c r="D877" s="259"/>
      <c r="E877" s="186"/>
      <c r="F877" s="187"/>
    </row>
    <row r="878" spans="1:6" x14ac:dyDescent="0.2">
      <c r="A878" s="275"/>
      <c r="B878" s="78"/>
      <c r="C878" s="189"/>
      <c r="D878" s="259"/>
      <c r="E878" s="186"/>
      <c r="F878" s="187"/>
    </row>
    <row r="879" spans="1:6" x14ac:dyDescent="0.2">
      <c r="A879" s="275"/>
      <c r="B879" s="78"/>
      <c r="C879" s="189"/>
      <c r="D879" s="259"/>
      <c r="E879" s="186"/>
      <c r="F879" s="187"/>
    </row>
    <row r="880" spans="1:6" x14ac:dyDescent="0.2">
      <c r="A880" s="275"/>
      <c r="B880" s="78"/>
      <c r="C880" s="189"/>
      <c r="D880" s="259"/>
      <c r="E880" s="186"/>
      <c r="F880" s="187"/>
    </row>
    <row r="881" spans="1:6" x14ac:dyDescent="0.2">
      <c r="A881" s="275"/>
      <c r="B881" s="78"/>
      <c r="C881" s="189"/>
      <c r="D881" s="259"/>
      <c r="E881" s="186"/>
      <c r="F881" s="187"/>
    </row>
    <row r="882" spans="1:6" x14ac:dyDescent="0.2">
      <c r="A882" s="275"/>
      <c r="B882" s="78"/>
      <c r="C882" s="189"/>
      <c r="D882" s="259"/>
      <c r="E882" s="186"/>
      <c r="F882" s="187"/>
    </row>
    <row r="883" spans="1:6" x14ac:dyDescent="0.2">
      <c r="A883" s="275"/>
      <c r="B883" s="78"/>
      <c r="C883" s="189"/>
      <c r="D883" s="259"/>
      <c r="E883" s="186"/>
      <c r="F883" s="187"/>
    </row>
    <row r="884" spans="1:6" x14ac:dyDescent="0.2">
      <c r="A884" s="275"/>
      <c r="B884" s="78"/>
      <c r="C884" s="189"/>
      <c r="D884" s="259"/>
      <c r="E884" s="186"/>
      <c r="F884" s="187"/>
    </row>
    <row r="885" spans="1:6" x14ac:dyDescent="0.2">
      <c r="A885" s="275"/>
      <c r="B885" s="78"/>
      <c r="C885" s="189"/>
      <c r="D885" s="259"/>
      <c r="E885" s="186"/>
      <c r="F885" s="187"/>
    </row>
    <row r="886" spans="1:6" x14ac:dyDescent="0.2">
      <c r="A886" s="275"/>
      <c r="B886" s="78"/>
      <c r="C886" s="189"/>
      <c r="D886" s="259"/>
      <c r="E886" s="186"/>
      <c r="F886" s="187"/>
    </row>
    <row r="887" spans="1:6" x14ac:dyDescent="0.2">
      <c r="A887" s="275"/>
      <c r="B887" s="78"/>
      <c r="C887" s="189"/>
      <c r="D887" s="259"/>
      <c r="E887" s="186"/>
      <c r="F887" s="187"/>
    </row>
    <row r="888" spans="1:6" x14ac:dyDescent="0.2">
      <c r="A888" s="275"/>
      <c r="B888" s="78"/>
      <c r="C888" s="189"/>
      <c r="D888" s="259"/>
      <c r="E888" s="186"/>
      <c r="F888" s="187"/>
    </row>
    <row r="889" spans="1:6" x14ac:dyDescent="0.2">
      <c r="A889" s="275"/>
      <c r="B889" s="78"/>
      <c r="C889" s="189"/>
      <c r="D889" s="259"/>
      <c r="E889" s="186"/>
      <c r="F889" s="187"/>
    </row>
    <row r="890" spans="1:6" x14ac:dyDescent="0.2">
      <c r="A890" s="275"/>
      <c r="B890" s="78"/>
      <c r="C890" s="189"/>
      <c r="D890" s="259"/>
      <c r="E890" s="186"/>
      <c r="F890" s="187"/>
    </row>
    <row r="891" spans="1:6" x14ac:dyDescent="0.2">
      <c r="A891" s="275"/>
      <c r="B891" s="78"/>
      <c r="C891" s="189"/>
      <c r="D891" s="259"/>
      <c r="E891" s="186"/>
      <c r="F891" s="187"/>
    </row>
    <row r="892" spans="1:6" x14ac:dyDescent="0.2">
      <c r="A892" s="275"/>
      <c r="B892" s="78"/>
      <c r="C892" s="189"/>
      <c r="D892" s="259"/>
      <c r="E892" s="186"/>
      <c r="F892" s="187"/>
    </row>
    <row r="893" spans="1:6" x14ac:dyDescent="0.2">
      <c r="A893" s="275"/>
      <c r="B893" s="78"/>
      <c r="C893" s="189"/>
      <c r="D893" s="259"/>
      <c r="E893" s="186"/>
      <c r="F893" s="187"/>
    </row>
    <row r="894" spans="1:6" x14ac:dyDescent="0.2">
      <c r="A894" s="275"/>
      <c r="B894" s="78"/>
      <c r="C894" s="189"/>
      <c r="D894" s="259"/>
      <c r="E894" s="186"/>
      <c r="F894" s="187"/>
    </row>
    <row r="895" spans="1:6" x14ac:dyDescent="0.2">
      <c r="A895" s="275"/>
      <c r="B895" s="78"/>
      <c r="C895" s="189"/>
      <c r="D895" s="259"/>
      <c r="E895" s="186"/>
      <c r="F895" s="187"/>
    </row>
    <row r="896" spans="1:6" x14ac:dyDescent="0.2">
      <c r="A896" s="275"/>
      <c r="B896" s="78"/>
      <c r="C896" s="189"/>
      <c r="D896" s="259"/>
      <c r="E896" s="186"/>
      <c r="F896" s="187"/>
    </row>
    <row r="897" spans="1:6" x14ac:dyDescent="0.2">
      <c r="A897" s="275"/>
      <c r="B897" s="78"/>
      <c r="C897" s="189"/>
      <c r="D897" s="259"/>
      <c r="E897" s="186"/>
      <c r="F897" s="187"/>
    </row>
    <row r="898" spans="1:6" x14ac:dyDescent="0.2">
      <c r="A898" s="275"/>
      <c r="B898" s="78"/>
      <c r="C898" s="189"/>
      <c r="D898" s="259"/>
      <c r="E898" s="186"/>
      <c r="F898" s="187"/>
    </row>
    <row r="899" spans="1:6" x14ac:dyDescent="0.2">
      <c r="A899" s="275"/>
      <c r="B899" s="78"/>
      <c r="C899" s="189"/>
      <c r="D899" s="259"/>
      <c r="E899" s="186"/>
      <c r="F899" s="187"/>
    </row>
    <row r="900" spans="1:6" x14ac:dyDescent="0.2">
      <c r="A900" s="275"/>
      <c r="B900" s="78"/>
      <c r="C900" s="189"/>
      <c r="D900" s="259"/>
      <c r="E900" s="186"/>
      <c r="F900" s="187"/>
    </row>
    <row r="901" spans="1:6" x14ac:dyDescent="0.2">
      <c r="A901" s="275"/>
      <c r="B901" s="78"/>
      <c r="C901" s="189"/>
      <c r="D901" s="259"/>
      <c r="E901" s="186"/>
      <c r="F901" s="187"/>
    </row>
    <row r="902" spans="1:6" x14ac:dyDescent="0.2">
      <c r="A902" s="275"/>
      <c r="B902" s="78"/>
      <c r="C902" s="189"/>
      <c r="D902" s="259"/>
      <c r="E902" s="186"/>
      <c r="F902" s="187"/>
    </row>
    <row r="903" spans="1:6" x14ac:dyDescent="0.2">
      <c r="A903" s="275"/>
      <c r="B903" s="78"/>
      <c r="C903" s="189"/>
      <c r="D903" s="259"/>
      <c r="E903" s="186"/>
      <c r="F903" s="187"/>
    </row>
    <row r="904" spans="1:6" x14ac:dyDescent="0.2">
      <c r="A904" s="275"/>
      <c r="B904" s="78"/>
      <c r="C904" s="189"/>
      <c r="D904" s="259"/>
      <c r="E904" s="186"/>
      <c r="F904" s="187"/>
    </row>
    <row r="905" spans="1:6" x14ac:dyDescent="0.2">
      <c r="A905" s="275"/>
      <c r="B905" s="78"/>
      <c r="C905" s="189"/>
      <c r="D905" s="259"/>
      <c r="E905" s="186"/>
      <c r="F905" s="187"/>
    </row>
    <row r="906" spans="1:6" x14ac:dyDescent="0.2">
      <c r="A906" s="275"/>
      <c r="B906" s="78"/>
      <c r="C906" s="189"/>
      <c r="D906" s="259"/>
      <c r="E906" s="186"/>
      <c r="F906" s="187"/>
    </row>
    <row r="907" spans="1:6" x14ac:dyDescent="0.2">
      <c r="A907" s="275"/>
      <c r="B907" s="78"/>
      <c r="C907" s="189"/>
      <c r="D907" s="259"/>
      <c r="E907" s="186"/>
      <c r="F907" s="187"/>
    </row>
    <row r="908" spans="1:6" x14ac:dyDescent="0.2">
      <c r="A908" s="275"/>
      <c r="B908" s="78"/>
      <c r="C908" s="189"/>
      <c r="D908" s="259"/>
      <c r="E908" s="186"/>
      <c r="F908" s="187"/>
    </row>
    <row r="909" spans="1:6" x14ac:dyDescent="0.2">
      <c r="A909" s="275"/>
      <c r="B909" s="78"/>
      <c r="C909" s="189"/>
      <c r="D909" s="259"/>
      <c r="E909" s="186"/>
      <c r="F909" s="187"/>
    </row>
    <row r="910" spans="1:6" x14ac:dyDescent="0.2">
      <c r="A910" s="275"/>
      <c r="B910" s="78"/>
      <c r="C910" s="189"/>
      <c r="D910" s="259"/>
      <c r="E910" s="186"/>
      <c r="F910" s="187"/>
    </row>
    <row r="911" spans="1:6" x14ac:dyDescent="0.2">
      <c r="A911" s="275"/>
      <c r="B911" s="78"/>
      <c r="C911" s="189"/>
      <c r="D911" s="259"/>
      <c r="E911" s="186"/>
      <c r="F911" s="187"/>
    </row>
    <row r="912" spans="1:6" x14ac:dyDescent="0.2">
      <c r="A912" s="275"/>
      <c r="B912" s="78"/>
      <c r="C912" s="189"/>
      <c r="D912" s="259"/>
      <c r="E912" s="186"/>
      <c r="F912" s="187"/>
    </row>
    <row r="913" spans="1:6" x14ac:dyDescent="0.2">
      <c r="A913" s="275"/>
      <c r="B913" s="78"/>
      <c r="C913" s="189"/>
      <c r="D913" s="259"/>
      <c r="E913" s="186"/>
      <c r="F913" s="187"/>
    </row>
    <row r="914" spans="1:6" x14ac:dyDescent="0.2">
      <c r="A914" s="275"/>
      <c r="B914" s="78"/>
      <c r="C914" s="189"/>
      <c r="D914" s="259"/>
      <c r="E914" s="186"/>
      <c r="F914" s="187"/>
    </row>
    <row r="915" spans="1:6" x14ac:dyDescent="0.2">
      <c r="A915" s="275"/>
      <c r="B915" s="78"/>
      <c r="C915" s="189"/>
      <c r="D915" s="259"/>
      <c r="E915" s="186"/>
      <c r="F915" s="187"/>
    </row>
    <row r="916" spans="1:6" x14ac:dyDescent="0.2">
      <c r="A916" s="275"/>
      <c r="B916" s="78"/>
      <c r="C916" s="189"/>
      <c r="D916" s="259"/>
      <c r="E916" s="186"/>
      <c r="F916" s="187"/>
    </row>
    <row r="917" spans="1:6" x14ac:dyDescent="0.2">
      <c r="A917" s="275"/>
      <c r="B917" s="78"/>
      <c r="C917" s="189"/>
      <c r="D917" s="259"/>
      <c r="E917" s="186"/>
      <c r="F917" s="187"/>
    </row>
    <row r="918" spans="1:6" x14ac:dyDescent="0.2">
      <c r="A918" s="275"/>
      <c r="B918" s="78"/>
      <c r="C918" s="189"/>
      <c r="D918" s="259"/>
      <c r="E918" s="186"/>
      <c r="F918" s="187"/>
    </row>
    <row r="919" spans="1:6" x14ac:dyDescent="0.2">
      <c r="A919" s="275"/>
      <c r="B919" s="78"/>
      <c r="C919" s="189"/>
      <c r="D919" s="259"/>
      <c r="E919" s="186"/>
      <c r="F919" s="187"/>
    </row>
    <row r="920" spans="1:6" x14ac:dyDescent="0.2">
      <c r="A920" s="275"/>
      <c r="B920" s="78"/>
      <c r="C920" s="189"/>
      <c r="D920" s="259"/>
      <c r="E920" s="186"/>
      <c r="F920" s="187"/>
    </row>
    <row r="921" spans="1:6" x14ac:dyDescent="0.2">
      <c r="A921" s="275"/>
      <c r="B921" s="78"/>
      <c r="C921" s="189"/>
      <c r="D921" s="259"/>
      <c r="E921" s="186"/>
      <c r="F921" s="187"/>
    </row>
    <row r="922" spans="1:6" x14ac:dyDescent="0.2">
      <c r="A922" s="275"/>
      <c r="B922" s="78"/>
      <c r="C922" s="189"/>
      <c r="D922" s="259"/>
      <c r="E922" s="186"/>
      <c r="F922" s="187"/>
    </row>
    <row r="923" spans="1:6" x14ac:dyDescent="0.2">
      <c r="A923" s="275"/>
      <c r="B923" s="78"/>
      <c r="C923" s="189"/>
      <c r="D923" s="259"/>
      <c r="E923" s="186"/>
      <c r="F923" s="187"/>
    </row>
    <row r="924" spans="1:6" x14ac:dyDescent="0.2">
      <c r="A924" s="275"/>
      <c r="B924" s="78"/>
      <c r="C924" s="189"/>
      <c r="D924" s="259"/>
      <c r="E924" s="186"/>
      <c r="F924" s="187"/>
    </row>
    <row r="925" spans="1:6" x14ac:dyDescent="0.2">
      <c r="A925" s="275"/>
      <c r="B925" s="78"/>
      <c r="C925" s="189"/>
      <c r="D925" s="259"/>
      <c r="E925" s="186"/>
      <c r="F925" s="187"/>
    </row>
    <row r="926" spans="1:6" x14ac:dyDescent="0.2">
      <c r="A926" s="275"/>
      <c r="B926" s="78"/>
      <c r="C926" s="189"/>
      <c r="D926" s="259"/>
      <c r="E926" s="186"/>
      <c r="F926" s="187"/>
    </row>
    <row r="927" spans="1:6" x14ac:dyDescent="0.2">
      <c r="A927" s="275"/>
      <c r="B927" s="78"/>
      <c r="C927" s="189"/>
      <c r="D927" s="259"/>
      <c r="E927" s="186"/>
      <c r="F927" s="187"/>
    </row>
    <row r="928" spans="1:6" x14ac:dyDescent="0.2">
      <c r="A928" s="275"/>
      <c r="B928" s="78"/>
      <c r="C928" s="189"/>
      <c r="D928" s="259"/>
      <c r="E928" s="186"/>
      <c r="F928" s="187"/>
    </row>
    <row r="929" spans="1:6" x14ac:dyDescent="0.2">
      <c r="A929" s="275"/>
      <c r="B929" s="78"/>
      <c r="C929" s="189"/>
      <c r="D929" s="259"/>
      <c r="E929" s="186"/>
      <c r="F929" s="187"/>
    </row>
    <row r="930" spans="1:6" x14ac:dyDescent="0.2">
      <c r="A930" s="275"/>
      <c r="B930" s="78"/>
      <c r="C930" s="189"/>
      <c r="D930" s="259"/>
      <c r="E930" s="186"/>
      <c r="F930" s="187"/>
    </row>
    <row r="931" spans="1:6" x14ac:dyDescent="0.2">
      <c r="A931" s="275"/>
      <c r="B931" s="78"/>
      <c r="C931" s="189"/>
      <c r="D931" s="259"/>
      <c r="E931" s="186"/>
      <c r="F931" s="187"/>
    </row>
    <row r="932" spans="1:6" x14ac:dyDescent="0.2">
      <c r="A932" s="275"/>
      <c r="B932" s="78"/>
      <c r="C932" s="189"/>
      <c r="D932" s="259"/>
      <c r="E932" s="186"/>
      <c r="F932" s="187"/>
    </row>
    <row r="933" spans="1:6" x14ac:dyDescent="0.2">
      <c r="A933" s="275"/>
      <c r="B933" s="78"/>
      <c r="C933" s="189"/>
      <c r="D933" s="259"/>
      <c r="E933" s="186"/>
      <c r="F933" s="187"/>
    </row>
    <row r="934" spans="1:6" x14ac:dyDescent="0.2">
      <c r="A934" s="275"/>
      <c r="B934" s="78"/>
      <c r="C934" s="189"/>
      <c r="D934" s="259"/>
      <c r="E934" s="186"/>
      <c r="F934" s="187"/>
    </row>
    <row r="935" spans="1:6" x14ac:dyDescent="0.2">
      <c r="A935" s="275"/>
      <c r="B935" s="78"/>
      <c r="C935" s="189"/>
      <c r="D935" s="259"/>
      <c r="E935" s="186"/>
      <c r="F935" s="187"/>
    </row>
    <row r="936" spans="1:6" x14ac:dyDescent="0.2">
      <c r="A936" s="275"/>
      <c r="B936" s="78"/>
      <c r="C936" s="189"/>
      <c r="D936" s="259"/>
      <c r="E936" s="186"/>
      <c r="F936" s="187"/>
    </row>
    <row r="937" spans="1:6" x14ac:dyDescent="0.2">
      <c r="A937" s="275"/>
      <c r="B937" s="78"/>
      <c r="C937" s="189"/>
      <c r="D937" s="259"/>
      <c r="E937" s="186"/>
      <c r="F937" s="187"/>
    </row>
    <row r="938" spans="1:6" x14ac:dyDescent="0.2">
      <c r="A938" s="275"/>
      <c r="B938" s="78"/>
      <c r="C938" s="189"/>
      <c r="D938" s="259"/>
      <c r="E938" s="186"/>
      <c r="F938" s="187"/>
    </row>
    <row r="939" spans="1:6" x14ac:dyDescent="0.2">
      <c r="A939" s="275"/>
      <c r="B939" s="78"/>
      <c r="C939" s="189"/>
      <c r="D939" s="259"/>
      <c r="E939" s="186"/>
      <c r="F939" s="187"/>
    </row>
    <row r="940" spans="1:6" x14ac:dyDescent="0.2">
      <c r="A940" s="275"/>
      <c r="B940" s="78"/>
      <c r="C940" s="189"/>
      <c r="D940" s="259"/>
      <c r="E940" s="186"/>
      <c r="F940" s="187"/>
    </row>
    <row r="941" spans="1:6" x14ac:dyDescent="0.2">
      <c r="A941" s="275"/>
      <c r="B941" s="78"/>
      <c r="C941" s="189"/>
      <c r="D941" s="259"/>
      <c r="E941" s="186"/>
      <c r="F941" s="187"/>
    </row>
    <row r="942" spans="1:6" x14ac:dyDescent="0.2">
      <c r="A942" s="275"/>
      <c r="B942" s="78"/>
      <c r="C942" s="189"/>
      <c r="D942" s="259"/>
      <c r="E942" s="186"/>
      <c r="F942" s="187"/>
    </row>
    <row r="943" spans="1:6" x14ac:dyDescent="0.2">
      <c r="A943" s="275"/>
      <c r="B943" s="78"/>
      <c r="C943" s="189"/>
      <c r="D943" s="259"/>
      <c r="E943" s="186"/>
      <c r="F943" s="187"/>
    </row>
    <row r="944" spans="1:6" x14ac:dyDescent="0.2">
      <c r="A944" s="275"/>
      <c r="B944" s="78"/>
      <c r="C944" s="189"/>
      <c r="D944" s="259"/>
      <c r="E944" s="186"/>
      <c r="F944" s="187"/>
    </row>
    <row r="945" spans="1:6" x14ac:dyDescent="0.2">
      <c r="A945" s="275"/>
      <c r="B945" s="78"/>
      <c r="C945" s="189"/>
      <c r="D945" s="259"/>
      <c r="E945" s="186"/>
      <c r="F945" s="187"/>
    </row>
    <row r="946" spans="1:6" x14ac:dyDescent="0.2">
      <c r="A946" s="275"/>
      <c r="B946" s="78"/>
      <c r="C946" s="189"/>
      <c r="D946" s="259"/>
      <c r="E946" s="186"/>
      <c r="F946" s="187"/>
    </row>
    <row r="947" spans="1:6" x14ac:dyDescent="0.2">
      <c r="A947" s="275"/>
      <c r="B947" s="78"/>
      <c r="C947" s="189"/>
      <c r="D947" s="259"/>
      <c r="E947" s="186"/>
      <c r="F947" s="187"/>
    </row>
    <row r="948" spans="1:6" x14ac:dyDescent="0.2">
      <c r="A948" s="275"/>
      <c r="B948" s="78"/>
      <c r="C948" s="189"/>
      <c r="D948" s="259"/>
      <c r="E948" s="186"/>
      <c r="F948" s="187"/>
    </row>
    <row r="949" spans="1:6" x14ac:dyDescent="0.2">
      <c r="A949" s="275"/>
      <c r="B949" s="78"/>
      <c r="C949" s="189"/>
      <c r="D949" s="259"/>
      <c r="E949" s="186"/>
      <c r="F949" s="187"/>
    </row>
    <row r="950" spans="1:6" x14ac:dyDescent="0.2">
      <c r="A950" s="275"/>
      <c r="B950" s="78"/>
      <c r="C950" s="189"/>
      <c r="D950" s="259"/>
      <c r="E950" s="186"/>
      <c r="F950" s="187"/>
    </row>
    <row r="951" spans="1:6" x14ac:dyDescent="0.2">
      <c r="A951" s="275"/>
      <c r="B951" s="78"/>
      <c r="C951" s="189"/>
      <c r="D951" s="259"/>
      <c r="E951" s="186"/>
      <c r="F951" s="187"/>
    </row>
    <row r="952" spans="1:6" x14ac:dyDescent="0.2">
      <c r="A952" s="275"/>
      <c r="B952" s="78"/>
      <c r="C952" s="189"/>
      <c r="D952" s="259"/>
      <c r="E952" s="186"/>
      <c r="F952" s="187"/>
    </row>
    <row r="953" spans="1:6" x14ac:dyDescent="0.2">
      <c r="A953" s="275"/>
      <c r="B953" s="78"/>
      <c r="C953" s="189"/>
      <c r="D953" s="259"/>
      <c r="E953" s="186"/>
      <c r="F953" s="187"/>
    </row>
    <row r="954" spans="1:6" x14ac:dyDescent="0.2">
      <c r="A954" s="275"/>
      <c r="B954" s="78"/>
      <c r="C954" s="189"/>
      <c r="D954" s="259"/>
      <c r="E954" s="186"/>
      <c r="F954" s="187"/>
    </row>
    <row r="955" spans="1:6" x14ac:dyDescent="0.2">
      <c r="A955" s="275"/>
      <c r="B955" s="78"/>
      <c r="C955" s="189"/>
      <c r="D955" s="259"/>
      <c r="E955" s="186"/>
      <c r="F955" s="187"/>
    </row>
    <row r="956" spans="1:6" x14ac:dyDescent="0.2">
      <c r="A956" s="275"/>
      <c r="B956" s="78"/>
      <c r="C956" s="189"/>
      <c r="D956" s="259"/>
      <c r="E956" s="186"/>
      <c r="F956" s="187"/>
    </row>
    <row r="957" spans="1:6" x14ac:dyDescent="0.2">
      <c r="A957" s="275"/>
      <c r="B957" s="78"/>
      <c r="C957" s="189"/>
      <c r="D957" s="259"/>
      <c r="E957" s="186"/>
      <c r="F957" s="187"/>
    </row>
    <row r="958" spans="1:6" x14ac:dyDescent="0.2">
      <c r="A958" s="275"/>
      <c r="B958" s="78"/>
      <c r="C958" s="189"/>
      <c r="D958" s="259"/>
      <c r="E958" s="186"/>
      <c r="F958" s="187"/>
    </row>
    <row r="959" spans="1:6" x14ac:dyDescent="0.2">
      <c r="A959" s="275"/>
      <c r="B959" s="78"/>
      <c r="C959" s="189"/>
      <c r="D959" s="259"/>
      <c r="E959" s="186"/>
      <c r="F959" s="187"/>
    </row>
    <row r="960" spans="1:6" x14ac:dyDescent="0.2">
      <c r="A960" s="275"/>
      <c r="B960" s="78"/>
      <c r="C960" s="189"/>
      <c r="D960" s="259"/>
      <c r="E960" s="186"/>
      <c r="F960" s="187"/>
    </row>
    <row r="961" spans="1:6" x14ac:dyDescent="0.2">
      <c r="A961" s="275"/>
      <c r="B961" s="78"/>
      <c r="C961" s="189"/>
      <c r="D961" s="259"/>
      <c r="E961" s="186"/>
      <c r="F961" s="187"/>
    </row>
    <row r="962" spans="1:6" x14ac:dyDescent="0.2">
      <c r="A962" s="275"/>
      <c r="B962" s="78"/>
      <c r="C962" s="189"/>
      <c r="D962" s="259"/>
      <c r="E962" s="186"/>
      <c r="F962" s="187"/>
    </row>
    <row r="963" spans="1:6" x14ac:dyDescent="0.2">
      <c r="A963" s="275"/>
      <c r="B963" s="78"/>
      <c r="C963" s="189"/>
      <c r="D963" s="259"/>
      <c r="E963" s="186"/>
      <c r="F963" s="187"/>
    </row>
    <row r="964" spans="1:6" x14ac:dyDescent="0.2">
      <c r="A964" s="275"/>
      <c r="B964" s="78"/>
      <c r="C964" s="189"/>
      <c r="D964" s="259"/>
      <c r="E964" s="186"/>
      <c r="F964" s="187"/>
    </row>
    <row r="965" spans="1:6" x14ac:dyDescent="0.2">
      <c r="A965" s="275"/>
      <c r="B965" s="78"/>
      <c r="C965" s="189"/>
      <c r="D965" s="259"/>
      <c r="E965" s="186"/>
      <c r="F965" s="187"/>
    </row>
    <row r="966" spans="1:6" x14ac:dyDescent="0.2">
      <c r="A966" s="275"/>
      <c r="B966" s="78"/>
      <c r="C966" s="189"/>
      <c r="D966" s="259"/>
      <c r="E966" s="186"/>
      <c r="F966" s="187"/>
    </row>
    <row r="967" spans="1:6" x14ac:dyDescent="0.2">
      <c r="A967" s="275"/>
      <c r="B967" s="78"/>
      <c r="C967" s="189"/>
      <c r="D967" s="259"/>
      <c r="E967" s="186"/>
      <c r="F967" s="187"/>
    </row>
    <row r="968" spans="1:6" x14ac:dyDescent="0.2">
      <c r="A968" s="275"/>
      <c r="B968" s="78"/>
      <c r="C968" s="189"/>
      <c r="D968" s="259"/>
      <c r="E968" s="186"/>
      <c r="F968" s="187"/>
    </row>
    <row r="969" spans="1:6" x14ac:dyDescent="0.2">
      <c r="A969" s="275"/>
      <c r="B969" s="78"/>
      <c r="C969" s="189"/>
      <c r="D969" s="259"/>
      <c r="E969" s="186"/>
      <c r="F969" s="187"/>
    </row>
    <row r="970" spans="1:6" x14ac:dyDescent="0.2">
      <c r="A970" s="275"/>
      <c r="B970" s="78"/>
      <c r="C970" s="189"/>
      <c r="D970" s="259"/>
      <c r="E970" s="186"/>
      <c r="F970" s="187"/>
    </row>
    <row r="971" spans="1:6" x14ac:dyDescent="0.2">
      <c r="A971" s="275"/>
      <c r="B971" s="78"/>
      <c r="C971" s="189"/>
      <c r="D971" s="259"/>
      <c r="E971" s="186"/>
      <c r="F971" s="187"/>
    </row>
    <row r="972" spans="1:6" x14ac:dyDescent="0.2">
      <c r="A972" s="275"/>
      <c r="B972" s="78"/>
      <c r="C972" s="189"/>
      <c r="D972" s="259"/>
      <c r="E972" s="186"/>
      <c r="F972" s="187"/>
    </row>
    <row r="973" spans="1:6" x14ac:dyDescent="0.2">
      <c r="A973" s="275"/>
      <c r="B973" s="78"/>
      <c r="C973" s="189"/>
      <c r="D973" s="259"/>
      <c r="E973" s="186"/>
      <c r="F973" s="187"/>
    </row>
    <row r="974" spans="1:6" x14ac:dyDescent="0.2">
      <c r="A974" s="275"/>
      <c r="B974" s="78"/>
      <c r="C974" s="189"/>
      <c r="D974" s="259"/>
      <c r="E974" s="186"/>
      <c r="F974" s="187"/>
    </row>
    <row r="975" spans="1:6" x14ac:dyDescent="0.2">
      <c r="A975" s="275"/>
      <c r="B975" s="78"/>
      <c r="C975" s="189"/>
      <c r="D975" s="259"/>
      <c r="E975" s="186"/>
      <c r="F975" s="187"/>
    </row>
    <row r="976" spans="1:6" x14ac:dyDescent="0.2">
      <c r="A976" s="275"/>
      <c r="B976" s="78"/>
      <c r="C976" s="189"/>
      <c r="D976" s="259"/>
      <c r="E976" s="186"/>
      <c r="F976" s="187"/>
    </row>
    <row r="977" spans="1:6" x14ac:dyDescent="0.2">
      <c r="A977" s="275"/>
      <c r="B977" s="78"/>
      <c r="C977" s="189"/>
      <c r="D977" s="259"/>
      <c r="E977" s="186"/>
      <c r="F977" s="187"/>
    </row>
    <row r="978" spans="1:6" x14ac:dyDescent="0.2">
      <c r="A978" s="275"/>
      <c r="B978" s="78"/>
      <c r="C978" s="189"/>
      <c r="D978" s="259"/>
      <c r="E978" s="186"/>
      <c r="F978" s="187"/>
    </row>
    <row r="979" spans="1:6" x14ac:dyDescent="0.2">
      <c r="A979" s="275"/>
      <c r="B979" s="78"/>
      <c r="C979" s="189"/>
      <c r="D979" s="259"/>
      <c r="E979" s="186"/>
      <c r="F979" s="187"/>
    </row>
    <row r="980" spans="1:6" x14ac:dyDescent="0.2">
      <c r="A980" s="275"/>
      <c r="B980" s="78"/>
      <c r="C980" s="189"/>
      <c r="D980" s="259"/>
      <c r="E980" s="186"/>
      <c r="F980" s="187"/>
    </row>
    <row r="981" spans="1:6" x14ac:dyDescent="0.2">
      <c r="A981" s="275"/>
      <c r="B981" s="78"/>
      <c r="C981" s="189"/>
      <c r="D981" s="259"/>
      <c r="E981" s="186"/>
      <c r="F981" s="187"/>
    </row>
    <row r="982" spans="1:6" x14ac:dyDescent="0.2">
      <c r="A982" s="275"/>
      <c r="B982" s="78"/>
      <c r="C982" s="189"/>
      <c r="D982" s="259"/>
      <c r="E982" s="186"/>
      <c r="F982" s="187"/>
    </row>
    <row r="983" spans="1:6" x14ac:dyDescent="0.2">
      <c r="A983" s="275"/>
      <c r="B983" s="78"/>
      <c r="C983" s="189"/>
      <c r="D983" s="259"/>
      <c r="E983" s="186"/>
      <c r="F983" s="187"/>
    </row>
    <row r="984" spans="1:6" x14ac:dyDescent="0.2">
      <c r="A984" s="275"/>
      <c r="B984" s="78"/>
      <c r="C984" s="189"/>
      <c r="D984" s="259"/>
      <c r="E984" s="186"/>
      <c r="F984" s="187"/>
    </row>
    <row r="985" spans="1:6" x14ac:dyDescent="0.2">
      <c r="A985" s="275"/>
      <c r="B985" s="78"/>
      <c r="C985" s="189"/>
      <c r="D985" s="259"/>
      <c r="E985" s="186"/>
      <c r="F985" s="187"/>
    </row>
    <row r="986" spans="1:6" x14ac:dyDescent="0.2">
      <c r="A986" s="275"/>
      <c r="B986" s="78"/>
      <c r="C986" s="189"/>
      <c r="D986" s="259"/>
      <c r="E986" s="186"/>
      <c r="F986" s="187"/>
    </row>
    <row r="987" spans="1:6" x14ac:dyDescent="0.2">
      <c r="A987" s="275"/>
      <c r="B987" s="78"/>
      <c r="C987" s="189"/>
      <c r="D987" s="259"/>
      <c r="E987" s="186"/>
      <c r="F987" s="187"/>
    </row>
    <row r="988" spans="1:6" x14ac:dyDescent="0.2">
      <c r="A988" s="275"/>
      <c r="B988" s="78"/>
      <c r="C988" s="189"/>
      <c r="D988" s="259"/>
      <c r="E988" s="186"/>
      <c r="F988" s="187"/>
    </row>
    <row r="989" spans="1:6" x14ac:dyDescent="0.2">
      <c r="A989" s="275"/>
      <c r="B989" s="78"/>
      <c r="C989" s="189"/>
      <c r="D989" s="259"/>
      <c r="E989" s="186"/>
      <c r="F989" s="187"/>
    </row>
    <row r="990" spans="1:6" x14ac:dyDescent="0.2">
      <c r="A990" s="275"/>
      <c r="B990" s="78"/>
      <c r="C990" s="189"/>
      <c r="D990" s="259"/>
      <c r="E990" s="186"/>
      <c r="F990" s="187"/>
    </row>
    <row r="991" spans="1:6" x14ac:dyDescent="0.2">
      <c r="A991" s="275"/>
      <c r="B991" s="78"/>
      <c r="C991" s="189"/>
      <c r="D991" s="259"/>
      <c r="E991" s="186"/>
      <c r="F991" s="187"/>
    </row>
    <row r="992" spans="1:6" x14ac:dyDescent="0.2">
      <c r="A992" s="275"/>
      <c r="B992" s="78"/>
      <c r="C992" s="189"/>
      <c r="D992" s="259"/>
      <c r="E992" s="186"/>
      <c r="F992" s="187"/>
    </row>
    <row r="993" spans="1:6" x14ac:dyDescent="0.2">
      <c r="A993" s="275"/>
      <c r="B993" s="78"/>
      <c r="C993" s="189"/>
      <c r="D993" s="259"/>
      <c r="E993" s="186"/>
      <c r="F993" s="187"/>
    </row>
    <row r="994" spans="1:6" x14ac:dyDescent="0.2">
      <c r="A994" s="275"/>
      <c r="B994" s="78"/>
      <c r="C994" s="189"/>
      <c r="D994" s="259"/>
      <c r="E994" s="186"/>
      <c r="F994" s="187"/>
    </row>
    <row r="995" spans="1:6" x14ac:dyDescent="0.2">
      <c r="A995" s="275"/>
      <c r="B995" s="78"/>
      <c r="C995" s="189"/>
      <c r="D995" s="259"/>
      <c r="E995" s="186"/>
      <c r="F995" s="187"/>
    </row>
    <row r="996" spans="1:6" x14ac:dyDescent="0.2">
      <c r="A996" s="275"/>
      <c r="B996" s="78"/>
      <c r="C996" s="189"/>
      <c r="D996" s="259"/>
      <c r="E996" s="186"/>
      <c r="F996" s="187"/>
    </row>
    <row r="997" spans="1:6" x14ac:dyDescent="0.2">
      <c r="A997" s="275"/>
      <c r="B997" s="78"/>
      <c r="C997" s="189"/>
      <c r="D997" s="259"/>
      <c r="E997" s="186"/>
      <c r="F997" s="187"/>
    </row>
    <row r="998" spans="1:6" x14ac:dyDescent="0.2">
      <c r="A998" s="275"/>
      <c r="B998" s="78"/>
      <c r="C998" s="189"/>
      <c r="D998" s="259"/>
      <c r="E998" s="186"/>
      <c r="F998" s="187"/>
    </row>
    <row r="999" spans="1:6" x14ac:dyDescent="0.2">
      <c r="A999" s="275"/>
      <c r="B999" s="78"/>
      <c r="C999" s="189"/>
      <c r="D999" s="259"/>
      <c r="E999" s="186"/>
      <c r="F999" s="187"/>
    </row>
    <row r="1000" spans="1:6" x14ac:dyDescent="0.2">
      <c r="A1000" s="275"/>
      <c r="B1000" s="78"/>
      <c r="C1000" s="189"/>
      <c r="D1000" s="259"/>
      <c r="E1000" s="186"/>
      <c r="F1000" s="187"/>
    </row>
    <row r="1001" spans="1:6" x14ac:dyDescent="0.2">
      <c r="A1001" s="275"/>
      <c r="B1001" s="78"/>
      <c r="C1001" s="189"/>
      <c r="D1001" s="259"/>
      <c r="E1001" s="186"/>
      <c r="F1001" s="187"/>
    </row>
    <row r="1002" spans="1:6" x14ac:dyDescent="0.2">
      <c r="A1002" s="275"/>
      <c r="B1002" s="78"/>
      <c r="C1002" s="189"/>
      <c r="D1002" s="259"/>
      <c r="E1002" s="186"/>
      <c r="F1002" s="187"/>
    </row>
    <row r="1003" spans="1:6" x14ac:dyDescent="0.2">
      <c r="A1003" s="275"/>
      <c r="B1003" s="78"/>
      <c r="C1003" s="189"/>
      <c r="D1003" s="259"/>
      <c r="E1003" s="186"/>
      <c r="F1003" s="187"/>
    </row>
    <row r="1004" spans="1:6" x14ac:dyDescent="0.2">
      <c r="A1004" s="275"/>
      <c r="B1004" s="78"/>
      <c r="C1004" s="189"/>
      <c r="D1004" s="259"/>
      <c r="E1004" s="186"/>
      <c r="F1004" s="187"/>
    </row>
    <row r="1005" spans="1:6" x14ac:dyDescent="0.2">
      <c r="A1005" s="275"/>
      <c r="B1005" s="78"/>
      <c r="C1005" s="189"/>
      <c r="D1005" s="259"/>
      <c r="E1005" s="186"/>
      <c r="F1005" s="187"/>
    </row>
    <row r="1006" spans="1:6" x14ac:dyDescent="0.2">
      <c r="A1006" s="275"/>
      <c r="B1006" s="78"/>
      <c r="C1006" s="189"/>
      <c r="D1006" s="259"/>
      <c r="E1006" s="186"/>
      <c r="F1006" s="187"/>
    </row>
    <row r="1007" spans="1:6" x14ac:dyDescent="0.2">
      <c r="A1007" s="275"/>
      <c r="B1007" s="78"/>
      <c r="C1007" s="189"/>
      <c r="D1007" s="259"/>
      <c r="E1007" s="186"/>
      <c r="F1007" s="187"/>
    </row>
    <row r="1008" spans="1:6" x14ac:dyDescent="0.2">
      <c r="A1008" s="275"/>
      <c r="B1008" s="78"/>
      <c r="C1008" s="189"/>
      <c r="D1008" s="259"/>
      <c r="E1008" s="186"/>
      <c r="F1008" s="187"/>
    </row>
    <row r="1009" spans="1:6" x14ac:dyDescent="0.2">
      <c r="A1009" s="275"/>
      <c r="B1009" s="78"/>
      <c r="C1009" s="189"/>
      <c r="D1009" s="259"/>
      <c r="E1009" s="186"/>
      <c r="F1009" s="187"/>
    </row>
    <row r="1010" spans="1:6" x14ac:dyDescent="0.2">
      <c r="A1010" s="275"/>
      <c r="B1010" s="78"/>
      <c r="C1010" s="189"/>
      <c r="D1010" s="259"/>
      <c r="E1010" s="186"/>
      <c r="F1010" s="187"/>
    </row>
    <row r="1011" spans="1:6" x14ac:dyDescent="0.2">
      <c r="A1011" s="275"/>
      <c r="B1011" s="78"/>
      <c r="C1011" s="189"/>
      <c r="D1011" s="259"/>
      <c r="E1011" s="186"/>
      <c r="F1011" s="187"/>
    </row>
    <row r="1012" spans="1:6" x14ac:dyDescent="0.2">
      <c r="A1012" s="275"/>
      <c r="B1012" s="78"/>
      <c r="C1012" s="189"/>
      <c r="D1012" s="259"/>
      <c r="E1012" s="186"/>
      <c r="F1012" s="187"/>
    </row>
    <row r="1013" spans="1:6" x14ac:dyDescent="0.2">
      <c r="A1013" s="275"/>
      <c r="B1013" s="78"/>
      <c r="C1013" s="189"/>
      <c r="D1013" s="259"/>
      <c r="E1013" s="186"/>
      <c r="F1013" s="187"/>
    </row>
    <row r="1014" spans="1:6" x14ac:dyDescent="0.2">
      <c r="A1014" s="275"/>
      <c r="B1014" s="78"/>
      <c r="C1014" s="189"/>
      <c r="D1014" s="259"/>
      <c r="E1014" s="186"/>
      <c r="F1014" s="187"/>
    </row>
    <row r="1015" spans="1:6" x14ac:dyDescent="0.2">
      <c r="A1015" s="275"/>
      <c r="B1015" s="78"/>
      <c r="C1015" s="189"/>
      <c r="D1015" s="259"/>
      <c r="E1015" s="186"/>
      <c r="F1015" s="187"/>
    </row>
    <row r="1016" spans="1:6" x14ac:dyDescent="0.2">
      <c r="A1016" s="275"/>
      <c r="B1016" s="78"/>
      <c r="C1016" s="189"/>
      <c r="D1016" s="259"/>
      <c r="E1016" s="186"/>
      <c r="F1016" s="187"/>
    </row>
    <row r="1017" spans="1:6" x14ac:dyDescent="0.2">
      <c r="A1017" s="275"/>
      <c r="B1017" s="78"/>
      <c r="C1017" s="189"/>
      <c r="D1017" s="259"/>
      <c r="E1017" s="186"/>
      <c r="F1017" s="187"/>
    </row>
    <row r="1018" spans="1:6" x14ac:dyDescent="0.2">
      <c r="A1018" s="275"/>
      <c r="B1018" s="78"/>
      <c r="C1018" s="189"/>
      <c r="D1018" s="259"/>
      <c r="E1018" s="186"/>
      <c r="F1018" s="187"/>
    </row>
    <row r="1019" spans="1:6" x14ac:dyDescent="0.2">
      <c r="A1019" s="275"/>
      <c r="B1019" s="78"/>
      <c r="C1019" s="189"/>
      <c r="D1019" s="259"/>
      <c r="E1019" s="186"/>
      <c r="F1019" s="187"/>
    </row>
    <row r="1020" spans="1:6" x14ac:dyDescent="0.2">
      <c r="A1020" s="275"/>
      <c r="B1020" s="78"/>
      <c r="C1020" s="189"/>
      <c r="D1020" s="259"/>
      <c r="E1020" s="186"/>
      <c r="F1020" s="187"/>
    </row>
    <row r="1021" spans="1:6" x14ac:dyDescent="0.2">
      <c r="A1021" s="275"/>
      <c r="B1021" s="78"/>
      <c r="C1021" s="189"/>
      <c r="D1021" s="259"/>
      <c r="E1021" s="186"/>
      <c r="F1021" s="187"/>
    </row>
    <row r="1022" spans="1:6" x14ac:dyDescent="0.2">
      <c r="A1022" s="275"/>
      <c r="B1022" s="78"/>
      <c r="C1022" s="189"/>
      <c r="D1022" s="259"/>
      <c r="E1022" s="186"/>
      <c r="F1022" s="187"/>
    </row>
    <row r="1023" spans="1:6" x14ac:dyDescent="0.2">
      <c r="A1023" s="275"/>
      <c r="B1023" s="78"/>
      <c r="C1023" s="189"/>
      <c r="D1023" s="259"/>
      <c r="E1023" s="186"/>
      <c r="F1023" s="187"/>
    </row>
    <row r="1024" spans="1:6" x14ac:dyDescent="0.2">
      <c r="A1024" s="275"/>
      <c r="B1024" s="78"/>
      <c r="C1024" s="189"/>
      <c r="D1024" s="259"/>
      <c r="E1024" s="186"/>
      <c r="F1024" s="187"/>
    </row>
    <row r="1025" spans="1:6" x14ac:dyDescent="0.2">
      <c r="A1025" s="275"/>
      <c r="B1025" s="78"/>
      <c r="C1025" s="189"/>
      <c r="D1025" s="259"/>
      <c r="E1025" s="186"/>
      <c r="F1025" s="187"/>
    </row>
    <row r="1026" spans="1:6" x14ac:dyDescent="0.2">
      <c r="A1026" s="275"/>
      <c r="B1026" s="78"/>
      <c r="C1026" s="189"/>
      <c r="D1026" s="259"/>
      <c r="E1026" s="186"/>
      <c r="F1026" s="187"/>
    </row>
    <row r="1027" spans="1:6" x14ac:dyDescent="0.2">
      <c r="A1027" s="275"/>
      <c r="B1027" s="78"/>
      <c r="C1027" s="189"/>
      <c r="D1027" s="259"/>
      <c r="E1027" s="186"/>
      <c r="F1027" s="187"/>
    </row>
    <row r="1028" spans="1:6" x14ac:dyDescent="0.2">
      <c r="A1028" s="275"/>
      <c r="B1028" s="78"/>
      <c r="C1028" s="189"/>
      <c r="D1028" s="259"/>
      <c r="E1028" s="186"/>
      <c r="F1028" s="187"/>
    </row>
    <row r="1029" spans="1:6" x14ac:dyDescent="0.2">
      <c r="A1029" s="275"/>
      <c r="B1029" s="78"/>
      <c r="C1029" s="189"/>
      <c r="D1029" s="259"/>
      <c r="E1029" s="186"/>
      <c r="F1029" s="187"/>
    </row>
    <row r="1030" spans="1:6" x14ac:dyDescent="0.2">
      <c r="A1030" s="275"/>
      <c r="B1030" s="78"/>
      <c r="C1030" s="189"/>
      <c r="D1030" s="259"/>
      <c r="E1030" s="186"/>
      <c r="F1030" s="187"/>
    </row>
    <row r="1031" spans="1:6" x14ac:dyDescent="0.2">
      <c r="A1031" s="275"/>
      <c r="B1031" s="78"/>
      <c r="C1031" s="189"/>
      <c r="D1031" s="259"/>
      <c r="E1031" s="186"/>
      <c r="F1031" s="187"/>
    </row>
    <row r="1032" spans="1:6" x14ac:dyDescent="0.2">
      <c r="A1032" s="275"/>
      <c r="B1032" s="78"/>
      <c r="C1032" s="189"/>
      <c r="D1032" s="259"/>
      <c r="E1032" s="186"/>
      <c r="F1032" s="187"/>
    </row>
    <row r="1033" spans="1:6" x14ac:dyDescent="0.2">
      <c r="A1033" s="275"/>
      <c r="B1033" s="78"/>
      <c r="C1033" s="189"/>
      <c r="D1033" s="259"/>
      <c r="E1033" s="186"/>
      <c r="F1033" s="187"/>
    </row>
    <row r="1034" spans="1:6" x14ac:dyDescent="0.2">
      <c r="A1034" s="275"/>
      <c r="B1034" s="78"/>
      <c r="C1034" s="189"/>
      <c r="D1034" s="259"/>
      <c r="E1034" s="186"/>
      <c r="F1034" s="187"/>
    </row>
    <row r="1035" spans="1:6" x14ac:dyDescent="0.2">
      <c r="A1035" s="275"/>
      <c r="B1035" s="78"/>
      <c r="C1035" s="189"/>
      <c r="D1035" s="259"/>
      <c r="E1035" s="186"/>
      <c r="F1035" s="187"/>
    </row>
    <row r="1036" spans="1:6" x14ac:dyDescent="0.2">
      <c r="A1036" s="275"/>
      <c r="B1036" s="78"/>
      <c r="C1036" s="189"/>
      <c r="D1036" s="259"/>
      <c r="E1036" s="186"/>
      <c r="F1036" s="187"/>
    </row>
    <row r="1037" spans="1:6" x14ac:dyDescent="0.2">
      <c r="A1037" s="275"/>
      <c r="B1037" s="78"/>
      <c r="C1037" s="189"/>
      <c r="D1037" s="259"/>
      <c r="E1037" s="186"/>
      <c r="F1037" s="187"/>
    </row>
    <row r="1038" spans="1:6" x14ac:dyDescent="0.2">
      <c r="A1038" s="275"/>
      <c r="B1038" s="78"/>
      <c r="C1038" s="189"/>
      <c r="D1038" s="259"/>
      <c r="E1038" s="186"/>
      <c r="F1038" s="187"/>
    </row>
    <row r="1039" spans="1:6" x14ac:dyDescent="0.2">
      <c r="A1039" s="275"/>
      <c r="B1039" s="78"/>
      <c r="C1039" s="189"/>
      <c r="D1039" s="259"/>
      <c r="E1039" s="186"/>
      <c r="F1039" s="187"/>
    </row>
    <row r="1040" spans="1:6" x14ac:dyDescent="0.2">
      <c r="A1040" s="275"/>
      <c r="B1040" s="78"/>
      <c r="C1040" s="189"/>
      <c r="D1040" s="259"/>
      <c r="E1040" s="186"/>
      <c r="F1040" s="187"/>
    </row>
    <row r="1041" spans="1:6" x14ac:dyDescent="0.2">
      <c r="A1041" s="275"/>
      <c r="B1041" s="78"/>
      <c r="C1041" s="189"/>
      <c r="D1041" s="259"/>
      <c r="E1041" s="186"/>
      <c r="F1041" s="187"/>
    </row>
    <row r="1042" spans="1:6" x14ac:dyDescent="0.2">
      <c r="A1042" s="275"/>
      <c r="B1042" s="78"/>
      <c r="C1042" s="189"/>
      <c r="D1042" s="259"/>
      <c r="E1042" s="186"/>
      <c r="F1042" s="187"/>
    </row>
    <row r="1043" spans="1:6" x14ac:dyDescent="0.2">
      <c r="A1043" s="275"/>
      <c r="B1043" s="78"/>
      <c r="C1043" s="189"/>
      <c r="D1043" s="259"/>
      <c r="E1043" s="186"/>
      <c r="F1043" s="187"/>
    </row>
    <row r="1044" spans="1:6" x14ac:dyDescent="0.2">
      <c r="A1044" s="275"/>
      <c r="B1044" s="78"/>
      <c r="C1044" s="189"/>
      <c r="D1044" s="259"/>
      <c r="E1044" s="186"/>
      <c r="F1044" s="187"/>
    </row>
    <row r="1045" spans="1:6" x14ac:dyDescent="0.2">
      <c r="A1045" s="275"/>
      <c r="B1045" s="78"/>
      <c r="C1045" s="189"/>
      <c r="D1045" s="259"/>
      <c r="E1045" s="186"/>
      <c r="F1045" s="187"/>
    </row>
    <row r="1046" spans="1:6" x14ac:dyDescent="0.2">
      <c r="A1046" s="275"/>
      <c r="B1046" s="78"/>
      <c r="C1046" s="189"/>
      <c r="D1046" s="259"/>
      <c r="E1046" s="186"/>
      <c r="F1046" s="187"/>
    </row>
    <row r="1047" spans="1:6" x14ac:dyDescent="0.2">
      <c r="A1047" s="275"/>
      <c r="B1047" s="78"/>
      <c r="C1047" s="189"/>
      <c r="D1047" s="259"/>
      <c r="E1047" s="186"/>
      <c r="F1047" s="187"/>
    </row>
    <row r="1048" spans="1:6" x14ac:dyDescent="0.2">
      <c r="A1048" s="275"/>
      <c r="B1048" s="78"/>
      <c r="C1048" s="189"/>
      <c r="D1048" s="259"/>
      <c r="E1048" s="186"/>
      <c r="F1048" s="187"/>
    </row>
    <row r="1049" spans="1:6" x14ac:dyDescent="0.2">
      <c r="A1049" s="275"/>
      <c r="B1049" s="78"/>
      <c r="C1049" s="189"/>
      <c r="D1049" s="259"/>
      <c r="E1049" s="186"/>
      <c r="F1049" s="187"/>
    </row>
    <row r="1050" spans="1:6" x14ac:dyDescent="0.2">
      <c r="A1050" s="275"/>
      <c r="B1050" s="78"/>
      <c r="C1050" s="189"/>
      <c r="D1050" s="259"/>
      <c r="E1050" s="186"/>
      <c r="F1050" s="187"/>
    </row>
    <row r="1051" spans="1:6" x14ac:dyDescent="0.2">
      <c r="A1051" s="275"/>
      <c r="B1051" s="78"/>
      <c r="C1051" s="189"/>
      <c r="D1051" s="259"/>
      <c r="E1051" s="186"/>
      <c r="F1051" s="187"/>
    </row>
    <row r="1052" spans="1:6" x14ac:dyDescent="0.2">
      <c r="A1052" s="275"/>
      <c r="B1052" s="78"/>
      <c r="C1052" s="189"/>
      <c r="D1052" s="259"/>
      <c r="E1052" s="186"/>
      <c r="F1052" s="187"/>
    </row>
    <row r="1053" spans="1:6" x14ac:dyDescent="0.2">
      <c r="A1053" s="275"/>
      <c r="B1053" s="78"/>
      <c r="C1053" s="189"/>
      <c r="D1053" s="259"/>
      <c r="E1053" s="186"/>
      <c r="F1053" s="187"/>
    </row>
    <row r="1054" spans="1:6" x14ac:dyDescent="0.2">
      <c r="A1054" s="275"/>
      <c r="B1054" s="78"/>
      <c r="C1054" s="189"/>
      <c r="D1054" s="259"/>
      <c r="E1054" s="186"/>
      <c r="F1054" s="187"/>
    </row>
    <row r="1055" spans="1:6" x14ac:dyDescent="0.2">
      <c r="A1055" s="275"/>
      <c r="B1055" s="78"/>
      <c r="C1055" s="189"/>
      <c r="D1055" s="259"/>
      <c r="E1055" s="186"/>
      <c r="F1055" s="187"/>
    </row>
    <row r="1056" spans="1:6" x14ac:dyDescent="0.2">
      <c r="A1056" s="275"/>
      <c r="B1056" s="78"/>
      <c r="C1056" s="189"/>
      <c r="D1056" s="259"/>
      <c r="E1056" s="186"/>
      <c r="F1056" s="187"/>
    </row>
    <row r="1057" spans="1:6" x14ac:dyDescent="0.2">
      <c r="A1057" s="275"/>
      <c r="B1057" s="78"/>
      <c r="C1057" s="189"/>
      <c r="D1057" s="259"/>
      <c r="E1057" s="186"/>
      <c r="F1057" s="187"/>
    </row>
    <row r="1058" spans="1:6" x14ac:dyDescent="0.2">
      <c r="A1058" s="275"/>
      <c r="B1058" s="78"/>
      <c r="C1058" s="189"/>
      <c r="D1058" s="259"/>
      <c r="E1058" s="186"/>
      <c r="F1058" s="187"/>
    </row>
    <row r="1059" spans="1:6" x14ac:dyDescent="0.2">
      <c r="A1059" s="275"/>
      <c r="B1059" s="78"/>
      <c r="C1059" s="189"/>
      <c r="D1059" s="259"/>
      <c r="E1059" s="186"/>
      <c r="F1059" s="187"/>
    </row>
    <row r="1060" spans="1:6" x14ac:dyDescent="0.2">
      <c r="A1060" s="275"/>
      <c r="B1060" s="78"/>
      <c r="C1060" s="189"/>
      <c r="D1060" s="259"/>
      <c r="E1060" s="186"/>
      <c r="F1060" s="187"/>
    </row>
    <row r="1061" spans="1:6" x14ac:dyDescent="0.2">
      <c r="A1061" s="275"/>
      <c r="B1061" s="78"/>
      <c r="C1061" s="189"/>
      <c r="D1061" s="259"/>
      <c r="E1061" s="186"/>
      <c r="F1061" s="187"/>
    </row>
    <row r="1062" spans="1:6" x14ac:dyDescent="0.2">
      <c r="A1062" s="275"/>
      <c r="B1062" s="78"/>
      <c r="C1062" s="189"/>
      <c r="D1062" s="259"/>
      <c r="E1062" s="186"/>
      <c r="F1062" s="187"/>
    </row>
    <row r="1063" spans="1:6" x14ac:dyDescent="0.2">
      <c r="A1063" s="275"/>
      <c r="B1063" s="78"/>
      <c r="C1063" s="189"/>
      <c r="D1063" s="259"/>
      <c r="E1063" s="186"/>
      <c r="F1063" s="187"/>
    </row>
    <row r="1064" spans="1:6" x14ac:dyDescent="0.2">
      <c r="A1064" s="275"/>
      <c r="B1064" s="78"/>
      <c r="C1064" s="189"/>
      <c r="D1064" s="259"/>
      <c r="E1064" s="186"/>
      <c r="F1064" s="187"/>
    </row>
    <row r="1065" spans="1:6" x14ac:dyDescent="0.2">
      <c r="A1065" s="275"/>
      <c r="B1065" s="78"/>
      <c r="C1065" s="189"/>
      <c r="D1065" s="259"/>
      <c r="E1065" s="186"/>
      <c r="F1065" s="187"/>
    </row>
    <row r="1066" spans="1:6" x14ac:dyDescent="0.2">
      <c r="A1066" s="275"/>
      <c r="B1066" s="78"/>
      <c r="C1066" s="189"/>
      <c r="D1066" s="259"/>
      <c r="E1066" s="186"/>
      <c r="F1066" s="187"/>
    </row>
    <row r="1067" spans="1:6" x14ac:dyDescent="0.2">
      <c r="A1067" s="275"/>
      <c r="B1067" s="78"/>
      <c r="C1067" s="189"/>
      <c r="D1067" s="259"/>
      <c r="E1067" s="186"/>
      <c r="F1067" s="187"/>
    </row>
    <row r="1068" spans="1:6" x14ac:dyDescent="0.2">
      <c r="A1068" s="275"/>
      <c r="B1068" s="78"/>
      <c r="C1068" s="189"/>
      <c r="D1068" s="259"/>
      <c r="E1068" s="186"/>
      <c r="F1068" s="187"/>
    </row>
    <row r="1069" spans="1:6" x14ac:dyDescent="0.2">
      <c r="A1069" s="275"/>
      <c r="B1069" s="78"/>
      <c r="C1069" s="189"/>
      <c r="D1069" s="259"/>
      <c r="E1069" s="186"/>
      <c r="F1069" s="187"/>
    </row>
    <row r="1070" spans="1:6" x14ac:dyDescent="0.2">
      <c r="A1070" s="275"/>
      <c r="B1070" s="78"/>
      <c r="C1070" s="189"/>
      <c r="D1070" s="259"/>
      <c r="E1070" s="186"/>
      <c r="F1070" s="187"/>
    </row>
    <row r="1071" spans="1:6" x14ac:dyDescent="0.2">
      <c r="A1071" s="275"/>
      <c r="B1071" s="78"/>
      <c r="C1071" s="189"/>
      <c r="D1071" s="259"/>
      <c r="E1071" s="186"/>
      <c r="F1071" s="187"/>
    </row>
    <row r="1072" spans="1:6" x14ac:dyDescent="0.2">
      <c r="A1072" s="275"/>
      <c r="B1072" s="78"/>
      <c r="C1072" s="189"/>
      <c r="D1072" s="259"/>
      <c r="E1072" s="186"/>
      <c r="F1072" s="187"/>
    </row>
    <row r="1073" spans="1:6" x14ac:dyDescent="0.2">
      <c r="A1073" s="275"/>
      <c r="B1073" s="78"/>
      <c r="C1073" s="189"/>
      <c r="D1073" s="259"/>
      <c r="E1073" s="186"/>
      <c r="F1073" s="187"/>
    </row>
    <row r="1074" spans="1:6" x14ac:dyDescent="0.2">
      <c r="A1074" s="275"/>
      <c r="B1074" s="78"/>
      <c r="C1074" s="189"/>
      <c r="D1074" s="259"/>
      <c r="E1074" s="186"/>
      <c r="F1074" s="187"/>
    </row>
    <row r="1075" spans="1:6" x14ac:dyDescent="0.2">
      <c r="A1075" s="275"/>
      <c r="B1075" s="78"/>
      <c r="C1075" s="189"/>
      <c r="D1075" s="259"/>
      <c r="E1075" s="186"/>
      <c r="F1075" s="187"/>
    </row>
    <row r="1076" spans="1:6" x14ac:dyDescent="0.2">
      <c r="A1076" s="275"/>
      <c r="B1076" s="78"/>
      <c r="C1076" s="189"/>
      <c r="D1076" s="259"/>
      <c r="E1076" s="186"/>
      <c r="F1076" s="187"/>
    </row>
    <row r="1077" spans="1:6" x14ac:dyDescent="0.2">
      <c r="A1077" s="275"/>
      <c r="B1077" s="78"/>
      <c r="C1077" s="189"/>
      <c r="D1077" s="259"/>
      <c r="E1077" s="186"/>
      <c r="F1077" s="187"/>
    </row>
    <row r="1078" spans="1:6" x14ac:dyDescent="0.2">
      <c r="A1078" s="275"/>
      <c r="B1078" s="78"/>
      <c r="C1078" s="189"/>
      <c r="D1078" s="259"/>
      <c r="E1078" s="186"/>
      <c r="F1078" s="187"/>
    </row>
    <row r="1079" spans="1:6" x14ac:dyDescent="0.2">
      <c r="A1079" s="275"/>
      <c r="B1079" s="78"/>
      <c r="C1079" s="189"/>
      <c r="D1079" s="259"/>
      <c r="E1079" s="186"/>
      <c r="F1079" s="187"/>
    </row>
    <row r="1080" spans="1:6" x14ac:dyDescent="0.2">
      <c r="A1080" s="275"/>
      <c r="B1080" s="78"/>
      <c r="C1080" s="189"/>
      <c r="D1080" s="259"/>
      <c r="E1080" s="186"/>
      <c r="F1080" s="187"/>
    </row>
    <row r="1081" spans="1:6" x14ac:dyDescent="0.2">
      <c r="A1081" s="275"/>
      <c r="B1081" s="78"/>
      <c r="C1081" s="189"/>
      <c r="D1081" s="259"/>
      <c r="E1081" s="186"/>
      <c r="F1081" s="187"/>
    </row>
    <row r="1082" spans="1:6" x14ac:dyDescent="0.2">
      <c r="A1082" s="275"/>
      <c r="B1082" s="78"/>
      <c r="C1082" s="189"/>
      <c r="D1082" s="259"/>
      <c r="E1082" s="186"/>
      <c r="F1082" s="187"/>
    </row>
    <row r="1083" spans="1:6" x14ac:dyDescent="0.2">
      <c r="A1083" s="275"/>
      <c r="B1083" s="78"/>
      <c r="C1083" s="189"/>
      <c r="D1083" s="259"/>
      <c r="E1083" s="186"/>
      <c r="F1083" s="187"/>
    </row>
    <row r="1084" spans="1:6" x14ac:dyDescent="0.2">
      <c r="A1084" s="275"/>
      <c r="B1084" s="78"/>
      <c r="C1084" s="189"/>
      <c r="D1084" s="259"/>
      <c r="E1084" s="186"/>
      <c r="F1084" s="187"/>
    </row>
    <row r="1085" spans="1:6" x14ac:dyDescent="0.2">
      <c r="A1085" s="275"/>
      <c r="B1085" s="78"/>
      <c r="C1085" s="189"/>
      <c r="D1085" s="259"/>
      <c r="E1085" s="186"/>
      <c r="F1085" s="187"/>
    </row>
    <row r="1086" spans="1:6" x14ac:dyDescent="0.2">
      <c r="A1086" s="275"/>
      <c r="B1086" s="78"/>
      <c r="C1086" s="189"/>
      <c r="D1086" s="259"/>
      <c r="E1086" s="186"/>
      <c r="F1086" s="187"/>
    </row>
    <row r="1087" spans="1:6" x14ac:dyDescent="0.2">
      <c r="A1087" s="275"/>
      <c r="B1087" s="78"/>
      <c r="C1087" s="189"/>
      <c r="D1087" s="259"/>
      <c r="E1087" s="186"/>
      <c r="F1087" s="187"/>
    </row>
    <row r="1088" spans="1:6" x14ac:dyDescent="0.2">
      <c r="A1088" s="275"/>
      <c r="B1088" s="78"/>
      <c r="C1088" s="189"/>
      <c r="D1088" s="259"/>
      <c r="E1088" s="186"/>
      <c r="F1088" s="187"/>
    </row>
    <row r="1089" spans="1:6" x14ac:dyDescent="0.2">
      <c r="A1089" s="275"/>
      <c r="B1089" s="78"/>
      <c r="C1089" s="189"/>
      <c r="D1089" s="259"/>
      <c r="E1089" s="186"/>
      <c r="F1089" s="187"/>
    </row>
    <row r="1090" spans="1:6" x14ac:dyDescent="0.2">
      <c r="A1090" s="275"/>
      <c r="B1090" s="78"/>
      <c r="C1090" s="189"/>
      <c r="D1090" s="259"/>
      <c r="E1090" s="186"/>
      <c r="F1090" s="187"/>
    </row>
    <row r="1091" spans="1:6" x14ac:dyDescent="0.2">
      <c r="A1091" s="275"/>
      <c r="B1091" s="78"/>
      <c r="C1091" s="189"/>
      <c r="D1091" s="259"/>
      <c r="E1091" s="186"/>
      <c r="F1091" s="187"/>
    </row>
    <row r="1092" spans="1:6" x14ac:dyDescent="0.2">
      <c r="A1092" s="275"/>
      <c r="B1092" s="78"/>
      <c r="C1092" s="189"/>
      <c r="D1092" s="259"/>
      <c r="E1092" s="186"/>
      <c r="F1092" s="187"/>
    </row>
    <row r="1093" spans="1:6" x14ac:dyDescent="0.2">
      <c r="A1093" s="275"/>
      <c r="B1093" s="78"/>
      <c r="C1093" s="189"/>
      <c r="D1093" s="259"/>
      <c r="E1093" s="186"/>
      <c r="F1093" s="187"/>
    </row>
    <row r="1094" spans="1:6" x14ac:dyDescent="0.2">
      <c r="A1094" s="275"/>
      <c r="B1094" s="78"/>
      <c r="C1094" s="189"/>
      <c r="D1094" s="259"/>
      <c r="E1094" s="186"/>
      <c r="F1094" s="187"/>
    </row>
    <row r="1095" spans="1:6" x14ac:dyDescent="0.2">
      <c r="A1095" s="275"/>
      <c r="B1095" s="78"/>
      <c r="C1095" s="189"/>
      <c r="D1095" s="259"/>
      <c r="E1095" s="186"/>
      <c r="F1095" s="187"/>
    </row>
    <row r="1096" spans="1:6" x14ac:dyDescent="0.2">
      <c r="A1096" s="275"/>
      <c r="B1096" s="78"/>
      <c r="C1096" s="189"/>
      <c r="D1096" s="259"/>
      <c r="E1096" s="186"/>
      <c r="F1096" s="187"/>
    </row>
    <row r="1097" spans="1:6" x14ac:dyDescent="0.2">
      <c r="A1097" s="275"/>
      <c r="B1097" s="78"/>
      <c r="C1097" s="189"/>
      <c r="D1097" s="259"/>
      <c r="E1097" s="186"/>
      <c r="F1097" s="187"/>
    </row>
    <row r="1098" spans="1:6" x14ac:dyDescent="0.2">
      <c r="A1098" s="275"/>
      <c r="B1098" s="78"/>
      <c r="C1098" s="189"/>
      <c r="D1098" s="259"/>
      <c r="E1098" s="186"/>
      <c r="F1098" s="187"/>
    </row>
    <row r="1099" spans="1:6" x14ac:dyDescent="0.2">
      <c r="A1099" s="275"/>
      <c r="B1099" s="78"/>
      <c r="C1099" s="189"/>
      <c r="D1099" s="259"/>
      <c r="E1099" s="186"/>
      <c r="F1099" s="187"/>
    </row>
    <row r="1100" spans="1:6" x14ac:dyDescent="0.2">
      <c r="A1100" s="275"/>
      <c r="B1100" s="78"/>
      <c r="C1100" s="189"/>
      <c r="D1100" s="259"/>
      <c r="E1100" s="186"/>
      <c r="F1100" s="187"/>
    </row>
    <row r="1101" spans="1:6" x14ac:dyDescent="0.2">
      <c r="A1101" s="275"/>
      <c r="B1101" s="78"/>
      <c r="C1101" s="189"/>
      <c r="D1101" s="259"/>
      <c r="E1101" s="186"/>
      <c r="F1101" s="187"/>
    </row>
    <row r="1102" spans="1:6" x14ac:dyDescent="0.2">
      <c r="A1102" s="275"/>
      <c r="B1102" s="78"/>
      <c r="C1102" s="189"/>
      <c r="D1102" s="259"/>
      <c r="E1102" s="186"/>
      <c r="F1102" s="187"/>
    </row>
    <row r="1103" spans="1:6" x14ac:dyDescent="0.2">
      <c r="A1103" s="275"/>
      <c r="B1103" s="78"/>
      <c r="C1103" s="189"/>
      <c r="D1103" s="259"/>
      <c r="E1103" s="186"/>
      <c r="F1103" s="187"/>
    </row>
    <row r="1104" spans="1:6" x14ac:dyDescent="0.2">
      <c r="A1104" s="275"/>
      <c r="B1104" s="78"/>
      <c r="C1104" s="189"/>
      <c r="D1104" s="259"/>
      <c r="E1104" s="186"/>
      <c r="F1104" s="187"/>
    </row>
    <row r="1105" spans="1:6" x14ac:dyDescent="0.2">
      <c r="A1105" s="275"/>
      <c r="B1105" s="78"/>
      <c r="C1105" s="189"/>
      <c r="D1105" s="259"/>
      <c r="E1105" s="186"/>
      <c r="F1105" s="187"/>
    </row>
    <row r="1106" spans="1:6" x14ac:dyDescent="0.2">
      <c r="A1106" s="275"/>
      <c r="B1106" s="78"/>
      <c r="C1106" s="189"/>
      <c r="D1106" s="259"/>
      <c r="E1106" s="186"/>
      <c r="F1106" s="187"/>
    </row>
    <row r="1107" spans="1:6" x14ac:dyDescent="0.2">
      <c r="A1107" s="275"/>
      <c r="B1107" s="78"/>
      <c r="C1107" s="189"/>
      <c r="D1107" s="259"/>
      <c r="E1107" s="186"/>
      <c r="F1107" s="187"/>
    </row>
    <row r="1108" spans="1:6" x14ac:dyDescent="0.2">
      <c r="A1108" s="275"/>
      <c r="B1108" s="78"/>
      <c r="C1108" s="189"/>
      <c r="D1108" s="259"/>
      <c r="E1108" s="186"/>
      <c r="F1108" s="187"/>
    </row>
    <row r="1109" spans="1:6" x14ac:dyDescent="0.2">
      <c r="A1109" s="275"/>
      <c r="B1109" s="78"/>
      <c r="C1109" s="189"/>
      <c r="D1109" s="259"/>
      <c r="E1109" s="186"/>
      <c r="F1109" s="187"/>
    </row>
    <row r="1110" spans="1:6" x14ac:dyDescent="0.2">
      <c r="A1110" s="275"/>
      <c r="B1110" s="78"/>
      <c r="C1110" s="189"/>
      <c r="D1110" s="259"/>
      <c r="E1110" s="186"/>
      <c r="F1110" s="187"/>
    </row>
    <row r="1111" spans="1:6" x14ac:dyDescent="0.2">
      <c r="A1111" s="275"/>
      <c r="B1111" s="78"/>
      <c r="C1111" s="189"/>
      <c r="D1111" s="259"/>
      <c r="E1111" s="186"/>
      <c r="F1111" s="187"/>
    </row>
    <row r="1112" spans="1:6" x14ac:dyDescent="0.2">
      <c r="A1112" s="275"/>
      <c r="B1112" s="78"/>
      <c r="C1112" s="189"/>
      <c r="D1112" s="259"/>
      <c r="E1112" s="186"/>
      <c r="F1112" s="187"/>
    </row>
    <row r="1113" spans="1:6" x14ac:dyDescent="0.2">
      <c r="A1113" s="275"/>
      <c r="B1113" s="78"/>
      <c r="C1113" s="189"/>
      <c r="D1113" s="259"/>
      <c r="E1113" s="186"/>
      <c r="F1113" s="187"/>
    </row>
    <row r="1114" spans="1:6" x14ac:dyDescent="0.2">
      <c r="A1114" s="275"/>
      <c r="B1114" s="78"/>
      <c r="C1114" s="189"/>
      <c r="D1114" s="259"/>
      <c r="E1114" s="186"/>
      <c r="F1114" s="187"/>
    </row>
    <row r="1115" spans="1:6" x14ac:dyDescent="0.2">
      <c r="A1115" s="275"/>
      <c r="B1115" s="78"/>
      <c r="C1115" s="189"/>
      <c r="D1115" s="259"/>
      <c r="E1115" s="186"/>
      <c r="F1115" s="187"/>
    </row>
    <row r="1116" spans="1:6" x14ac:dyDescent="0.2">
      <c r="A1116" s="275"/>
      <c r="B1116" s="78"/>
      <c r="C1116" s="189"/>
      <c r="D1116" s="259"/>
      <c r="E1116" s="186"/>
      <c r="F1116" s="187"/>
    </row>
    <row r="1117" spans="1:6" x14ac:dyDescent="0.2">
      <c r="A1117" s="275"/>
      <c r="B1117" s="78"/>
      <c r="C1117" s="189"/>
      <c r="D1117" s="259"/>
      <c r="E1117" s="186"/>
      <c r="F1117" s="187"/>
    </row>
    <row r="1118" spans="1:6" x14ac:dyDescent="0.2">
      <c r="A1118" s="275"/>
      <c r="B1118" s="78"/>
      <c r="C1118" s="189"/>
      <c r="D1118" s="259"/>
      <c r="E1118" s="186"/>
      <c r="F1118" s="187"/>
    </row>
    <row r="1119" spans="1:6" x14ac:dyDescent="0.2">
      <c r="A1119" s="275"/>
      <c r="B1119" s="78"/>
      <c r="C1119" s="189"/>
      <c r="D1119" s="259"/>
      <c r="E1119" s="186"/>
      <c r="F1119" s="187"/>
    </row>
    <row r="1120" spans="1:6" x14ac:dyDescent="0.2">
      <c r="A1120" s="275"/>
      <c r="B1120" s="78"/>
      <c r="C1120" s="189"/>
      <c r="D1120" s="259"/>
      <c r="E1120" s="186"/>
      <c r="F1120" s="187"/>
    </row>
    <row r="1121" spans="1:6" x14ac:dyDescent="0.2">
      <c r="A1121" s="275"/>
      <c r="B1121" s="78"/>
      <c r="C1121" s="189"/>
      <c r="D1121" s="259"/>
      <c r="E1121" s="186"/>
      <c r="F1121" s="187"/>
    </row>
    <row r="1122" spans="1:6" x14ac:dyDescent="0.2">
      <c r="A1122" s="275"/>
      <c r="B1122" s="78"/>
      <c r="C1122" s="189"/>
      <c r="D1122" s="259"/>
      <c r="E1122" s="186"/>
      <c r="F1122" s="187"/>
    </row>
    <row r="1123" spans="1:6" x14ac:dyDescent="0.2">
      <c r="A1123" s="275"/>
      <c r="B1123" s="78"/>
      <c r="C1123" s="189"/>
      <c r="D1123" s="259"/>
      <c r="E1123" s="186"/>
      <c r="F1123" s="187"/>
    </row>
    <row r="1124" spans="1:6" x14ac:dyDescent="0.2">
      <c r="A1124" s="275"/>
      <c r="B1124" s="78"/>
      <c r="C1124" s="189"/>
      <c r="D1124" s="259"/>
      <c r="E1124" s="186"/>
      <c r="F1124" s="187"/>
    </row>
    <row r="1125" spans="1:6" x14ac:dyDescent="0.2">
      <c r="A1125" s="275"/>
      <c r="B1125" s="78"/>
      <c r="C1125" s="189"/>
      <c r="D1125" s="259"/>
      <c r="E1125" s="186"/>
      <c r="F1125" s="187"/>
    </row>
    <row r="1126" spans="1:6" x14ac:dyDescent="0.2">
      <c r="A1126" s="275"/>
      <c r="B1126" s="78"/>
      <c r="C1126" s="189"/>
      <c r="D1126" s="259"/>
      <c r="E1126" s="186"/>
      <c r="F1126" s="187"/>
    </row>
    <row r="1127" spans="1:6" x14ac:dyDescent="0.2">
      <c r="A1127" s="275"/>
      <c r="B1127" s="78"/>
      <c r="C1127" s="189"/>
      <c r="D1127" s="259"/>
      <c r="E1127" s="186"/>
      <c r="F1127" s="187"/>
    </row>
    <row r="1128" spans="1:6" x14ac:dyDescent="0.2">
      <c r="A1128" s="275"/>
      <c r="B1128" s="78"/>
      <c r="C1128" s="189"/>
      <c r="D1128" s="259"/>
      <c r="E1128" s="186"/>
      <c r="F1128" s="187"/>
    </row>
    <row r="1129" spans="1:6" x14ac:dyDescent="0.2">
      <c r="A1129" s="275"/>
      <c r="B1129" s="78"/>
      <c r="C1129" s="189"/>
      <c r="D1129" s="259"/>
      <c r="E1129" s="186"/>
      <c r="F1129" s="187"/>
    </row>
    <row r="1130" spans="1:6" x14ac:dyDescent="0.2">
      <c r="A1130" s="275"/>
      <c r="B1130" s="78"/>
      <c r="C1130" s="189"/>
      <c r="D1130" s="259"/>
      <c r="E1130" s="186"/>
      <c r="F1130" s="187"/>
    </row>
    <row r="1131" spans="1:6" x14ac:dyDescent="0.2">
      <c r="A1131" s="275"/>
      <c r="B1131" s="78"/>
      <c r="C1131" s="189"/>
      <c r="D1131" s="259"/>
      <c r="E1131" s="186"/>
      <c r="F1131" s="187"/>
    </row>
    <row r="1132" spans="1:6" x14ac:dyDescent="0.2">
      <c r="A1132" s="275"/>
      <c r="B1132" s="78"/>
      <c r="C1132" s="189"/>
      <c r="D1132" s="259"/>
      <c r="E1132" s="186"/>
      <c r="F1132" s="187"/>
    </row>
    <row r="1133" spans="1:6" x14ac:dyDescent="0.2">
      <c r="A1133" s="275"/>
      <c r="B1133" s="78"/>
      <c r="C1133" s="189"/>
      <c r="D1133" s="259"/>
      <c r="E1133" s="186"/>
      <c r="F1133" s="187"/>
    </row>
    <row r="1134" spans="1:6" x14ac:dyDescent="0.2">
      <c r="A1134" s="275"/>
      <c r="B1134" s="78"/>
      <c r="C1134" s="189"/>
      <c r="D1134" s="259"/>
      <c r="E1134" s="186"/>
      <c r="F1134" s="187"/>
    </row>
    <row r="1135" spans="1:6" x14ac:dyDescent="0.2">
      <c r="A1135" s="275"/>
      <c r="B1135" s="78"/>
      <c r="C1135" s="189"/>
      <c r="D1135" s="259"/>
      <c r="E1135" s="186"/>
      <c r="F1135" s="187"/>
    </row>
    <row r="1136" spans="1:6" x14ac:dyDescent="0.2">
      <c r="A1136" s="275"/>
      <c r="B1136" s="78"/>
      <c r="C1136" s="189"/>
      <c r="D1136" s="259"/>
      <c r="E1136" s="186"/>
      <c r="F1136" s="187"/>
    </row>
    <row r="1137" spans="1:6" x14ac:dyDescent="0.2">
      <c r="A1137" s="275"/>
      <c r="B1137" s="78"/>
      <c r="C1137" s="189"/>
      <c r="D1137" s="259"/>
      <c r="E1137" s="186"/>
      <c r="F1137" s="187"/>
    </row>
    <row r="1138" spans="1:6" x14ac:dyDescent="0.2">
      <c r="A1138" s="275"/>
      <c r="B1138" s="78"/>
      <c r="C1138" s="189"/>
      <c r="D1138" s="259"/>
      <c r="E1138" s="186"/>
      <c r="F1138" s="187"/>
    </row>
    <row r="1139" spans="1:6" x14ac:dyDescent="0.2">
      <c r="A1139" s="275"/>
      <c r="B1139" s="78"/>
      <c r="C1139" s="189"/>
      <c r="D1139" s="259"/>
      <c r="E1139" s="186"/>
      <c r="F1139" s="187"/>
    </row>
    <row r="1140" spans="1:6" x14ac:dyDescent="0.2">
      <c r="A1140" s="275"/>
      <c r="B1140" s="78"/>
      <c r="C1140" s="189"/>
      <c r="D1140" s="259"/>
      <c r="E1140" s="186"/>
      <c r="F1140" s="187"/>
    </row>
    <row r="1141" spans="1:6" x14ac:dyDescent="0.2">
      <c r="A1141" s="275"/>
      <c r="B1141" s="78"/>
      <c r="C1141" s="189"/>
      <c r="D1141" s="259"/>
      <c r="E1141" s="186"/>
      <c r="F1141" s="187"/>
    </row>
    <row r="1142" spans="1:6" x14ac:dyDescent="0.2">
      <c r="A1142" s="275"/>
      <c r="B1142" s="78"/>
      <c r="C1142" s="189"/>
      <c r="D1142" s="259"/>
      <c r="E1142" s="186"/>
      <c r="F1142" s="187"/>
    </row>
    <row r="1143" spans="1:6" x14ac:dyDescent="0.2">
      <c r="A1143" s="275"/>
      <c r="B1143" s="78"/>
      <c r="C1143" s="189"/>
      <c r="D1143" s="259"/>
      <c r="E1143" s="186"/>
      <c r="F1143" s="187"/>
    </row>
    <row r="1144" spans="1:6" x14ac:dyDescent="0.2">
      <c r="A1144" s="275"/>
      <c r="B1144" s="78"/>
      <c r="C1144" s="189"/>
      <c r="D1144" s="259"/>
      <c r="E1144" s="186"/>
      <c r="F1144" s="187"/>
    </row>
    <row r="1145" spans="1:6" x14ac:dyDescent="0.2">
      <c r="A1145" s="275"/>
      <c r="B1145" s="78"/>
      <c r="C1145" s="189"/>
      <c r="D1145" s="259"/>
      <c r="E1145" s="186"/>
      <c r="F1145" s="187"/>
    </row>
    <row r="1146" spans="1:6" x14ac:dyDescent="0.2">
      <c r="A1146" s="275"/>
      <c r="B1146" s="78"/>
      <c r="C1146" s="189"/>
      <c r="D1146" s="259"/>
      <c r="E1146" s="186"/>
      <c r="F1146" s="187"/>
    </row>
    <row r="1147" spans="1:6" x14ac:dyDescent="0.2">
      <c r="A1147" s="275"/>
      <c r="B1147" s="78"/>
      <c r="C1147" s="189"/>
      <c r="D1147" s="259"/>
      <c r="E1147" s="186"/>
      <c r="F1147" s="187"/>
    </row>
    <row r="1148" spans="1:6" x14ac:dyDescent="0.2">
      <c r="A1148" s="275"/>
      <c r="B1148" s="78"/>
      <c r="C1148" s="189"/>
      <c r="D1148" s="259"/>
      <c r="E1148" s="186"/>
      <c r="F1148" s="187"/>
    </row>
    <row r="1149" spans="1:6" x14ac:dyDescent="0.2">
      <c r="A1149" s="275"/>
      <c r="B1149" s="78"/>
      <c r="C1149" s="189"/>
      <c r="D1149" s="259"/>
      <c r="E1149" s="186"/>
      <c r="F1149" s="187"/>
    </row>
    <row r="1150" spans="1:6" x14ac:dyDescent="0.2">
      <c r="A1150" s="275"/>
      <c r="B1150" s="78"/>
      <c r="C1150" s="189"/>
      <c r="D1150" s="259"/>
      <c r="E1150" s="186"/>
      <c r="F1150" s="187"/>
    </row>
    <row r="1151" spans="1:6" x14ac:dyDescent="0.2">
      <c r="A1151" s="275"/>
      <c r="B1151" s="78"/>
      <c r="C1151" s="189"/>
      <c r="D1151" s="259"/>
      <c r="E1151" s="186"/>
      <c r="F1151" s="187"/>
    </row>
    <row r="1152" spans="1:6" x14ac:dyDescent="0.2">
      <c r="A1152" s="275"/>
      <c r="B1152" s="78"/>
      <c r="C1152" s="189"/>
      <c r="D1152" s="259"/>
      <c r="E1152" s="186"/>
      <c r="F1152" s="187"/>
    </row>
    <row r="1153" spans="1:6" x14ac:dyDescent="0.2">
      <c r="A1153" s="275"/>
      <c r="B1153" s="78"/>
      <c r="C1153" s="189"/>
      <c r="D1153" s="259"/>
      <c r="E1153" s="186"/>
      <c r="F1153" s="187"/>
    </row>
    <row r="1154" spans="1:6" x14ac:dyDescent="0.2">
      <c r="A1154" s="275"/>
      <c r="B1154" s="78"/>
      <c r="C1154" s="189"/>
      <c r="D1154" s="259"/>
      <c r="E1154" s="186"/>
      <c r="F1154" s="187"/>
    </row>
    <row r="1155" spans="1:6" x14ac:dyDescent="0.2">
      <c r="A1155" s="275"/>
      <c r="B1155" s="78"/>
      <c r="C1155" s="189"/>
      <c r="D1155" s="259"/>
      <c r="E1155" s="186"/>
      <c r="F1155" s="187"/>
    </row>
    <row r="1156" spans="1:6" x14ac:dyDescent="0.2">
      <c r="A1156" s="275"/>
      <c r="B1156" s="78"/>
      <c r="C1156" s="189"/>
      <c r="D1156" s="259"/>
      <c r="E1156" s="186"/>
      <c r="F1156" s="187"/>
    </row>
    <row r="1157" spans="1:6" x14ac:dyDescent="0.2">
      <c r="A1157" s="275"/>
      <c r="B1157" s="78"/>
      <c r="C1157" s="189"/>
      <c r="D1157" s="259"/>
      <c r="E1157" s="186"/>
      <c r="F1157" s="187"/>
    </row>
    <row r="1158" spans="1:6" x14ac:dyDescent="0.2">
      <c r="A1158" s="275"/>
      <c r="B1158" s="78"/>
      <c r="C1158" s="189"/>
      <c r="D1158" s="259"/>
      <c r="E1158" s="186"/>
      <c r="F1158" s="187"/>
    </row>
    <row r="1159" spans="1:6" x14ac:dyDescent="0.2">
      <c r="A1159" s="275"/>
      <c r="B1159" s="78"/>
      <c r="C1159" s="189"/>
      <c r="D1159" s="259"/>
      <c r="E1159" s="186"/>
      <c r="F1159" s="187"/>
    </row>
    <row r="1160" spans="1:6" x14ac:dyDescent="0.2">
      <c r="A1160" s="275"/>
      <c r="B1160" s="78"/>
      <c r="C1160" s="189"/>
      <c r="D1160" s="259"/>
      <c r="E1160" s="186"/>
      <c r="F1160" s="187"/>
    </row>
    <row r="1161" spans="1:6" x14ac:dyDescent="0.2">
      <c r="A1161" s="275"/>
      <c r="B1161" s="78"/>
      <c r="C1161" s="189"/>
      <c r="D1161" s="259"/>
      <c r="E1161" s="186"/>
      <c r="F1161" s="187"/>
    </row>
    <row r="1162" spans="1:6" x14ac:dyDescent="0.2">
      <c r="A1162" s="275"/>
      <c r="B1162" s="78"/>
      <c r="C1162" s="189"/>
      <c r="D1162" s="259"/>
      <c r="E1162" s="186"/>
      <c r="F1162" s="187"/>
    </row>
    <row r="1163" spans="1:6" x14ac:dyDescent="0.2">
      <c r="A1163" s="275"/>
      <c r="B1163" s="78"/>
      <c r="C1163" s="189"/>
      <c r="D1163" s="259"/>
      <c r="E1163" s="186"/>
      <c r="F1163" s="187"/>
    </row>
    <row r="1164" spans="1:6" x14ac:dyDescent="0.2">
      <c r="A1164" s="275"/>
      <c r="B1164" s="78"/>
      <c r="C1164" s="189"/>
      <c r="D1164" s="259"/>
      <c r="E1164" s="186"/>
      <c r="F1164" s="187"/>
    </row>
    <row r="1165" spans="1:6" x14ac:dyDescent="0.2">
      <c r="A1165" s="275"/>
      <c r="B1165" s="78"/>
      <c r="C1165" s="189"/>
      <c r="D1165" s="259"/>
      <c r="E1165" s="186"/>
      <c r="F1165" s="187"/>
    </row>
    <row r="1166" spans="1:6" x14ac:dyDescent="0.2">
      <c r="A1166" s="275"/>
      <c r="B1166" s="78"/>
      <c r="C1166" s="189"/>
      <c r="D1166" s="259"/>
      <c r="E1166" s="186"/>
      <c r="F1166" s="187"/>
    </row>
    <row r="1167" spans="1:6" x14ac:dyDescent="0.2">
      <c r="A1167" s="275"/>
      <c r="B1167" s="78"/>
      <c r="C1167" s="189"/>
      <c r="D1167" s="259"/>
      <c r="E1167" s="186"/>
      <c r="F1167" s="187"/>
    </row>
    <row r="1168" spans="1:6" x14ac:dyDescent="0.2">
      <c r="A1168" s="275"/>
      <c r="B1168" s="78"/>
      <c r="C1168" s="189"/>
      <c r="D1168" s="259"/>
      <c r="E1168" s="186"/>
      <c r="F1168" s="187"/>
    </row>
    <row r="1169" spans="1:6" x14ac:dyDescent="0.2">
      <c r="A1169" s="275"/>
      <c r="B1169" s="78"/>
      <c r="C1169" s="189"/>
      <c r="D1169" s="259"/>
      <c r="E1169" s="186"/>
      <c r="F1169" s="187"/>
    </row>
    <row r="1170" spans="1:6" x14ac:dyDescent="0.2">
      <c r="A1170" s="275"/>
      <c r="B1170" s="78"/>
      <c r="C1170" s="189"/>
      <c r="D1170" s="259"/>
      <c r="E1170" s="186"/>
      <c r="F1170" s="187"/>
    </row>
    <row r="1171" spans="1:6" x14ac:dyDescent="0.2">
      <c r="A1171" s="275"/>
      <c r="B1171" s="78"/>
      <c r="C1171" s="189"/>
      <c r="D1171" s="259"/>
      <c r="E1171" s="186"/>
      <c r="F1171" s="187"/>
    </row>
    <row r="1172" spans="1:6" x14ac:dyDescent="0.2">
      <c r="A1172" s="275"/>
      <c r="B1172" s="78"/>
      <c r="C1172" s="189"/>
      <c r="D1172" s="259"/>
      <c r="E1172" s="186"/>
      <c r="F1172" s="187"/>
    </row>
    <row r="1173" spans="1:6" x14ac:dyDescent="0.2">
      <c r="A1173" s="275"/>
      <c r="B1173" s="78"/>
      <c r="C1173" s="189"/>
      <c r="D1173" s="259"/>
      <c r="E1173" s="186"/>
      <c r="F1173" s="187"/>
    </row>
    <row r="1174" spans="1:6" x14ac:dyDescent="0.2">
      <c r="A1174" s="275"/>
      <c r="B1174" s="78"/>
      <c r="C1174" s="189"/>
      <c r="D1174" s="259"/>
      <c r="E1174" s="186"/>
      <c r="F1174" s="187"/>
    </row>
    <row r="1175" spans="1:6" x14ac:dyDescent="0.2">
      <c r="A1175" s="275"/>
      <c r="B1175" s="78"/>
      <c r="C1175" s="189"/>
      <c r="D1175" s="259"/>
      <c r="E1175" s="186"/>
      <c r="F1175" s="187"/>
    </row>
    <row r="1176" spans="1:6" x14ac:dyDescent="0.2">
      <c r="A1176" s="275"/>
      <c r="B1176" s="78"/>
      <c r="C1176" s="189"/>
      <c r="D1176" s="259"/>
      <c r="E1176" s="186"/>
      <c r="F1176" s="187"/>
    </row>
    <row r="1177" spans="1:6" x14ac:dyDescent="0.2">
      <c r="A1177" s="275"/>
      <c r="B1177" s="78"/>
      <c r="C1177" s="189"/>
      <c r="D1177" s="259"/>
      <c r="E1177" s="186"/>
      <c r="F1177" s="187"/>
    </row>
    <row r="1178" spans="1:6" x14ac:dyDescent="0.2">
      <c r="A1178" s="275"/>
      <c r="B1178" s="78"/>
      <c r="C1178" s="189"/>
      <c r="D1178" s="259"/>
      <c r="E1178" s="186"/>
      <c r="F1178" s="187"/>
    </row>
    <row r="1179" spans="1:6" x14ac:dyDescent="0.2">
      <c r="A1179" s="275"/>
      <c r="B1179" s="78"/>
      <c r="C1179" s="189"/>
      <c r="D1179" s="259"/>
      <c r="E1179" s="186"/>
      <c r="F1179" s="187"/>
    </row>
    <row r="1180" spans="1:6" x14ac:dyDescent="0.2">
      <c r="A1180" s="275"/>
      <c r="B1180" s="78"/>
      <c r="C1180" s="189"/>
      <c r="D1180" s="259"/>
      <c r="E1180" s="186"/>
      <c r="F1180" s="187"/>
    </row>
    <row r="1181" spans="1:6" x14ac:dyDescent="0.2">
      <c r="A1181" s="275"/>
      <c r="B1181" s="78"/>
      <c r="C1181" s="189"/>
      <c r="D1181" s="259"/>
      <c r="E1181" s="186"/>
      <c r="F1181" s="187"/>
    </row>
    <row r="1182" spans="1:6" x14ac:dyDescent="0.2">
      <c r="A1182" s="275"/>
      <c r="B1182" s="78"/>
      <c r="C1182" s="189"/>
      <c r="D1182" s="259"/>
      <c r="E1182" s="186"/>
      <c r="F1182" s="187"/>
    </row>
    <row r="1183" spans="1:6" x14ac:dyDescent="0.2">
      <c r="A1183" s="275"/>
      <c r="B1183" s="78"/>
      <c r="C1183" s="189"/>
      <c r="D1183" s="259"/>
      <c r="E1183" s="186"/>
      <c r="F1183" s="187"/>
    </row>
    <row r="1184" spans="1:6" x14ac:dyDescent="0.2">
      <c r="A1184" s="275"/>
      <c r="B1184" s="78"/>
      <c r="C1184" s="189"/>
      <c r="D1184" s="259"/>
      <c r="E1184" s="186"/>
      <c r="F1184" s="187"/>
    </row>
    <row r="1185" spans="1:6" x14ac:dyDescent="0.2">
      <c r="A1185" s="275"/>
      <c r="B1185" s="78"/>
      <c r="C1185" s="189"/>
      <c r="D1185" s="259"/>
      <c r="E1185" s="186"/>
      <c r="F1185" s="187"/>
    </row>
    <row r="1186" spans="1:6" x14ac:dyDescent="0.2">
      <c r="A1186" s="275"/>
      <c r="B1186" s="78"/>
      <c r="C1186" s="189"/>
      <c r="D1186" s="259"/>
      <c r="E1186" s="186"/>
      <c r="F1186" s="187"/>
    </row>
    <row r="1187" spans="1:6" x14ac:dyDescent="0.2">
      <c r="A1187" s="275"/>
      <c r="B1187" s="78"/>
      <c r="C1187" s="189"/>
      <c r="D1187" s="259"/>
      <c r="E1187" s="186"/>
      <c r="F1187" s="187"/>
    </row>
    <row r="1188" spans="1:6" x14ac:dyDescent="0.2">
      <c r="A1188" s="275"/>
      <c r="B1188" s="78"/>
      <c r="C1188" s="189"/>
      <c r="D1188" s="259"/>
      <c r="E1188" s="186"/>
      <c r="F1188" s="187"/>
    </row>
    <row r="1189" spans="1:6" x14ac:dyDescent="0.2">
      <c r="A1189" s="275"/>
      <c r="B1189" s="78"/>
      <c r="C1189" s="189"/>
      <c r="D1189" s="259"/>
      <c r="E1189" s="186"/>
      <c r="F1189" s="187"/>
    </row>
    <row r="1190" spans="1:6" x14ac:dyDescent="0.2">
      <c r="A1190" s="275"/>
      <c r="B1190" s="78"/>
      <c r="C1190" s="189"/>
      <c r="D1190" s="259"/>
      <c r="E1190" s="186"/>
      <c r="F1190" s="187"/>
    </row>
    <row r="1191" spans="1:6" x14ac:dyDescent="0.2">
      <c r="A1191" s="275"/>
      <c r="B1191" s="78"/>
      <c r="C1191" s="189"/>
      <c r="D1191" s="259"/>
      <c r="E1191" s="186"/>
      <c r="F1191" s="187"/>
    </row>
    <row r="1192" spans="1:6" x14ac:dyDescent="0.2">
      <c r="A1192" s="275"/>
      <c r="B1192" s="78"/>
      <c r="C1192" s="189"/>
      <c r="D1192" s="259"/>
      <c r="E1192" s="186"/>
      <c r="F1192" s="187"/>
    </row>
    <row r="1193" spans="1:6" x14ac:dyDescent="0.2">
      <c r="A1193" s="275"/>
      <c r="B1193" s="78"/>
      <c r="C1193" s="189"/>
      <c r="D1193" s="259"/>
      <c r="E1193" s="186"/>
      <c r="F1193" s="187"/>
    </row>
    <row r="1194" spans="1:6" x14ac:dyDescent="0.2">
      <c r="A1194" s="275"/>
      <c r="B1194" s="78"/>
      <c r="C1194" s="189"/>
      <c r="D1194" s="259"/>
      <c r="E1194" s="186"/>
      <c r="F1194" s="187"/>
    </row>
    <row r="1195" spans="1:6" x14ac:dyDescent="0.2">
      <c r="A1195" s="275"/>
      <c r="B1195" s="78"/>
      <c r="C1195" s="189"/>
      <c r="D1195" s="259"/>
      <c r="E1195" s="186"/>
      <c r="F1195" s="187"/>
    </row>
    <row r="1196" spans="1:6" x14ac:dyDescent="0.2">
      <c r="A1196" s="275"/>
      <c r="B1196" s="78"/>
      <c r="C1196" s="189"/>
      <c r="D1196" s="259"/>
      <c r="E1196" s="186"/>
      <c r="F1196" s="187"/>
    </row>
    <row r="1197" spans="1:6" x14ac:dyDescent="0.2">
      <c r="A1197" s="275"/>
      <c r="B1197" s="78"/>
      <c r="C1197" s="189"/>
      <c r="D1197" s="259"/>
      <c r="E1197" s="186"/>
      <c r="F1197" s="187"/>
    </row>
    <row r="1198" spans="1:6" x14ac:dyDescent="0.2">
      <c r="A1198" s="275"/>
      <c r="B1198" s="78"/>
      <c r="C1198" s="189"/>
      <c r="D1198" s="259"/>
      <c r="E1198" s="186"/>
      <c r="F1198" s="187"/>
    </row>
    <row r="1199" spans="1:6" x14ac:dyDescent="0.2">
      <c r="A1199" s="275"/>
      <c r="B1199" s="78"/>
      <c r="C1199" s="189"/>
      <c r="D1199" s="259"/>
      <c r="E1199" s="186"/>
      <c r="F1199" s="187"/>
    </row>
    <row r="1200" spans="1:6" x14ac:dyDescent="0.2">
      <c r="A1200" s="275"/>
      <c r="B1200" s="78"/>
      <c r="C1200" s="189"/>
      <c r="D1200" s="259"/>
      <c r="E1200" s="186"/>
      <c r="F1200" s="187"/>
    </row>
    <row r="1201" spans="1:6" x14ac:dyDescent="0.2">
      <c r="A1201" s="275"/>
      <c r="B1201" s="78"/>
      <c r="C1201" s="189"/>
      <c r="D1201" s="259"/>
      <c r="E1201" s="186"/>
      <c r="F1201" s="187"/>
    </row>
    <row r="1202" spans="1:6" x14ac:dyDescent="0.2">
      <c r="A1202" s="275"/>
      <c r="B1202" s="78"/>
      <c r="C1202" s="189"/>
      <c r="D1202" s="259"/>
      <c r="E1202" s="186"/>
      <c r="F1202" s="187"/>
    </row>
    <row r="1203" spans="1:6" x14ac:dyDescent="0.2">
      <c r="A1203" s="275"/>
      <c r="B1203" s="78"/>
      <c r="C1203" s="189"/>
      <c r="D1203" s="259"/>
      <c r="E1203" s="186"/>
      <c r="F1203" s="187"/>
    </row>
    <row r="1204" spans="1:6" x14ac:dyDescent="0.2">
      <c r="A1204" s="275"/>
      <c r="B1204" s="78"/>
      <c r="C1204" s="189"/>
      <c r="D1204" s="259"/>
      <c r="E1204" s="186"/>
      <c r="F1204" s="187"/>
    </row>
    <row r="1205" spans="1:6" x14ac:dyDescent="0.2">
      <c r="A1205" s="275"/>
      <c r="B1205" s="78"/>
      <c r="C1205" s="189"/>
      <c r="D1205" s="259"/>
      <c r="E1205" s="186"/>
      <c r="F1205" s="187"/>
    </row>
    <row r="1206" spans="1:6" x14ac:dyDescent="0.2">
      <c r="A1206" s="275"/>
      <c r="B1206" s="78"/>
      <c r="C1206" s="189"/>
      <c r="D1206" s="259"/>
      <c r="E1206" s="186"/>
      <c r="F1206" s="187"/>
    </row>
    <row r="1207" spans="1:6" x14ac:dyDescent="0.2">
      <c r="A1207" s="275"/>
      <c r="B1207" s="78"/>
      <c r="C1207" s="189"/>
      <c r="D1207" s="259"/>
      <c r="E1207" s="186"/>
      <c r="F1207" s="187"/>
    </row>
    <row r="1208" spans="1:6" x14ac:dyDescent="0.2">
      <c r="A1208" s="275"/>
      <c r="B1208" s="78"/>
      <c r="C1208" s="189"/>
      <c r="D1208" s="259"/>
      <c r="E1208" s="186"/>
      <c r="F1208" s="187"/>
    </row>
    <row r="1209" spans="1:6" x14ac:dyDescent="0.2">
      <c r="A1209" s="275"/>
      <c r="B1209" s="78"/>
      <c r="C1209" s="189"/>
      <c r="D1209" s="259"/>
      <c r="E1209" s="186"/>
      <c r="F1209" s="187"/>
    </row>
    <row r="1210" spans="1:6" x14ac:dyDescent="0.2">
      <c r="A1210" s="275"/>
      <c r="B1210" s="78"/>
      <c r="C1210" s="189"/>
      <c r="D1210" s="259"/>
      <c r="E1210" s="186"/>
      <c r="F1210" s="187"/>
    </row>
    <row r="1211" spans="1:6" x14ac:dyDescent="0.2">
      <c r="A1211" s="275"/>
      <c r="B1211" s="78"/>
      <c r="C1211" s="189"/>
      <c r="D1211" s="259"/>
      <c r="E1211" s="186"/>
      <c r="F1211" s="187"/>
    </row>
    <row r="1212" spans="1:6" x14ac:dyDescent="0.2">
      <c r="A1212" s="275"/>
      <c r="B1212" s="78"/>
      <c r="C1212" s="189"/>
      <c r="D1212" s="259"/>
      <c r="E1212" s="186"/>
      <c r="F1212" s="187"/>
    </row>
    <row r="1213" spans="1:6" x14ac:dyDescent="0.2">
      <c r="A1213" s="275"/>
      <c r="B1213" s="78"/>
      <c r="C1213" s="189"/>
      <c r="D1213" s="259"/>
      <c r="E1213" s="186"/>
      <c r="F1213" s="187"/>
    </row>
    <row r="1214" spans="1:6" x14ac:dyDescent="0.2">
      <c r="A1214" s="275"/>
      <c r="B1214" s="78"/>
      <c r="C1214" s="189"/>
      <c r="D1214" s="259"/>
      <c r="E1214" s="186"/>
      <c r="F1214" s="187"/>
    </row>
    <row r="1215" spans="1:6" x14ac:dyDescent="0.2">
      <c r="A1215" s="275"/>
      <c r="B1215" s="78"/>
      <c r="C1215" s="189"/>
      <c r="D1215" s="259"/>
      <c r="E1215" s="186"/>
      <c r="F1215" s="187"/>
    </row>
    <row r="1216" spans="1:6" x14ac:dyDescent="0.2">
      <c r="A1216" s="275"/>
      <c r="B1216" s="78"/>
      <c r="C1216" s="189"/>
      <c r="D1216" s="259"/>
      <c r="E1216" s="186"/>
      <c r="F1216" s="187"/>
    </row>
    <row r="1217" spans="1:6" x14ac:dyDescent="0.2">
      <c r="A1217" s="275"/>
      <c r="B1217" s="78"/>
      <c r="C1217" s="189"/>
      <c r="D1217" s="259"/>
      <c r="E1217" s="186"/>
      <c r="F1217" s="187"/>
    </row>
    <row r="1218" spans="1:6" x14ac:dyDescent="0.2">
      <c r="A1218" s="275"/>
      <c r="B1218" s="78"/>
      <c r="C1218" s="189"/>
      <c r="D1218" s="259"/>
      <c r="E1218" s="186"/>
      <c r="F1218" s="187"/>
    </row>
    <row r="1219" spans="1:6" x14ac:dyDescent="0.2">
      <c r="A1219" s="275"/>
      <c r="B1219" s="78"/>
      <c r="C1219" s="189"/>
      <c r="D1219" s="259"/>
      <c r="E1219" s="186"/>
      <c r="F1219" s="187"/>
    </row>
    <row r="1220" spans="1:6" x14ac:dyDescent="0.2">
      <c r="A1220" s="275"/>
      <c r="B1220" s="78"/>
      <c r="C1220" s="189"/>
      <c r="D1220" s="259"/>
      <c r="E1220" s="186"/>
      <c r="F1220" s="187"/>
    </row>
    <row r="1221" spans="1:6" x14ac:dyDescent="0.2">
      <c r="A1221" s="275"/>
      <c r="B1221" s="78"/>
      <c r="C1221" s="189"/>
      <c r="D1221" s="259"/>
      <c r="E1221" s="186"/>
      <c r="F1221" s="187"/>
    </row>
    <row r="1222" spans="1:6" x14ac:dyDescent="0.2">
      <c r="A1222" s="275"/>
      <c r="B1222" s="78"/>
      <c r="C1222" s="189"/>
      <c r="D1222" s="259"/>
      <c r="E1222" s="186"/>
      <c r="F1222" s="187"/>
    </row>
    <row r="1223" spans="1:6" x14ac:dyDescent="0.2">
      <c r="A1223" s="275"/>
      <c r="B1223" s="78"/>
      <c r="C1223" s="189"/>
      <c r="D1223" s="259"/>
      <c r="E1223" s="186"/>
      <c r="F1223" s="187"/>
    </row>
    <row r="1224" spans="1:6" x14ac:dyDescent="0.2">
      <c r="A1224" s="275"/>
      <c r="B1224" s="78"/>
      <c r="C1224" s="189"/>
      <c r="D1224" s="259"/>
      <c r="E1224" s="186"/>
      <c r="F1224" s="187"/>
    </row>
    <row r="1225" spans="1:6" x14ac:dyDescent="0.2">
      <c r="A1225" s="275"/>
      <c r="B1225" s="78"/>
      <c r="C1225" s="189"/>
      <c r="D1225" s="259"/>
      <c r="E1225" s="186"/>
      <c r="F1225" s="187"/>
    </row>
    <row r="1226" spans="1:6" x14ac:dyDescent="0.2">
      <c r="A1226" s="275"/>
      <c r="B1226" s="78"/>
      <c r="C1226" s="189"/>
      <c r="D1226" s="259"/>
      <c r="E1226" s="186"/>
      <c r="F1226" s="187"/>
    </row>
    <row r="1227" spans="1:6" x14ac:dyDescent="0.2">
      <c r="A1227" s="275"/>
      <c r="B1227" s="78"/>
      <c r="C1227" s="189"/>
      <c r="D1227" s="259"/>
      <c r="E1227" s="186"/>
      <c r="F1227" s="187"/>
    </row>
    <row r="1228" spans="1:6" x14ac:dyDescent="0.2">
      <c r="A1228" s="275"/>
      <c r="B1228" s="78"/>
      <c r="C1228" s="189"/>
      <c r="D1228" s="259"/>
      <c r="E1228" s="186"/>
      <c r="F1228" s="187"/>
    </row>
    <row r="1229" spans="1:6" x14ac:dyDescent="0.2">
      <c r="A1229" s="275"/>
      <c r="B1229" s="78"/>
      <c r="C1229" s="189"/>
      <c r="D1229" s="259"/>
      <c r="E1229" s="186"/>
      <c r="F1229" s="187"/>
    </row>
    <row r="1230" spans="1:6" x14ac:dyDescent="0.2">
      <c r="A1230" s="275"/>
      <c r="B1230" s="78"/>
      <c r="C1230" s="189"/>
      <c r="D1230" s="259"/>
      <c r="E1230" s="186"/>
      <c r="F1230" s="187"/>
    </row>
    <row r="1231" spans="1:6" x14ac:dyDescent="0.2">
      <c r="A1231" s="275"/>
      <c r="B1231" s="78"/>
      <c r="C1231" s="189"/>
      <c r="D1231" s="259"/>
      <c r="E1231" s="186"/>
      <c r="F1231" s="187"/>
    </row>
    <row r="1232" spans="1:6" x14ac:dyDescent="0.2">
      <c r="A1232" s="275"/>
      <c r="B1232" s="78"/>
      <c r="C1232" s="189"/>
      <c r="D1232" s="259"/>
      <c r="E1232" s="186"/>
      <c r="F1232" s="187"/>
    </row>
    <row r="1233" spans="1:6" x14ac:dyDescent="0.2">
      <c r="A1233" s="275"/>
      <c r="B1233" s="78"/>
      <c r="C1233" s="189"/>
      <c r="D1233" s="259"/>
      <c r="E1233" s="186"/>
      <c r="F1233" s="187"/>
    </row>
    <row r="1234" spans="1:6" x14ac:dyDescent="0.2">
      <c r="A1234" s="275"/>
      <c r="B1234" s="78"/>
      <c r="C1234" s="189"/>
      <c r="D1234" s="259"/>
      <c r="E1234" s="186"/>
      <c r="F1234" s="187"/>
    </row>
    <row r="1235" spans="1:6" x14ac:dyDescent="0.2">
      <c r="A1235" s="275"/>
      <c r="B1235" s="78"/>
      <c r="C1235" s="189"/>
      <c r="D1235" s="259"/>
      <c r="E1235" s="186"/>
      <c r="F1235" s="187"/>
    </row>
    <row r="1236" spans="1:6" x14ac:dyDescent="0.2">
      <c r="A1236" s="275"/>
      <c r="B1236" s="78"/>
      <c r="C1236" s="189"/>
      <c r="D1236" s="259"/>
      <c r="E1236" s="186"/>
      <c r="F1236" s="187"/>
    </row>
    <row r="1237" spans="1:6" x14ac:dyDescent="0.2">
      <c r="A1237" s="275"/>
      <c r="B1237" s="78"/>
      <c r="C1237" s="189"/>
      <c r="D1237" s="259"/>
      <c r="E1237" s="186"/>
      <c r="F1237" s="187"/>
    </row>
    <row r="1238" spans="1:6" x14ac:dyDescent="0.2">
      <c r="A1238" s="275"/>
      <c r="B1238" s="78"/>
      <c r="C1238" s="189"/>
      <c r="D1238" s="259"/>
      <c r="E1238" s="186"/>
      <c r="F1238" s="187"/>
    </row>
    <row r="1239" spans="1:6" x14ac:dyDescent="0.2">
      <c r="A1239" s="275"/>
      <c r="B1239" s="78"/>
      <c r="C1239" s="189"/>
      <c r="D1239" s="259"/>
      <c r="E1239" s="186"/>
      <c r="F1239" s="187"/>
    </row>
    <row r="1240" spans="1:6" x14ac:dyDescent="0.2">
      <c r="A1240" s="275"/>
      <c r="B1240" s="78"/>
      <c r="C1240" s="189"/>
      <c r="D1240" s="259"/>
      <c r="E1240" s="186"/>
      <c r="F1240" s="187"/>
    </row>
    <row r="1241" spans="1:6" x14ac:dyDescent="0.2">
      <c r="A1241" s="275"/>
      <c r="B1241" s="78"/>
      <c r="C1241" s="189"/>
      <c r="D1241" s="259"/>
      <c r="E1241" s="186"/>
      <c r="F1241" s="187"/>
    </row>
    <row r="1242" spans="1:6" x14ac:dyDescent="0.2">
      <c r="A1242" s="275"/>
      <c r="B1242" s="78"/>
      <c r="C1242" s="189"/>
      <c r="D1242" s="259"/>
      <c r="E1242" s="186"/>
      <c r="F1242" s="187"/>
    </row>
    <row r="1243" spans="1:6" x14ac:dyDescent="0.2">
      <c r="A1243" s="275"/>
      <c r="B1243" s="78"/>
      <c r="C1243" s="189"/>
      <c r="D1243" s="259"/>
      <c r="E1243" s="186"/>
      <c r="F1243" s="187"/>
    </row>
    <row r="1244" spans="1:6" x14ac:dyDescent="0.2">
      <c r="A1244" s="275"/>
      <c r="B1244" s="78"/>
      <c r="C1244" s="189"/>
      <c r="D1244" s="259"/>
      <c r="E1244" s="186"/>
      <c r="F1244" s="187"/>
    </row>
    <row r="1245" spans="1:6" x14ac:dyDescent="0.2">
      <c r="A1245" s="275"/>
      <c r="B1245" s="78"/>
      <c r="C1245" s="189"/>
      <c r="D1245" s="259"/>
      <c r="E1245" s="186"/>
      <c r="F1245" s="187"/>
    </row>
    <row r="1246" spans="1:6" x14ac:dyDescent="0.2">
      <c r="A1246" s="275"/>
      <c r="B1246" s="78"/>
      <c r="C1246" s="189"/>
      <c r="D1246" s="259"/>
      <c r="E1246" s="186"/>
      <c r="F1246" s="187"/>
    </row>
    <row r="1247" spans="1:6" x14ac:dyDescent="0.2">
      <c r="A1247" s="275"/>
      <c r="B1247" s="78"/>
      <c r="C1247" s="189"/>
      <c r="D1247" s="259"/>
      <c r="E1247" s="186"/>
      <c r="F1247" s="187"/>
    </row>
    <row r="1248" spans="1:6" x14ac:dyDescent="0.2">
      <c r="A1248" s="275"/>
      <c r="B1248" s="78"/>
      <c r="C1248" s="189"/>
      <c r="D1248" s="259"/>
      <c r="E1248" s="186"/>
      <c r="F1248" s="187"/>
    </row>
    <row r="1249" spans="1:6" x14ac:dyDescent="0.2">
      <c r="A1249" s="275"/>
      <c r="B1249" s="78"/>
      <c r="C1249" s="189"/>
      <c r="D1249" s="259"/>
      <c r="E1249" s="186"/>
      <c r="F1249" s="187"/>
    </row>
    <row r="1250" spans="1:6" x14ac:dyDescent="0.2">
      <c r="A1250" s="275"/>
      <c r="B1250" s="78"/>
      <c r="C1250" s="189"/>
      <c r="D1250" s="259"/>
      <c r="E1250" s="186"/>
      <c r="F1250" s="187"/>
    </row>
    <row r="1251" spans="1:6" x14ac:dyDescent="0.2">
      <c r="A1251" s="275"/>
      <c r="B1251" s="78"/>
      <c r="C1251" s="189"/>
      <c r="D1251" s="259"/>
      <c r="E1251" s="186"/>
      <c r="F1251" s="187"/>
    </row>
    <row r="1252" spans="1:6" x14ac:dyDescent="0.2">
      <c r="A1252" s="275"/>
      <c r="B1252" s="78"/>
      <c r="C1252" s="189"/>
      <c r="D1252" s="259"/>
      <c r="E1252" s="186"/>
      <c r="F1252" s="187"/>
    </row>
    <row r="1253" spans="1:6" x14ac:dyDescent="0.2">
      <c r="A1253" s="275"/>
      <c r="B1253" s="78"/>
      <c r="C1253" s="189"/>
      <c r="D1253" s="259"/>
      <c r="E1253" s="186"/>
      <c r="F1253" s="187"/>
    </row>
    <row r="1254" spans="1:6" x14ac:dyDescent="0.2">
      <c r="A1254" s="275"/>
      <c r="B1254" s="78"/>
      <c r="C1254" s="189"/>
      <c r="D1254" s="259"/>
      <c r="E1254" s="186"/>
      <c r="F1254" s="187"/>
    </row>
    <row r="1255" spans="1:6" x14ac:dyDescent="0.2">
      <c r="A1255" s="275"/>
      <c r="B1255" s="78"/>
      <c r="C1255" s="189"/>
      <c r="D1255" s="259"/>
      <c r="E1255" s="186"/>
      <c r="F1255" s="187"/>
    </row>
    <row r="1256" spans="1:6" x14ac:dyDescent="0.2">
      <c r="A1256" s="275"/>
      <c r="B1256" s="78"/>
      <c r="C1256" s="189"/>
      <c r="D1256" s="259"/>
      <c r="E1256" s="186"/>
      <c r="F1256" s="187"/>
    </row>
    <row r="1257" spans="1:6" x14ac:dyDescent="0.2">
      <c r="A1257" s="275"/>
      <c r="B1257" s="78"/>
      <c r="C1257" s="189"/>
      <c r="D1257" s="259"/>
      <c r="E1257" s="186"/>
      <c r="F1257" s="187"/>
    </row>
    <row r="1258" spans="1:6" x14ac:dyDescent="0.2">
      <c r="A1258" s="275"/>
      <c r="B1258" s="78"/>
      <c r="C1258" s="189"/>
      <c r="D1258" s="259"/>
      <c r="E1258" s="186"/>
      <c r="F1258" s="187"/>
    </row>
    <row r="1259" spans="1:6" x14ac:dyDescent="0.2">
      <c r="A1259" s="275"/>
      <c r="B1259" s="78"/>
      <c r="C1259" s="189"/>
      <c r="D1259" s="259"/>
      <c r="E1259" s="186"/>
      <c r="F1259" s="187"/>
    </row>
    <row r="1260" spans="1:6" x14ac:dyDescent="0.2">
      <c r="A1260" s="275"/>
      <c r="B1260" s="78"/>
      <c r="C1260" s="189"/>
      <c r="D1260" s="259"/>
      <c r="E1260" s="186"/>
      <c r="F1260" s="187"/>
    </row>
    <row r="1261" spans="1:6" x14ac:dyDescent="0.2">
      <c r="A1261" s="275"/>
      <c r="B1261" s="78"/>
      <c r="C1261" s="189"/>
      <c r="D1261" s="259"/>
      <c r="E1261" s="186"/>
      <c r="F1261" s="187"/>
    </row>
    <row r="1262" spans="1:6" x14ac:dyDescent="0.2">
      <c r="A1262" s="275"/>
      <c r="B1262" s="78"/>
      <c r="C1262" s="189"/>
      <c r="D1262" s="259"/>
      <c r="E1262" s="186"/>
      <c r="F1262" s="187"/>
    </row>
    <row r="1263" spans="1:6" x14ac:dyDescent="0.2">
      <c r="A1263" s="275"/>
      <c r="B1263" s="78"/>
      <c r="C1263" s="189"/>
      <c r="D1263" s="259"/>
      <c r="E1263" s="186"/>
      <c r="F1263" s="187"/>
    </row>
    <row r="1264" spans="1:6" x14ac:dyDescent="0.2">
      <c r="A1264" s="275"/>
      <c r="B1264" s="78"/>
      <c r="C1264" s="189"/>
      <c r="D1264" s="259"/>
      <c r="E1264" s="186"/>
      <c r="F1264" s="187"/>
    </row>
    <row r="1265" spans="1:6" x14ac:dyDescent="0.2">
      <c r="A1265" s="275"/>
      <c r="B1265" s="78"/>
      <c r="C1265" s="189"/>
      <c r="D1265" s="259"/>
      <c r="E1265" s="186"/>
      <c r="F1265" s="187"/>
    </row>
    <row r="1266" spans="1:6" x14ac:dyDescent="0.2">
      <c r="A1266" s="275"/>
      <c r="B1266" s="78"/>
      <c r="C1266" s="189"/>
      <c r="D1266" s="259"/>
      <c r="E1266" s="186"/>
      <c r="F1266" s="187"/>
    </row>
    <row r="1267" spans="1:6" x14ac:dyDescent="0.2">
      <c r="A1267" s="275"/>
      <c r="B1267" s="78"/>
      <c r="C1267" s="189"/>
      <c r="D1267" s="259"/>
      <c r="E1267" s="186"/>
      <c r="F1267" s="187"/>
    </row>
    <row r="1268" spans="1:6" x14ac:dyDescent="0.2">
      <c r="A1268" s="275"/>
      <c r="B1268" s="78"/>
      <c r="C1268" s="189"/>
      <c r="D1268" s="259"/>
      <c r="E1268" s="186"/>
      <c r="F1268" s="187"/>
    </row>
    <row r="1269" spans="1:6" x14ac:dyDescent="0.2">
      <c r="A1269" s="275"/>
      <c r="B1269" s="78"/>
      <c r="C1269" s="189"/>
      <c r="D1269" s="259"/>
      <c r="E1269" s="186"/>
      <c r="F1269" s="187"/>
    </row>
    <row r="1270" spans="1:6" x14ac:dyDescent="0.2">
      <c r="A1270" s="275"/>
      <c r="B1270" s="78"/>
      <c r="C1270" s="189"/>
      <c r="D1270" s="259"/>
      <c r="E1270" s="186"/>
      <c r="F1270" s="187"/>
    </row>
    <row r="1271" spans="1:6" x14ac:dyDescent="0.2">
      <c r="A1271" s="275"/>
      <c r="B1271" s="78"/>
      <c r="C1271" s="189"/>
      <c r="D1271" s="259"/>
      <c r="E1271" s="186"/>
      <c r="F1271" s="187"/>
    </row>
    <row r="1272" spans="1:6" x14ac:dyDescent="0.2">
      <c r="A1272" s="275"/>
      <c r="B1272" s="78"/>
      <c r="C1272" s="189"/>
      <c r="D1272" s="259"/>
      <c r="E1272" s="186"/>
      <c r="F1272" s="187"/>
    </row>
    <row r="1273" spans="1:6" x14ac:dyDescent="0.2">
      <c r="A1273" s="275"/>
      <c r="B1273" s="78"/>
      <c r="C1273" s="189"/>
      <c r="D1273" s="259"/>
      <c r="E1273" s="186"/>
      <c r="F1273" s="187"/>
    </row>
    <row r="1274" spans="1:6" x14ac:dyDescent="0.2">
      <c r="A1274" s="275"/>
      <c r="B1274" s="78"/>
      <c r="C1274" s="189"/>
      <c r="D1274" s="259"/>
      <c r="E1274" s="186"/>
      <c r="F1274" s="187"/>
    </row>
    <row r="1275" spans="1:6" x14ac:dyDescent="0.2">
      <c r="A1275" s="275"/>
      <c r="B1275" s="78"/>
      <c r="C1275" s="189"/>
      <c r="D1275" s="259"/>
      <c r="E1275" s="186"/>
      <c r="F1275" s="187"/>
    </row>
    <row r="1276" spans="1:6" x14ac:dyDescent="0.2">
      <c r="A1276" s="275"/>
      <c r="B1276" s="78"/>
      <c r="C1276" s="189"/>
      <c r="D1276" s="259"/>
      <c r="E1276" s="186"/>
      <c r="F1276" s="187"/>
    </row>
    <row r="1277" spans="1:6" x14ac:dyDescent="0.2">
      <c r="A1277" s="275"/>
      <c r="B1277" s="78"/>
      <c r="C1277" s="189"/>
      <c r="D1277" s="259"/>
      <c r="E1277" s="186"/>
      <c r="F1277" s="187"/>
    </row>
    <row r="1278" spans="1:6" x14ac:dyDescent="0.2">
      <c r="A1278" s="275"/>
      <c r="B1278" s="78"/>
      <c r="C1278" s="189"/>
      <c r="D1278" s="259"/>
      <c r="E1278" s="186"/>
      <c r="F1278" s="187"/>
    </row>
    <row r="1279" spans="1:6" x14ac:dyDescent="0.2">
      <c r="A1279" s="275"/>
      <c r="B1279" s="78"/>
      <c r="C1279" s="189"/>
      <c r="D1279" s="259"/>
      <c r="E1279" s="186"/>
      <c r="F1279" s="187"/>
    </row>
    <row r="1280" spans="1:6" x14ac:dyDescent="0.2">
      <c r="A1280" s="275"/>
      <c r="B1280" s="78"/>
      <c r="C1280" s="189"/>
      <c r="D1280" s="259"/>
      <c r="E1280" s="186"/>
      <c r="F1280" s="187"/>
    </row>
    <row r="1281" spans="1:6" x14ac:dyDescent="0.2">
      <c r="A1281" s="275"/>
      <c r="B1281" s="78"/>
      <c r="C1281" s="189"/>
      <c r="D1281" s="259"/>
      <c r="E1281" s="186"/>
      <c r="F1281" s="187"/>
    </row>
    <row r="1282" spans="1:6" x14ac:dyDescent="0.2">
      <c r="A1282" s="275"/>
      <c r="B1282" s="78"/>
      <c r="C1282" s="189"/>
      <c r="D1282" s="259"/>
      <c r="E1282" s="186"/>
      <c r="F1282" s="187"/>
    </row>
    <row r="1283" spans="1:6" x14ac:dyDescent="0.2">
      <c r="A1283" s="275"/>
      <c r="B1283" s="78"/>
      <c r="C1283" s="189"/>
      <c r="D1283" s="259"/>
      <c r="E1283" s="186"/>
      <c r="F1283" s="187"/>
    </row>
    <row r="1284" spans="1:6" x14ac:dyDescent="0.2">
      <c r="A1284" s="275"/>
      <c r="B1284" s="78"/>
      <c r="C1284" s="189"/>
      <c r="D1284" s="259"/>
      <c r="E1284" s="186"/>
      <c r="F1284" s="187"/>
    </row>
    <row r="1285" spans="1:6" x14ac:dyDescent="0.2">
      <c r="A1285" s="275"/>
      <c r="B1285" s="78"/>
      <c r="C1285" s="189"/>
      <c r="D1285" s="259"/>
      <c r="E1285" s="186"/>
      <c r="F1285" s="187"/>
    </row>
    <row r="1286" spans="1:6" x14ac:dyDescent="0.2">
      <c r="A1286" s="275"/>
      <c r="B1286" s="78"/>
      <c r="C1286" s="189"/>
      <c r="D1286" s="259"/>
      <c r="E1286" s="186"/>
      <c r="F1286" s="187"/>
    </row>
    <row r="1287" spans="1:6" x14ac:dyDescent="0.2">
      <c r="A1287" s="275"/>
      <c r="B1287" s="78"/>
      <c r="C1287" s="189"/>
      <c r="D1287" s="259"/>
      <c r="E1287" s="186"/>
      <c r="F1287" s="187"/>
    </row>
    <row r="1288" spans="1:6" x14ac:dyDescent="0.2">
      <c r="A1288" s="275"/>
      <c r="B1288" s="78"/>
      <c r="C1288" s="189"/>
      <c r="D1288" s="259"/>
      <c r="E1288" s="186"/>
      <c r="F1288" s="187"/>
    </row>
    <row r="1289" spans="1:6" x14ac:dyDescent="0.2">
      <c r="A1289" s="275"/>
      <c r="B1289" s="78"/>
      <c r="C1289" s="189"/>
      <c r="D1289" s="259"/>
      <c r="E1289" s="186"/>
      <c r="F1289" s="187"/>
    </row>
    <row r="1290" spans="1:6" x14ac:dyDescent="0.2">
      <c r="A1290" s="275"/>
      <c r="B1290" s="78"/>
      <c r="C1290" s="189"/>
      <c r="D1290" s="259"/>
      <c r="E1290" s="186"/>
      <c r="F1290" s="187"/>
    </row>
    <row r="1291" spans="1:6" x14ac:dyDescent="0.2">
      <c r="A1291" s="275"/>
      <c r="B1291" s="78"/>
      <c r="C1291" s="189"/>
      <c r="D1291" s="259"/>
      <c r="E1291" s="186"/>
      <c r="F1291" s="187"/>
    </row>
    <row r="1292" spans="1:6" x14ac:dyDescent="0.2">
      <c r="A1292" s="275"/>
      <c r="B1292" s="78"/>
      <c r="C1292" s="189"/>
      <c r="D1292" s="259"/>
      <c r="E1292" s="186"/>
      <c r="F1292" s="187"/>
    </row>
    <row r="1293" spans="1:6" x14ac:dyDescent="0.2">
      <c r="A1293" s="275"/>
      <c r="B1293" s="78"/>
      <c r="C1293" s="189"/>
      <c r="D1293" s="259"/>
      <c r="E1293" s="186"/>
      <c r="F1293" s="187"/>
    </row>
    <row r="1294" spans="1:6" x14ac:dyDescent="0.2">
      <c r="A1294" s="275"/>
      <c r="B1294" s="78"/>
      <c r="C1294" s="189"/>
      <c r="D1294" s="259"/>
      <c r="E1294" s="186"/>
      <c r="F1294" s="187"/>
    </row>
    <row r="1295" spans="1:6" x14ac:dyDescent="0.2">
      <c r="A1295" s="275"/>
      <c r="B1295" s="78"/>
      <c r="C1295" s="189"/>
      <c r="D1295" s="259"/>
      <c r="E1295" s="186"/>
      <c r="F1295" s="187"/>
    </row>
    <row r="1296" spans="1:6" x14ac:dyDescent="0.2">
      <c r="A1296" s="275"/>
      <c r="B1296" s="78"/>
      <c r="C1296" s="189"/>
      <c r="D1296" s="259"/>
      <c r="E1296" s="186"/>
      <c r="F1296" s="187"/>
    </row>
    <row r="1297" spans="1:6" x14ac:dyDescent="0.2">
      <c r="A1297" s="275"/>
      <c r="B1297" s="78"/>
      <c r="C1297" s="189"/>
      <c r="D1297" s="259"/>
      <c r="E1297" s="186"/>
      <c r="F1297" s="187"/>
    </row>
    <row r="1298" spans="1:6" x14ac:dyDescent="0.2">
      <c r="A1298" s="275"/>
      <c r="B1298" s="78"/>
      <c r="C1298" s="189"/>
      <c r="D1298" s="259"/>
      <c r="E1298" s="186"/>
      <c r="F1298" s="187"/>
    </row>
    <row r="1299" spans="1:6" x14ac:dyDescent="0.2">
      <c r="A1299" s="275"/>
      <c r="B1299" s="78"/>
      <c r="C1299" s="189"/>
      <c r="D1299" s="259"/>
      <c r="E1299" s="186"/>
      <c r="F1299" s="187"/>
    </row>
    <row r="1300" spans="1:6" x14ac:dyDescent="0.2">
      <c r="A1300" s="275"/>
      <c r="B1300" s="78"/>
      <c r="C1300" s="189"/>
      <c r="D1300" s="259"/>
      <c r="E1300" s="186"/>
      <c r="F1300" s="187"/>
    </row>
    <row r="1301" spans="1:6" x14ac:dyDescent="0.2">
      <c r="A1301" s="275"/>
      <c r="B1301" s="78"/>
      <c r="C1301" s="189"/>
      <c r="D1301" s="259"/>
      <c r="E1301" s="186"/>
      <c r="F1301" s="187"/>
    </row>
    <row r="1302" spans="1:6" x14ac:dyDescent="0.2">
      <c r="A1302" s="275"/>
      <c r="B1302" s="78"/>
      <c r="C1302" s="189"/>
      <c r="D1302" s="259"/>
      <c r="E1302" s="186"/>
      <c r="F1302" s="187"/>
    </row>
    <row r="1303" spans="1:6" x14ac:dyDescent="0.2">
      <c r="A1303" s="275"/>
      <c r="B1303" s="78"/>
      <c r="C1303" s="189"/>
      <c r="D1303" s="259"/>
      <c r="E1303" s="186"/>
      <c r="F1303" s="187"/>
    </row>
    <row r="1304" spans="1:6" x14ac:dyDescent="0.2">
      <c r="A1304" s="275"/>
      <c r="B1304" s="78"/>
      <c r="C1304" s="189"/>
      <c r="D1304" s="259"/>
      <c r="E1304" s="186"/>
      <c r="F1304" s="187"/>
    </row>
    <row r="1305" spans="1:6" x14ac:dyDescent="0.2">
      <c r="A1305" s="275"/>
      <c r="B1305" s="78"/>
      <c r="C1305" s="189"/>
      <c r="D1305" s="259"/>
      <c r="E1305" s="186"/>
      <c r="F1305" s="187"/>
    </row>
    <row r="1306" spans="1:6" x14ac:dyDescent="0.2">
      <c r="A1306" s="275"/>
      <c r="B1306" s="78"/>
      <c r="C1306" s="189"/>
      <c r="D1306" s="259"/>
      <c r="E1306" s="186"/>
      <c r="F1306" s="187"/>
    </row>
    <row r="1307" spans="1:6" x14ac:dyDescent="0.2">
      <c r="A1307" s="275"/>
      <c r="B1307" s="78"/>
      <c r="C1307" s="189"/>
      <c r="D1307" s="259"/>
      <c r="E1307" s="186"/>
      <c r="F1307" s="187"/>
    </row>
    <row r="1308" spans="1:6" x14ac:dyDescent="0.2">
      <c r="A1308" s="275"/>
      <c r="B1308" s="78"/>
      <c r="C1308" s="189"/>
      <c r="D1308" s="259"/>
      <c r="E1308" s="186"/>
      <c r="F1308" s="187"/>
    </row>
    <row r="1309" spans="1:6" x14ac:dyDescent="0.2">
      <c r="A1309" s="275"/>
      <c r="B1309" s="78"/>
      <c r="C1309" s="189"/>
      <c r="D1309" s="259"/>
      <c r="E1309" s="186"/>
      <c r="F1309" s="187"/>
    </row>
    <row r="1310" spans="1:6" x14ac:dyDescent="0.2">
      <c r="A1310" s="275"/>
      <c r="B1310" s="78"/>
      <c r="C1310" s="189"/>
      <c r="D1310" s="259"/>
      <c r="E1310" s="186"/>
      <c r="F1310" s="187"/>
    </row>
    <row r="1311" spans="1:6" x14ac:dyDescent="0.2">
      <c r="A1311" s="275"/>
      <c r="B1311" s="78"/>
      <c r="C1311" s="189"/>
      <c r="D1311" s="259"/>
      <c r="E1311" s="186"/>
      <c r="F1311" s="187"/>
    </row>
    <row r="1312" spans="1:6" x14ac:dyDescent="0.2">
      <c r="A1312" s="275"/>
      <c r="B1312" s="78"/>
      <c r="C1312" s="189"/>
      <c r="D1312" s="259"/>
      <c r="E1312" s="186"/>
      <c r="F1312" s="187"/>
    </row>
    <row r="1313" spans="1:6" x14ac:dyDescent="0.2">
      <c r="A1313" s="275"/>
      <c r="B1313" s="78"/>
      <c r="C1313" s="189"/>
      <c r="D1313" s="259"/>
      <c r="E1313" s="186"/>
      <c r="F1313" s="187"/>
    </row>
    <row r="1314" spans="1:6" x14ac:dyDescent="0.2">
      <c r="A1314" s="275"/>
      <c r="B1314" s="78"/>
      <c r="C1314" s="189"/>
      <c r="D1314" s="259"/>
      <c r="E1314" s="186"/>
      <c r="F1314" s="187"/>
    </row>
    <row r="1315" spans="1:6" x14ac:dyDescent="0.2">
      <c r="A1315" s="275"/>
      <c r="B1315" s="78"/>
      <c r="C1315" s="189"/>
      <c r="D1315" s="259"/>
      <c r="E1315" s="186"/>
      <c r="F1315" s="187"/>
    </row>
    <row r="1316" spans="1:6" x14ac:dyDescent="0.2">
      <c r="A1316" s="275"/>
      <c r="B1316" s="78"/>
      <c r="C1316" s="189"/>
      <c r="D1316" s="259"/>
      <c r="E1316" s="186"/>
      <c r="F1316" s="187"/>
    </row>
    <row r="1317" spans="1:6" x14ac:dyDescent="0.2">
      <c r="A1317" s="275"/>
      <c r="B1317" s="78"/>
      <c r="C1317" s="189"/>
      <c r="D1317" s="259"/>
      <c r="E1317" s="186"/>
      <c r="F1317" s="187"/>
    </row>
    <row r="1318" spans="1:6" x14ac:dyDescent="0.2">
      <c r="A1318" s="275"/>
      <c r="B1318" s="78"/>
      <c r="C1318" s="189"/>
      <c r="D1318" s="259"/>
      <c r="E1318" s="186"/>
      <c r="F1318" s="187"/>
    </row>
    <row r="1319" spans="1:6" x14ac:dyDescent="0.2">
      <c r="A1319" s="275"/>
      <c r="B1319" s="78"/>
      <c r="C1319" s="189"/>
      <c r="D1319" s="259"/>
      <c r="E1319" s="186"/>
      <c r="F1319" s="187"/>
    </row>
    <row r="1320" spans="1:6" x14ac:dyDescent="0.2">
      <c r="A1320" s="275"/>
      <c r="B1320" s="78"/>
      <c r="C1320" s="189"/>
      <c r="D1320" s="259"/>
      <c r="E1320" s="186"/>
      <c r="F1320" s="187"/>
    </row>
    <row r="1321" spans="1:6" x14ac:dyDescent="0.2">
      <c r="A1321" s="275"/>
      <c r="B1321" s="78"/>
      <c r="C1321" s="189"/>
      <c r="D1321" s="259"/>
      <c r="E1321" s="186"/>
      <c r="F1321" s="187"/>
    </row>
    <row r="1322" spans="1:6" x14ac:dyDescent="0.2">
      <c r="A1322" s="275"/>
      <c r="B1322" s="78"/>
      <c r="C1322" s="189"/>
      <c r="D1322" s="259"/>
      <c r="E1322" s="186"/>
      <c r="F1322" s="187"/>
    </row>
    <row r="1323" spans="1:6" x14ac:dyDescent="0.2">
      <c r="A1323" s="275"/>
      <c r="B1323" s="78"/>
      <c r="C1323" s="189"/>
      <c r="D1323" s="259"/>
      <c r="E1323" s="186"/>
      <c r="F1323" s="187"/>
    </row>
    <row r="1324" spans="1:6" x14ac:dyDescent="0.2">
      <c r="A1324" s="275"/>
      <c r="B1324" s="78"/>
      <c r="C1324" s="189"/>
      <c r="D1324" s="259"/>
      <c r="E1324" s="186"/>
      <c r="F1324" s="187"/>
    </row>
    <row r="1325" spans="1:6" x14ac:dyDescent="0.2">
      <c r="A1325" s="275"/>
      <c r="B1325" s="78"/>
      <c r="C1325" s="189"/>
      <c r="D1325" s="259"/>
      <c r="E1325" s="186"/>
      <c r="F1325" s="187"/>
    </row>
    <row r="1326" spans="1:6" x14ac:dyDescent="0.2">
      <c r="A1326" s="275"/>
      <c r="B1326" s="78"/>
      <c r="C1326" s="189"/>
      <c r="D1326" s="259"/>
      <c r="E1326" s="186"/>
      <c r="F1326" s="187"/>
    </row>
    <row r="1327" spans="1:6" x14ac:dyDescent="0.2">
      <c r="A1327" s="275"/>
      <c r="B1327" s="78"/>
      <c r="C1327" s="189"/>
      <c r="D1327" s="259"/>
      <c r="E1327" s="186"/>
      <c r="F1327" s="187"/>
    </row>
    <row r="1328" spans="1:6" x14ac:dyDescent="0.2">
      <c r="A1328" s="275"/>
      <c r="B1328" s="78"/>
      <c r="C1328" s="189"/>
      <c r="D1328" s="259"/>
      <c r="E1328" s="186"/>
      <c r="F1328" s="187"/>
    </row>
    <row r="1329" spans="1:6" x14ac:dyDescent="0.2">
      <c r="A1329" s="275"/>
      <c r="B1329" s="78"/>
      <c r="C1329" s="189"/>
      <c r="D1329" s="259"/>
      <c r="E1329" s="186"/>
      <c r="F1329" s="187"/>
    </row>
    <row r="1330" spans="1:6" x14ac:dyDescent="0.2">
      <c r="A1330" s="275"/>
      <c r="B1330" s="78"/>
      <c r="C1330" s="189"/>
      <c r="D1330" s="259"/>
      <c r="E1330" s="186"/>
      <c r="F1330" s="187"/>
    </row>
    <row r="1331" spans="1:6" x14ac:dyDescent="0.2">
      <c r="A1331" s="275"/>
      <c r="B1331" s="78"/>
      <c r="C1331" s="189"/>
      <c r="D1331" s="259"/>
      <c r="E1331" s="186"/>
      <c r="F1331" s="187"/>
    </row>
    <row r="1332" spans="1:6" x14ac:dyDescent="0.2">
      <c r="A1332" s="275"/>
      <c r="B1332" s="78"/>
      <c r="C1332" s="189"/>
      <c r="D1332" s="259"/>
      <c r="E1332" s="186"/>
      <c r="F1332" s="187"/>
    </row>
    <row r="1333" spans="1:6" x14ac:dyDescent="0.2">
      <c r="A1333" s="275"/>
      <c r="B1333" s="78"/>
      <c r="C1333" s="189"/>
      <c r="D1333" s="259"/>
      <c r="E1333" s="186"/>
      <c r="F1333" s="187"/>
    </row>
    <row r="1334" spans="1:6" x14ac:dyDescent="0.2">
      <c r="A1334" s="275"/>
      <c r="B1334" s="78"/>
      <c r="C1334" s="189"/>
      <c r="D1334" s="259"/>
      <c r="E1334" s="186"/>
      <c r="F1334" s="187"/>
    </row>
    <row r="1335" spans="1:6" x14ac:dyDescent="0.2">
      <c r="A1335" s="275"/>
      <c r="B1335" s="78"/>
      <c r="C1335" s="189"/>
      <c r="D1335" s="259"/>
      <c r="E1335" s="186"/>
      <c r="F1335" s="187"/>
    </row>
    <row r="1336" spans="1:6" x14ac:dyDescent="0.2">
      <c r="A1336" s="275"/>
      <c r="B1336" s="78"/>
      <c r="C1336" s="189"/>
      <c r="D1336" s="259"/>
      <c r="E1336" s="186"/>
      <c r="F1336" s="187"/>
    </row>
    <row r="1337" spans="1:6" x14ac:dyDescent="0.2">
      <c r="A1337" s="275"/>
      <c r="B1337" s="78"/>
      <c r="C1337" s="189"/>
      <c r="D1337" s="259"/>
      <c r="E1337" s="186"/>
      <c r="F1337" s="187"/>
    </row>
    <row r="1338" spans="1:6" x14ac:dyDescent="0.2">
      <c r="A1338" s="275"/>
      <c r="B1338" s="78"/>
      <c r="C1338" s="189"/>
      <c r="D1338" s="259"/>
      <c r="E1338" s="186"/>
      <c r="F1338" s="187"/>
    </row>
    <row r="1339" spans="1:6" x14ac:dyDescent="0.2">
      <c r="A1339" s="275"/>
      <c r="B1339" s="78"/>
      <c r="C1339" s="189"/>
      <c r="D1339" s="259"/>
      <c r="E1339" s="186"/>
      <c r="F1339" s="187"/>
    </row>
    <row r="1340" spans="1:6" x14ac:dyDescent="0.2">
      <c r="A1340" s="275"/>
      <c r="B1340" s="78"/>
      <c r="C1340" s="189"/>
      <c r="D1340" s="259"/>
      <c r="E1340" s="186"/>
      <c r="F1340" s="187"/>
    </row>
    <row r="1341" spans="1:6" x14ac:dyDescent="0.2">
      <c r="A1341" s="275"/>
      <c r="B1341" s="78"/>
      <c r="C1341" s="189"/>
      <c r="D1341" s="259"/>
      <c r="E1341" s="186"/>
      <c r="F1341" s="187"/>
    </row>
    <row r="1342" spans="1:6" x14ac:dyDescent="0.2">
      <c r="A1342" s="275"/>
      <c r="B1342" s="78"/>
      <c r="C1342" s="189"/>
      <c r="D1342" s="259"/>
      <c r="E1342" s="186"/>
      <c r="F1342" s="187"/>
    </row>
    <row r="1343" spans="1:6" x14ac:dyDescent="0.2">
      <c r="A1343" s="275"/>
      <c r="B1343" s="78"/>
      <c r="C1343" s="189"/>
      <c r="D1343" s="259"/>
      <c r="E1343" s="186"/>
      <c r="F1343" s="187"/>
    </row>
    <row r="1344" spans="1:6" x14ac:dyDescent="0.2">
      <c r="A1344" s="275"/>
      <c r="B1344" s="78"/>
      <c r="C1344" s="189"/>
      <c r="D1344" s="259"/>
      <c r="E1344" s="186"/>
      <c r="F1344" s="187"/>
    </row>
    <row r="1345" spans="1:6" x14ac:dyDescent="0.2">
      <c r="A1345" s="275"/>
      <c r="B1345" s="78"/>
      <c r="C1345" s="189"/>
      <c r="D1345" s="259"/>
      <c r="E1345" s="186"/>
      <c r="F1345" s="187"/>
    </row>
    <row r="1346" spans="1:6" x14ac:dyDescent="0.2">
      <c r="A1346" s="275"/>
      <c r="B1346" s="78"/>
      <c r="C1346" s="189"/>
      <c r="D1346" s="259"/>
      <c r="E1346" s="186"/>
      <c r="F1346" s="187"/>
    </row>
    <row r="1347" spans="1:6" x14ac:dyDescent="0.2">
      <c r="A1347" s="275"/>
      <c r="B1347" s="78"/>
      <c r="C1347" s="189"/>
      <c r="D1347" s="259"/>
      <c r="E1347" s="186"/>
      <c r="F1347" s="187"/>
    </row>
    <row r="1348" spans="1:6" x14ac:dyDescent="0.2">
      <c r="A1348" s="275"/>
      <c r="B1348" s="78"/>
      <c r="C1348" s="189"/>
      <c r="D1348" s="259"/>
      <c r="E1348" s="186"/>
      <c r="F1348" s="187"/>
    </row>
    <row r="1349" spans="1:6" x14ac:dyDescent="0.2">
      <c r="A1349" s="275"/>
      <c r="B1349" s="78"/>
      <c r="C1349" s="189"/>
      <c r="D1349" s="259"/>
      <c r="E1349" s="186"/>
      <c r="F1349" s="187"/>
    </row>
    <row r="1350" spans="1:6" x14ac:dyDescent="0.2">
      <c r="A1350" s="275"/>
      <c r="B1350" s="78"/>
      <c r="C1350" s="189"/>
      <c r="D1350" s="259"/>
      <c r="E1350" s="186"/>
      <c r="F1350" s="187"/>
    </row>
    <row r="1351" spans="1:6" x14ac:dyDescent="0.2">
      <c r="A1351" s="275"/>
      <c r="B1351" s="78"/>
      <c r="C1351" s="189"/>
      <c r="D1351" s="259"/>
      <c r="E1351" s="186"/>
      <c r="F1351" s="187"/>
    </row>
    <row r="1352" spans="1:6" x14ac:dyDescent="0.2">
      <c r="A1352" s="275"/>
      <c r="B1352" s="78"/>
      <c r="C1352" s="189"/>
      <c r="D1352" s="259"/>
      <c r="E1352" s="186"/>
      <c r="F1352" s="187"/>
    </row>
    <row r="1353" spans="1:6" x14ac:dyDescent="0.2">
      <c r="A1353" s="275"/>
      <c r="B1353" s="78"/>
      <c r="C1353" s="189"/>
      <c r="D1353" s="259"/>
      <c r="E1353" s="186"/>
      <c r="F1353" s="187"/>
    </row>
    <row r="1354" spans="1:6" x14ac:dyDescent="0.2">
      <c r="A1354" s="275"/>
      <c r="B1354" s="78"/>
      <c r="C1354" s="189"/>
      <c r="D1354" s="259"/>
      <c r="E1354" s="186"/>
      <c r="F1354" s="187"/>
    </row>
    <row r="1355" spans="1:6" x14ac:dyDescent="0.2">
      <c r="A1355" s="275"/>
      <c r="B1355" s="78"/>
      <c r="C1355" s="189"/>
      <c r="D1355" s="259"/>
      <c r="E1355" s="186"/>
      <c r="F1355" s="187"/>
    </row>
    <row r="1356" spans="1:6" x14ac:dyDescent="0.2">
      <c r="A1356" s="275"/>
      <c r="B1356" s="78"/>
      <c r="C1356" s="189"/>
      <c r="D1356" s="259"/>
      <c r="E1356" s="186"/>
      <c r="F1356" s="187"/>
    </row>
    <row r="1357" spans="1:6" x14ac:dyDescent="0.2">
      <c r="A1357" s="275"/>
      <c r="B1357" s="78"/>
      <c r="C1357" s="189"/>
      <c r="D1357" s="259"/>
      <c r="E1357" s="186"/>
      <c r="F1357" s="187"/>
    </row>
    <row r="1358" spans="1:6" x14ac:dyDescent="0.2">
      <c r="A1358" s="275"/>
      <c r="B1358" s="78"/>
      <c r="C1358" s="189"/>
      <c r="D1358" s="259"/>
      <c r="E1358" s="186"/>
      <c r="F1358" s="187"/>
    </row>
    <row r="1359" spans="1:6" x14ac:dyDescent="0.2">
      <c r="A1359" s="275"/>
      <c r="B1359" s="78"/>
      <c r="C1359" s="189"/>
      <c r="D1359" s="259"/>
      <c r="E1359" s="186"/>
      <c r="F1359" s="187"/>
    </row>
    <row r="1360" spans="1:6" x14ac:dyDescent="0.2">
      <c r="A1360" s="275"/>
      <c r="B1360" s="78"/>
      <c r="C1360" s="189"/>
      <c r="D1360" s="259"/>
      <c r="E1360" s="186"/>
      <c r="F1360" s="187"/>
    </row>
    <row r="1361" spans="1:6" x14ac:dyDescent="0.2">
      <c r="A1361" s="275"/>
      <c r="B1361" s="78"/>
      <c r="C1361" s="189"/>
      <c r="D1361" s="259"/>
      <c r="E1361" s="186"/>
      <c r="F1361" s="187"/>
    </row>
    <row r="1362" spans="1:6" x14ac:dyDescent="0.2">
      <c r="A1362" s="275"/>
      <c r="B1362" s="78"/>
      <c r="C1362" s="189"/>
      <c r="D1362" s="259"/>
      <c r="E1362" s="186"/>
      <c r="F1362" s="187"/>
    </row>
    <row r="1363" spans="1:6" x14ac:dyDescent="0.2">
      <c r="A1363" s="275"/>
      <c r="B1363" s="78"/>
      <c r="C1363" s="189"/>
      <c r="D1363" s="259"/>
      <c r="E1363" s="186"/>
      <c r="F1363" s="187"/>
    </row>
    <row r="1364" spans="1:6" x14ac:dyDescent="0.2">
      <c r="A1364" s="275"/>
      <c r="B1364" s="78"/>
      <c r="C1364" s="189"/>
      <c r="D1364" s="259"/>
      <c r="E1364" s="186"/>
      <c r="F1364" s="187"/>
    </row>
    <row r="1365" spans="1:6" x14ac:dyDescent="0.2">
      <c r="A1365" s="275"/>
      <c r="B1365" s="78"/>
      <c r="C1365" s="189"/>
      <c r="D1365" s="259"/>
      <c r="E1365" s="186"/>
      <c r="F1365" s="187"/>
    </row>
    <row r="1366" spans="1:6" x14ac:dyDescent="0.2">
      <c r="A1366" s="275"/>
      <c r="B1366" s="78"/>
      <c r="C1366" s="189"/>
      <c r="D1366" s="259"/>
      <c r="E1366" s="186"/>
      <c r="F1366" s="187"/>
    </row>
    <row r="1367" spans="1:6" x14ac:dyDescent="0.2">
      <c r="A1367" s="275"/>
      <c r="B1367" s="78"/>
      <c r="C1367" s="189"/>
      <c r="D1367" s="259"/>
      <c r="E1367" s="186"/>
      <c r="F1367" s="187"/>
    </row>
    <row r="1368" spans="1:6" x14ac:dyDescent="0.2">
      <c r="A1368" s="275"/>
      <c r="B1368" s="78"/>
      <c r="C1368" s="189"/>
      <c r="D1368" s="259"/>
      <c r="E1368" s="186"/>
      <c r="F1368" s="187"/>
    </row>
    <row r="1369" spans="1:6" x14ac:dyDescent="0.2">
      <c r="A1369" s="275"/>
      <c r="B1369" s="78"/>
      <c r="C1369" s="189"/>
      <c r="D1369" s="259"/>
      <c r="E1369" s="186"/>
      <c r="F1369" s="187"/>
    </row>
    <row r="1370" spans="1:6" x14ac:dyDescent="0.2">
      <c r="A1370" s="275"/>
      <c r="B1370" s="78"/>
      <c r="C1370" s="189"/>
      <c r="D1370" s="259"/>
      <c r="E1370" s="186"/>
      <c r="F1370" s="187"/>
    </row>
    <row r="1371" spans="1:6" x14ac:dyDescent="0.2">
      <c r="A1371" s="275"/>
      <c r="B1371" s="78"/>
      <c r="C1371" s="189"/>
      <c r="D1371" s="259"/>
      <c r="E1371" s="186"/>
      <c r="F1371" s="187"/>
    </row>
    <row r="1372" spans="1:6" x14ac:dyDescent="0.2">
      <c r="A1372" s="275"/>
      <c r="B1372" s="78"/>
      <c r="C1372" s="189"/>
      <c r="D1372" s="259"/>
      <c r="E1372" s="186"/>
      <c r="F1372" s="187"/>
    </row>
    <row r="1373" spans="1:6" x14ac:dyDescent="0.2">
      <c r="A1373" s="275"/>
      <c r="B1373" s="78"/>
      <c r="C1373" s="189"/>
      <c r="D1373" s="259"/>
      <c r="E1373" s="186"/>
      <c r="F1373" s="187"/>
    </row>
    <row r="1374" spans="1:6" x14ac:dyDescent="0.2">
      <c r="A1374" s="275"/>
      <c r="B1374" s="78"/>
      <c r="C1374" s="189"/>
      <c r="D1374" s="259"/>
      <c r="E1374" s="186"/>
      <c r="F1374" s="187"/>
    </row>
    <row r="1375" spans="1:6" x14ac:dyDescent="0.2">
      <c r="A1375" s="275"/>
      <c r="B1375" s="78"/>
      <c r="C1375" s="189"/>
      <c r="D1375" s="259"/>
      <c r="E1375" s="186"/>
      <c r="F1375" s="187"/>
    </row>
    <row r="1376" spans="1:6" x14ac:dyDescent="0.2">
      <c r="A1376" s="275"/>
      <c r="B1376" s="78"/>
      <c r="C1376" s="189"/>
      <c r="D1376" s="259"/>
      <c r="E1376" s="186"/>
      <c r="F1376" s="187"/>
    </row>
    <row r="1377" spans="1:6" x14ac:dyDescent="0.2">
      <c r="A1377" s="275"/>
      <c r="B1377" s="78"/>
      <c r="C1377" s="189"/>
      <c r="D1377" s="259"/>
      <c r="E1377" s="186"/>
      <c r="F1377" s="187"/>
    </row>
    <row r="1378" spans="1:6" x14ac:dyDescent="0.2">
      <c r="A1378" s="275"/>
      <c r="B1378" s="78"/>
      <c r="C1378" s="189"/>
      <c r="D1378" s="259"/>
      <c r="E1378" s="186"/>
      <c r="F1378" s="187"/>
    </row>
    <row r="1379" spans="1:6" x14ac:dyDescent="0.2">
      <c r="A1379" s="275"/>
      <c r="B1379" s="78"/>
      <c r="C1379" s="189"/>
      <c r="D1379" s="259"/>
      <c r="E1379" s="186"/>
      <c r="F1379" s="187"/>
    </row>
    <row r="1380" spans="1:6" x14ac:dyDescent="0.2">
      <c r="A1380" s="275"/>
      <c r="B1380" s="78"/>
      <c r="C1380" s="189"/>
      <c r="D1380" s="259"/>
      <c r="E1380" s="186"/>
      <c r="F1380" s="187"/>
    </row>
    <row r="1381" spans="1:6" x14ac:dyDescent="0.2">
      <c r="A1381" s="275"/>
      <c r="B1381" s="78"/>
      <c r="C1381" s="189"/>
      <c r="D1381" s="259"/>
      <c r="E1381" s="186"/>
      <c r="F1381" s="187"/>
    </row>
    <row r="1382" spans="1:6" x14ac:dyDescent="0.2">
      <c r="A1382" s="275"/>
      <c r="B1382" s="78"/>
      <c r="C1382" s="189"/>
      <c r="D1382" s="259"/>
      <c r="E1382" s="186"/>
      <c r="F1382" s="187"/>
    </row>
    <row r="1383" spans="1:6" x14ac:dyDescent="0.2">
      <c r="A1383" s="275"/>
      <c r="B1383" s="78"/>
      <c r="C1383" s="189"/>
      <c r="D1383" s="259"/>
      <c r="E1383" s="186"/>
      <c r="F1383" s="187"/>
    </row>
    <row r="1384" spans="1:6" x14ac:dyDescent="0.2">
      <c r="A1384" s="275"/>
      <c r="B1384" s="78"/>
      <c r="C1384" s="189"/>
      <c r="D1384" s="259"/>
      <c r="E1384" s="186"/>
      <c r="F1384" s="187"/>
    </row>
    <row r="1385" spans="1:6" x14ac:dyDescent="0.2">
      <c r="A1385" s="275"/>
      <c r="B1385" s="78"/>
      <c r="C1385" s="189"/>
      <c r="D1385" s="259"/>
      <c r="E1385" s="186"/>
      <c r="F1385" s="187"/>
    </row>
    <row r="1386" spans="1:6" x14ac:dyDescent="0.2">
      <c r="A1386" s="275"/>
      <c r="B1386" s="78"/>
      <c r="C1386" s="189"/>
      <c r="D1386" s="259"/>
      <c r="E1386" s="186"/>
      <c r="F1386" s="187"/>
    </row>
    <row r="1387" spans="1:6" x14ac:dyDescent="0.2">
      <c r="A1387" s="275"/>
      <c r="B1387" s="78"/>
      <c r="C1387" s="189"/>
      <c r="D1387" s="259"/>
      <c r="E1387" s="186"/>
      <c r="F1387" s="187"/>
    </row>
    <row r="1388" spans="1:6" x14ac:dyDescent="0.2">
      <c r="A1388" s="275"/>
      <c r="B1388" s="78"/>
      <c r="C1388" s="189"/>
      <c r="D1388" s="259"/>
      <c r="E1388" s="186"/>
      <c r="F1388" s="187"/>
    </row>
    <row r="1389" spans="1:6" x14ac:dyDescent="0.2">
      <c r="A1389" s="275"/>
      <c r="B1389" s="78"/>
      <c r="C1389" s="189"/>
      <c r="D1389" s="259"/>
      <c r="E1389" s="186"/>
      <c r="F1389" s="187"/>
    </row>
    <row r="1390" spans="1:6" x14ac:dyDescent="0.2">
      <c r="A1390" s="275"/>
      <c r="B1390" s="78"/>
      <c r="C1390" s="189"/>
      <c r="D1390" s="259"/>
      <c r="E1390" s="186"/>
      <c r="F1390" s="187"/>
    </row>
    <row r="1391" spans="1:6" x14ac:dyDescent="0.2">
      <c r="A1391" s="275"/>
      <c r="B1391" s="78"/>
      <c r="C1391" s="189"/>
      <c r="D1391" s="259"/>
      <c r="E1391" s="186"/>
      <c r="F1391" s="187"/>
    </row>
    <row r="1392" spans="1:6" x14ac:dyDescent="0.2">
      <c r="A1392" s="275"/>
      <c r="B1392" s="78"/>
      <c r="C1392" s="189"/>
      <c r="D1392" s="259"/>
      <c r="E1392" s="186"/>
      <c r="F1392" s="187"/>
    </row>
    <row r="1393" spans="1:6" x14ac:dyDescent="0.2">
      <c r="A1393" s="275"/>
      <c r="B1393" s="78"/>
      <c r="C1393" s="189"/>
      <c r="D1393" s="259"/>
      <c r="E1393" s="186"/>
      <c r="F1393" s="187"/>
    </row>
    <row r="1394" spans="1:6" x14ac:dyDescent="0.2">
      <c r="A1394" s="275"/>
      <c r="B1394" s="78"/>
      <c r="C1394" s="189"/>
      <c r="D1394" s="259"/>
      <c r="E1394" s="186"/>
      <c r="F1394" s="187"/>
    </row>
    <row r="1395" spans="1:6" x14ac:dyDescent="0.2">
      <c r="A1395" s="275"/>
      <c r="B1395" s="78"/>
      <c r="C1395" s="189"/>
      <c r="D1395" s="259"/>
      <c r="E1395" s="186"/>
      <c r="F1395" s="187"/>
    </row>
    <row r="1396" spans="1:6" x14ac:dyDescent="0.2">
      <c r="A1396" s="275"/>
      <c r="B1396" s="78"/>
      <c r="C1396" s="189"/>
      <c r="D1396" s="259"/>
      <c r="E1396" s="186"/>
      <c r="F1396" s="187"/>
    </row>
    <row r="1397" spans="1:6" x14ac:dyDescent="0.2">
      <c r="A1397" s="275"/>
      <c r="B1397" s="78"/>
      <c r="C1397" s="189"/>
      <c r="D1397" s="259"/>
      <c r="E1397" s="186"/>
      <c r="F1397" s="187"/>
    </row>
    <row r="1398" spans="1:6" x14ac:dyDescent="0.2">
      <c r="A1398" s="275"/>
      <c r="B1398" s="78"/>
      <c r="C1398" s="189"/>
      <c r="D1398" s="259"/>
      <c r="E1398" s="186"/>
      <c r="F1398" s="187"/>
    </row>
    <row r="1399" spans="1:6" x14ac:dyDescent="0.2">
      <c r="A1399" s="275"/>
      <c r="B1399" s="78"/>
      <c r="C1399" s="189"/>
      <c r="D1399" s="259"/>
      <c r="E1399" s="186"/>
      <c r="F1399" s="187"/>
    </row>
    <row r="1400" spans="1:6" x14ac:dyDescent="0.2">
      <c r="A1400" s="275"/>
      <c r="B1400" s="78"/>
      <c r="C1400" s="189"/>
      <c r="D1400" s="259"/>
      <c r="E1400" s="186"/>
      <c r="F1400" s="187"/>
    </row>
    <row r="1401" spans="1:6" x14ac:dyDescent="0.2">
      <c r="A1401" s="275"/>
      <c r="B1401" s="78"/>
      <c r="C1401" s="189"/>
      <c r="D1401" s="259"/>
      <c r="E1401" s="186"/>
      <c r="F1401" s="187"/>
    </row>
    <row r="1402" spans="1:6" x14ac:dyDescent="0.2">
      <c r="A1402" s="275"/>
      <c r="B1402" s="78"/>
      <c r="C1402" s="189"/>
      <c r="D1402" s="259"/>
      <c r="E1402" s="186"/>
      <c r="F1402" s="187"/>
    </row>
    <row r="1403" spans="1:6" x14ac:dyDescent="0.2">
      <c r="A1403" s="275"/>
      <c r="B1403" s="78"/>
      <c r="C1403" s="189"/>
      <c r="D1403" s="259"/>
      <c r="E1403" s="186"/>
      <c r="F1403" s="187"/>
    </row>
    <row r="1404" spans="1:6" x14ac:dyDescent="0.2">
      <c r="A1404" s="275"/>
      <c r="B1404" s="78"/>
      <c r="C1404" s="189"/>
      <c r="D1404" s="259"/>
      <c r="E1404" s="186"/>
      <c r="F1404" s="187"/>
    </row>
    <row r="1405" spans="1:6" x14ac:dyDescent="0.2">
      <c r="A1405" s="275"/>
      <c r="B1405" s="78"/>
      <c r="C1405" s="189"/>
      <c r="D1405" s="259"/>
      <c r="E1405" s="186"/>
      <c r="F1405" s="187"/>
    </row>
    <row r="1406" spans="1:6" x14ac:dyDescent="0.2">
      <c r="A1406" s="275"/>
      <c r="B1406" s="78"/>
      <c r="C1406" s="189"/>
      <c r="D1406" s="259"/>
      <c r="E1406" s="186"/>
      <c r="F1406" s="187"/>
    </row>
    <row r="1407" spans="1:6" x14ac:dyDescent="0.2">
      <c r="A1407" s="275"/>
      <c r="B1407" s="78"/>
      <c r="C1407" s="189"/>
      <c r="D1407" s="259"/>
      <c r="E1407" s="186"/>
      <c r="F1407" s="187"/>
    </row>
    <row r="1408" spans="1:6" x14ac:dyDescent="0.2">
      <c r="A1408" s="275"/>
      <c r="B1408" s="78"/>
      <c r="C1408" s="189"/>
      <c r="D1408" s="259"/>
      <c r="E1408" s="186"/>
      <c r="F1408" s="187"/>
    </row>
    <row r="1409" spans="1:6" x14ac:dyDescent="0.2">
      <c r="A1409" s="275"/>
      <c r="B1409" s="78"/>
      <c r="C1409" s="189"/>
      <c r="D1409" s="259"/>
      <c r="E1409" s="186"/>
      <c r="F1409" s="187"/>
    </row>
    <row r="1410" spans="1:6" x14ac:dyDescent="0.2">
      <c r="A1410" s="275"/>
      <c r="B1410" s="78"/>
      <c r="C1410" s="189"/>
      <c r="D1410" s="259"/>
      <c r="E1410" s="186"/>
      <c r="F1410" s="187"/>
    </row>
    <row r="1411" spans="1:6" x14ac:dyDescent="0.2">
      <c r="A1411" s="275"/>
      <c r="B1411" s="78"/>
      <c r="C1411" s="189"/>
      <c r="D1411" s="259"/>
      <c r="E1411" s="186"/>
      <c r="F1411" s="187"/>
    </row>
    <row r="1412" spans="1:6" x14ac:dyDescent="0.2">
      <c r="A1412" s="275"/>
      <c r="B1412" s="78"/>
      <c r="C1412" s="189"/>
      <c r="D1412" s="259"/>
      <c r="E1412" s="186"/>
      <c r="F1412" s="187"/>
    </row>
    <row r="1413" spans="1:6" x14ac:dyDescent="0.2">
      <c r="A1413" s="275"/>
      <c r="B1413" s="78"/>
      <c r="C1413" s="189"/>
      <c r="D1413" s="259"/>
      <c r="E1413" s="186"/>
      <c r="F1413" s="187"/>
    </row>
    <row r="1414" spans="1:6" x14ac:dyDescent="0.2">
      <c r="A1414" s="275"/>
      <c r="B1414" s="78"/>
      <c r="C1414" s="189"/>
      <c r="D1414" s="259"/>
      <c r="E1414" s="186"/>
      <c r="F1414" s="187"/>
    </row>
    <row r="1415" spans="1:6" x14ac:dyDescent="0.2">
      <c r="A1415" s="275"/>
      <c r="B1415" s="78"/>
      <c r="C1415" s="189"/>
      <c r="D1415" s="259"/>
      <c r="E1415" s="186"/>
      <c r="F1415" s="187"/>
    </row>
    <row r="1416" spans="1:6" x14ac:dyDescent="0.2">
      <c r="A1416" s="275"/>
      <c r="B1416" s="78"/>
      <c r="C1416" s="189"/>
      <c r="D1416" s="259"/>
      <c r="E1416" s="186"/>
      <c r="F1416" s="187"/>
    </row>
    <row r="1417" spans="1:6" x14ac:dyDescent="0.2">
      <c r="A1417" s="275"/>
      <c r="B1417" s="78"/>
      <c r="C1417" s="189"/>
      <c r="D1417" s="259"/>
      <c r="E1417" s="186"/>
      <c r="F1417" s="187"/>
    </row>
    <row r="1418" spans="1:6" x14ac:dyDescent="0.2">
      <c r="A1418" s="275"/>
      <c r="B1418" s="78"/>
      <c r="C1418" s="189"/>
      <c r="D1418" s="259"/>
      <c r="E1418" s="186"/>
      <c r="F1418" s="187"/>
    </row>
    <row r="1419" spans="1:6" x14ac:dyDescent="0.2">
      <c r="A1419" s="275"/>
      <c r="B1419" s="78"/>
      <c r="C1419" s="189"/>
      <c r="D1419" s="259"/>
      <c r="E1419" s="186"/>
      <c r="F1419" s="187"/>
    </row>
    <row r="1420" spans="1:6" x14ac:dyDescent="0.2">
      <c r="A1420" s="275"/>
      <c r="B1420" s="78"/>
      <c r="C1420" s="189"/>
      <c r="D1420" s="259"/>
      <c r="E1420" s="186"/>
      <c r="F1420" s="187"/>
    </row>
    <row r="1421" spans="1:6" x14ac:dyDescent="0.2">
      <c r="A1421" s="275"/>
      <c r="B1421" s="78"/>
      <c r="C1421" s="189"/>
      <c r="D1421" s="259"/>
      <c r="E1421" s="186"/>
      <c r="F1421" s="187"/>
    </row>
    <row r="1422" spans="1:6" x14ac:dyDescent="0.2">
      <c r="A1422" s="275"/>
      <c r="B1422" s="78"/>
      <c r="C1422" s="189"/>
      <c r="D1422" s="259"/>
      <c r="E1422" s="186"/>
      <c r="F1422" s="187"/>
    </row>
    <row r="1423" spans="1:6" x14ac:dyDescent="0.2">
      <c r="A1423" s="275"/>
      <c r="B1423" s="78"/>
      <c r="C1423" s="189"/>
      <c r="D1423" s="259"/>
      <c r="E1423" s="186"/>
      <c r="F1423" s="187"/>
    </row>
    <row r="1424" spans="1:6" x14ac:dyDescent="0.2">
      <c r="A1424" s="275"/>
      <c r="B1424" s="78"/>
      <c r="C1424" s="189"/>
      <c r="D1424" s="259"/>
      <c r="E1424" s="186"/>
      <c r="F1424" s="187"/>
    </row>
    <row r="1425" spans="1:6" x14ac:dyDescent="0.2">
      <c r="A1425" s="275"/>
      <c r="B1425" s="78"/>
      <c r="C1425" s="189"/>
      <c r="D1425" s="259"/>
      <c r="E1425" s="186"/>
      <c r="F1425" s="187"/>
    </row>
    <row r="1426" spans="1:6" x14ac:dyDescent="0.2">
      <c r="A1426" s="275"/>
      <c r="B1426" s="78"/>
      <c r="C1426" s="189"/>
      <c r="D1426" s="259"/>
      <c r="E1426" s="186"/>
      <c r="F1426" s="187"/>
    </row>
    <row r="1427" spans="1:6" x14ac:dyDescent="0.2">
      <c r="A1427" s="275"/>
      <c r="B1427" s="78"/>
      <c r="C1427" s="189"/>
      <c r="D1427" s="259"/>
      <c r="E1427" s="186"/>
      <c r="F1427" s="187"/>
    </row>
    <row r="1428" spans="1:6" x14ac:dyDescent="0.2">
      <c r="A1428" s="275"/>
      <c r="B1428" s="78"/>
      <c r="C1428" s="189"/>
      <c r="D1428" s="259"/>
      <c r="E1428" s="186"/>
      <c r="F1428" s="187"/>
    </row>
    <row r="1429" spans="1:6" x14ac:dyDescent="0.2">
      <c r="A1429" s="275"/>
      <c r="B1429" s="78"/>
      <c r="C1429" s="189"/>
      <c r="D1429" s="259"/>
      <c r="E1429" s="186"/>
      <c r="F1429" s="187"/>
    </row>
    <row r="1430" spans="1:6" x14ac:dyDescent="0.2">
      <c r="A1430" s="275"/>
      <c r="B1430" s="78"/>
      <c r="C1430" s="189"/>
      <c r="D1430" s="259"/>
      <c r="E1430" s="186"/>
      <c r="F1430" s="187"/>
    </row>
    <row r="1431" spans="1:6" x14ac:dyDescent="0.2">
      <c r="A1431" s="275"/>
      <c r="B1431" s="78"/>
      <c r="C1431" s="189"/>
      <c r="D1431" s="259"/>
      <c r="E1431" s="186"/>
      <c r="F1431" s="187"/>
    </row>
    <row r="1432" spans="1:6" x14ac:dyDescent="0.2">
      <c r="A1432" s="275"/>
      <c r="B1432" s="78"/>
      <c r="C1432" s="189"/>
      <c r="D1432" s="259"/>
      <c r="E1432" s="186"/>
      <c r="F1432" s="187"/>
    </row>
    <row r="1433" spans="1:6" x14ac:dyDescent="0.2">
      <c r="A1433" s="275"/>
      <c r="B1433" s="78"/>
      <c r="C1433" s="189"/>
      <c r="D1433" s="259"/>
      <c r="E1433" s="186"/>
      <c r="F1433" s="187"/>
    </row>
    <row r="1434" spans="1:6" x14ac:dyDescent="0.2">
      <c r="A1434" s="275"/>
      <c r="B1434" s="78"/>
      <c r="C1434" s="189"/>
      <c r="D1434" s="259"/>
      <c r="E1434" s="186"/>
      <c r="F1434" s="187"/>
    </row>
    <row r="1435" spans="1:6" x14ac:dyDescent="0.2">
      <c r="A1435" s="275"/>
      <c r="B1435" s="78"/>
      <c r="C1435" s="189"/>
      <c r="D1435" s="259"/>
      <c r="E1435" s="186"/>
      <c r="F1435" s="187"/>
    </row>
    <row r="1436" spans="1:6" x14ac:dyDescent="0.2">
      <c r="A1436" s="275"/>
      <c r="B1436" s="78"/>
      <c r="C1436" s="189"/>
      <c r="D1436" s="259"/>
      <c r="E1436" s="186"/>
      <c r="F1436" s="187"/>
    </row>
    <row r="1437" spans="1:6" x14ac:dyDescent="0.2">
      <c r="A1437" s="275"/>
      <c r="B1437" s="78"/>
      <c r="C1437" s="189"/>
      <c r="D1437" s="259"/>
      <c r="E1437" s="186"/>
      <c r="F1437" s="187"/>
    </row>
    <row r="1438" spans="1:6" x14ac:dyDescent="0.2">
      <c r="A1438" s="275"/>
      <c r="B1438" s="78"/>
      <c r="C1438" s="189"/>
      <c r="D1438" s="259"/>
      <c r="E1438" s="186"/>
      <c r="F1438" s="187"/>
    </row>
    <row r="1439" spans="1:6" x14ac:dyDescent="0.2">
      <c r="A1439" s="275"/>
      <c r="B1439" s="78"/>
      <c r="C1439" s="189"/>
      <c r="D1439" s="259"/>
      <c r="E1439" s="186"/>
      <c r="F1439" s="187"/>
    </row>
    <row r="1440" spans="1:6" x14ac:dyDescent="0.2">
      <c r="A1440" s="275"/>
      <c r="B1440" s="78"/>
      <c r="C1440" s="189"/>
      <c r="D1440" s="259"/>
      <c r="E1440" s="186"/>
      <c r="F1440" s="187"/>
    </row>
    <row r="1441" spans="1:6" x14ac:dyDescent="0.2">
      <c r="A1441" s="275"/>
      <c r="B1441" s="78"/>
      <c r="C1441" s="189"/>
      <c r="D1441" s="259"/>
      <c r="E1441" s="186"/>
      <c r="F1441" s="187"/>
    </row>
    <row r="1442" spans="1:6" x14ac:dyDescent="0.2">
      <c r="A1442" s="275"/>
      <c r="B1442" s="78"/>
      <c r="C1442" s="189"/>
      <c r="D1442" s="259"/>
      <c r="E1442" s="186"/>
      <c r="F1442" s="187"/>
    </row>
    <row r="1443" spans="1:6" x14ac:dyDescent="0.2">
      <c r="A1443" s="275"/>
      <c r="B1443" s="78"/>
      <c r="C1443" s="189"/>
      <c r="D1443" s="259"/>
      <c r="E1443" s="186"/>
      <c r="F1443" s="187"/>
    </row>
    <row r="1444" spans="1:6" x14ac:dyDescent="0.2">
      <c r="A1444" s="275"/>
      <c r="B1444" s="78"/>
      <c r="C1444" s="189"/>
      <c r="D1444" s="259"/>
      <c r="E1444" s="186"/>
      <c r="F1444" s="187"/>
    </row>
    <row r="1445" spans="1:6" x14ac:dyDescent="0.2">
      <c r="A1445" s="275"/>
      <c r="B1445" s="78"/>
      <c r="C1445" s="189"/>
      <c r="D1445" s="259"/>
      <c r="E1445" s="186"/>
      <c r="F1445" s="187"/>
    </row>
    <row r="1446" spans="1:6" x14ac:dyDescent="0.2">
      <c r="A1446" s="275"/>
      <c r="B1446" s="78"/>
      <c r="C1446" s="189"/>
      <c r="D1446" s="259"/>
      <c r="E1446" s="186"/>
      <c r="F1446" s="187"/>
    </row>
    <row r="1447" spans="1:6" x14ac:dyDescent="0.2">
      <c r="A1447" s="275"/>
      <c r="B1447" s="78"/>
      <c r="C1447" s="189"/>
      <c r="D1447" s="259"/>
      <c r="E1447" s="186"/>
      <c r="F1447" s="187"/>
    </row>
    <row r="1448" spans="1:6" x14ac:dyDescent="0.2">
      <c r="A1448" s="275"/>
      <c r="B1448" s="78"/>
      <c r="C1448" s="189"/>
      <c r="D1448" s="259"/>
      <c r="E1448" s="186"/>
      <c r="F1448" s="187"/>
    </row>
    <row r="1449" spans="1:6" x14ac:dyDescent="0.2">
      <c r="A1449" s="275"/>
      <c r="B1449" s="78"/>
      <c r="C1449" s="189"/>
      <c r="D1449" s="259"/>
      <c r="E1449" s="186"/>
      <c r="F1449" s="187"/>
    </row>
    <row r="1450" spans="1:6" x14ac:dyDescent="0.2">
      <c r="A1450" s="275"/>
      <c r="B1450" s="78"/>
      <c r="C1450" s="189"/>
      <c r="D1450" s="259"/>
      <c r="E1450" s="186"/>
      <c r="F1450" s="187"/>
    </row>
    <row r="1451" spans="1:6" x14ac:dyDescent="0.2">
      <c r="A1451" s="275"/>
      <c r="B1451" s="78"/>
      <c r="C1451" s="189"/>
      <c r="D1451" s="259"/>
      <c r="E1451" s="186"/>
      <c r="F1451" s="187"/>
    </row>
    <row r="1452" spans="1:6" x14ac:dyDescent="0.2">
      <c r="A1452" s="275"/>
      <c r="B1452" s="78"/>
      <c r="C1452" s="189"/>
      <c r="D1452" s="259"/>
      <c r="E1452" s="186"/>
      <c r="F1452" s="187"/>
    </row>
    <row r="1453" spans="1:6" x14ac:dyDescent="0.2">
      <c r="A1453" s="275"/>
      <c r="B1453" s="78"/>
      <c r="C1453" s="189"/>
      <c r="D1453" s="259"/>
      <c r="E1453" s="186"/>
      <c r="F1453" s="187"/>
    </row>
    <row r="1454" spans="1:6" x14ac:dyDescent="0.2">
      <c r="A1454" s="275"/>
      <c r="B1454" s="78"/>
      <c r="C1454" s="189"/>
      <c r="D1454" s="259"/>
      <c r="E1454" s="186"/>
      <c r="F1454" s="187"/>
    </row>
    <row r="1455" spans="1:6" x14ac:dyDescent="0.2">
      <c r="A1455" s="275"/>
      <c r="B1455" s="78"/>
      <c r="C1455" s="189"/>
      <c r="D1455" s="259"/>
      <c r="E1455" s="186"/>
      <c r="F1455" s="187"/>
    </row>
    <row r="1456" spans="1:6" x14ac:dyDescent="0.2">
      <c r="A1456" s="275"/>
      <c r="B1456" s="78"/>
      <c r="C1456" s="189"/>
      <c r="D1456" s="259"/>
      <c r="E1456" s="186"/>
      <c r="F1456" s="187"/>
    </row>
    <row r="1457" spans="1:6" x14ac:dyDescent="0.2">
      <c r="A1457" s="275"/>
      <c r="B1457" s="78"/>
      <c r="C1457" s="189"/>
      <c r="D1457" s="259"/>
      <c r="E1457" s="186"/>
      <c r="F1457" s="187"/>
    </row>
    <row r="1458" spans="1:6" x14ac:dyDescent="0.2">
      <c r="A1458" s="275"/>
      <c r="B1458" s="78"/>
      <c r="C1458" s="189"/>
      <c r="D1458" s="259"/>
      <c r="E1458" s="186"/>
      <c r="F1458" s="187"/>
    </row>
    <row r="1459" spans="1:6" x14ac:dyDescent="0.2">
      <c r="A1459" s="275"/>
      <c r="B1459" s="78"/>
      <c r="C1459" s="189"/>
      <c r="D1459" s="259"/>
      <c r="E1459" s="186"/>
      <c r="F1459" s="187"/>
    </row>
    <row r="1460" spans="1:6" x14ac:dyDescent="0.2">
      <c r="A1460" s="275"/>
      <c r="B1460" s="78"/>
      <c r="C1460" s="189"/>
      <c r="D1460" s="259"/>
      <c r="E1460" s="186"/>
      <c r="F1460" s="187"/>
    </row>
    <row r="1461" spans="1:6" x14ac:dyDescent="0.2">
      <c r="A1461" s="275"/>
      <c r="B1461" s="78"/>
      <c r="C1461" s="189"/>
      <c r="D1461" s="259"/>
      <c r="E1461" s="186"/>
      <c r="F1461" s="187"/>
    </row>
    <row r="1462" spans="1:6" x14ac:dyDescent="0.2">
      <c r="A1462" s="275"/>
      <c r="B1462" s="78"/>
      <c r="C1462" s="189"/>
      <c r="D1462" s="259"/>
      <c r="E1462" s="186"/>
      <c r="F1462" s="187"/>
    </row>
    <row r="1463" spans="1:6" x14ac:dyDescent="0.2">
      <c r="A1463" s="275"/>
      <c r="B1463" s="78"/>
      <c r="C1463" s="189"/>
      <c r="D1463" s="259"/>
      <c r="E1463" s="186"/>
      <c r="F1463" s="187"/>
    </row>
    <row r="1464" spans="1:6" x14ac:dyDescent="0.2">
      <c r="A1464" s="275"/>
      <c r="B1464" s="78"/>
      <c r="C1464" s="189"/>
      <c r="D1464" s="259"/>
      <c r="E1464" s="186"/>
      <c r="F1464" s="187"/>
    </row>
    <row r="1465" spans="1:6" x14ac:dyDescent="0.2">
      <c r="A1465" s="275"/>
      <c r="B1465" s="78"/>
      <c r="C1465" s="189"/>
      <c r="D1465" s="259"/>
      <c r="E1465" s="186"/>
      <c r="F1465" s="187"/>
    </row>
    <row r="1466" spans="1:6" x14ac:dyDescent="0.2">
      <c r="A1466" s="275"/>
      <c r="B1466" s="78"/>
      <c r="C1466" s="189"/>
      <c r="D1466" s="259"/>
      <c r="E1466" s="186"/>
      <c r="F1466" s="187"/>
    </row>
    <row r="1467" spans="1:6" x14ac:dyDescent="0.2">
      <c r="A1467" s="275"/>
      <c r="B1467" s="78"/>
      <c r="C1467" s="189"/>
      <c r="D1467" s="259"/>
      <c r="E1467" s="186"/>
      <c r="F1467" s="187"/>
    </row>
    <row r="1468" spans="1:6" x14ac:dyDescent="0.2">
      <c r="A1468" s="275"/>
      <c r="B1468" s="78"/>
      <c r="C1468" s="189"/>
      <c r="D1468" s="259"/>
      <c r="E1468" s="186"/>
      <c r="F1468" s="187"/>
    </row>
    <row r="1469" spans="1:6" x14ac:dyDescent="0.2">
      <c r="A1469" s="275"/>
      <c r="B1469" s="78"/>
      <c r="C1469" s="189"/>
      <c r="D1469" s="259"/>
      <c r="E1469" s="186"/>
      <c r="F1469" s="187"/>
    </row>
    <row r="1470" spans="1:6" x14ac:dyDescent="0.2">
      <c r="A1470" s="275"/>
      <c r="B1470" s="78"/>
      <c r="C1470" s="189"/>
      <c r="D1470" s="259"/>
      <c r="E1470" s="186"/>
      <c r="F1470" s="187"/>
    </row>
    <row r="1471" spans="1:6" x14ac:dyDescent="0.2">
      <c r="A1471" s="275"/>
      <c r="B1471" s="78"/>
      <c r="C1471" s="189"/>
      <c r="D1471" s="259"/>
      <c r="E1471" s="186"/>
      <c r="F1471" s="187"/>
    </row>
    <row r="1472" spans="1:6" x14ac:dyDescent="0.2">
      <c r="A1472" s="275"/>
      <c r="B1472" s="78"/>
      <c r="C1472" s="189"/>
      <c r="D1472" s="259"/>
      <c r="E1472" s="186"/>
      <c r="F1472" s="187"/>
    </row>
    <row r="1473" spans="1:6" x14ac:dyDescent="0.2">
      <c r="A1473" s="275"/>
      <c r="B1473" s="78"/>
      <c r="C1473" s="189"/>
      <c r="D1473" s="259"/>
      <c r="E1473" s="186"/>
      <c r="F1473" s="187"/>
    </row>
    <row r="1474" spans="1:6" x14ac:dyDescent="0.2">
      <c r="A1474" s="275"/>
      <c r="B1474" s="78"/>
      <c r="C1474" s="189"/>
      <c r="D1474" s="259"/>
      <c r="E1474" s="186"/>
      <c r="F1474" s="187"/>
    </row>
    <row r="1475" spans="1:6" x14ac:dyDescent="0.2">
      <c r="A1475" s="275"/>
      <c r="B1475" s="78"/>
      <c r="C1475" s="189"/>
      <c r="D1475" s="259"/>
      <c r="E1475" s="186"/>
      <c r="F1475" s="187"/>
    </row>
    <row r="1476" spans="1:6" x14ac:dyDescent="0.2">
      <c r="A1476" s="275"/>
      <c r="B1476" s="78"/>
      <c r="C1476" s="189"/>
      <c r="D1476" s="259"/>
      <c r="E1476" s="186"/>
      <c r="F1476" s="187"/>
    </row>
    <row r="1477" spans="1:6" x14ac:dyDescent="0.2">
      <c r="A1477" s="275"/>
      <c r="B1477" s="78"/>
      <c r="C1477" s="189"/>
      <c r="D1477" s="259"/>
      <c r="E1477" s="186"/>
      <c r="F1477" s="187"/>
    </row>
    <row r="1478" spans="1:6" x14ac:dyDescent="0.2">
      <c r="A1478" s="275"/>
      <c r="B1478" s="78"/>
      <c r="C1478" s="189"/>
      <c r="D1478" s="259"/>
      <c r="E1478" s="186"/>
      <c r="F1478" s="187"/>
    </row>
    <row r="1479" spans="1:6" x14ac:dyDescent="0.2">
      <c r="A1479" s="275"/>
      <c r="B1479" s="78"/>
      <c r="C1479" s="189"/>
      <c r="D1479" s="259"/>
      <c r="E1479" s="186"/>
      <c r="F1479" s="187"/>
    </row>
    <row r="1480" spans="1:6" x14ac:dyDescent="0.2">
      <c r="A1480" s="275"/>
      <c r="B1480" s="78"/>
      <c r="C1480" s="189"/>
      <c r="D1480" s="259"/>
      <c r="E1480" s="186"/>
      <c r="F1480" s="187"/>
    </row>
    <row r="1481" spans="1:6" x14ac:dyDescent="0.2">
      <c r="A1481" s="275"/>
      <c r="B1481" s="78"/>
      <c r="C1481" s="189"/>
      <c r="D1481" s="259"/>
      <c r="E1481" s="186"/>
      <c r="F1481" s="187"/>
    </row>
    <row r="1482" spans="1:6" x14ac:dyDescent="0.2">
      <c r="A1482" s="275"/>
      <c r="B1482" s="78"/>
      <c r="C1482" s="189"/>
      <c r="D1482" s="259"/>
      <c r="E1482" s="186"/>
      <c r="F1482" s="187"/>
    </row>
    <row r="1483" spans="1:6" x14ac:dyDescent="0.2">
      <c r="A1483" s="275"/>
      <c r="B1483" s="78"/>
      <c r="C1483" s="189"/>
      <c r="D1483" s="259"/>
      <c r="E1483" s="186"/>
      <c r="F1483" s="187"/>
    </row>
    <row r="1484" spans="1:6" x14ac:dyDescent="0.2">
      <c r="A1484" s="275"/>
      <c r="B1484" s="78"/>
      <c r="C1484" s="189"/>
      <c r="D1484" s="259"/>
      <c r="E1484" s="186"/>
      <c r="F1484" s="187"/>
    </row>
    <row r="1485" spans="1:6" x14ac:dyDescent="0.2">
      <c r="A1485" s="275"/>
      <c r="B1485" s="78"/>
      <c r="C1485" s="189"/>
      <c r="D1485" s="259"/>
      <c r="E1485" s="186"/>
      <c r="F1485" s="187"/>
    </row>
    <row r="1486" spans="1:6" x14ac:dyDescent="0.2">
      <c r="A1486" s="275"/>
      <c r="B1486" s="78"/>
      <c r="C1486" s="189"/>
      <c r="D1486" s="259"/>
      <c r="E1486" s="186"/>
      <c r="F1486" s="187"/>
    </row>
    <row r="1487" spans="1:6" x14ac:dyDescent="0.2">
      <c r="A1487" s="275"/>
      <c r="B1487" s="78"/>
      <c r="C1487" s="189"/>
      <c r="D1487" s="259"/>
      <c r="E1487" s="186"/>
      <c r="F1487" s="187"/>
    </row>
    <row r="1488" spans="1:6" x14ac:dyDescent="0.2">
      <c r="A1488" s="275"/>
      <c r="B1488" s="78"/>
      <c r="C1488" s="189"/>
      <c r="D1488" s="259"/>
      <c r="E1488" s="186"/>
      <c r="F1488" s="187"/>
    </row>
    <row r="1489" spans="1:6" x14ac:dyDescent="0.2">
      <c r="A1489" s="275"/>
      <c r="B1489" s="78"/>
      <c r="C1489" s="189"/>
      <c r="D1489" s="259"/>
      <c r="E1489" s="186"/>
      <c r="F1489" s="187"/>
    </row>
    <row r="1490" spans="1:6" x14ac:dyDescent="0.2">
      <c r="A1490" s="275"/>
      <c r="B1490" s="78"/>
      <c r="C1490" s="189"/>
      <c r="D1490" s="259"/>
      <c r="E1490" s="186"/>
      <c r="F1490" s="187"/>
    </row>
    <row r="1491" spans="1:6" x14ac:dyDescent="0.2">
      <c r="A1491" s="275"/>
      <c r="B1491" s="78"/>
      <c r="C1491" s="189"/>
      <c r="D1491" s="259"/>
      <c r="E1491" s="186"/>
      <c r="F1491" s="187"/>
    </row>
    <row r="1492" spans="1:6" x14ac:dyDescent="0.2">
      <c r="A1492" s="275"/>
      <c r="B1492" s="78"/>
      <c r="C1492" s="189"/>
      <c r="D1492" s="259"/>
      <c r="E1492" s="186"/>
      <c r="F1492" s="187"/>
    </row>
    <row r="1493" spans="1:6" x14ac:dyDescent="0.2">
      <c r="A1493" s="275"/>
      <c r="B1493" s="78"/>
      <c r="C1493" s="189"/>
      <c r="D1493" s="259"/>
      <c r="E1493" s="186"/>
      <c r="F1493" s="187"/>
    </row>
    <row r="1494" spans="1:6" x14ac:dyDescent="0.2">
      <c r="A1494" s="275"/>
      <c r="B1494" s="78"/>
      <c r="C1494" s="189"/>
      <c r="D1494" s="259"/>
      <c r="E1494" s="186"/>
      <c r="F1494" s="187"/>
    </row>
    <row r="1495" spans="1:6" x14ac:dyDescent="0.2">
      <c r="A1495" s="275"/>
      <c r="B1495" s="78"/>
      <c r="C1495" s="189"/>
      <c r="D1495" s="259"/>
      <c r="E1495" s="186"/>
      <c r="F1495" s="187"/>
    </row>
    <row r="1496" spans="1:6" x14ac:dyDescent="0.2">
      <c r="A1496" s="275"/>
      <c r="B1496" s="78"/>
      <c r="C1496" s="189"/>
      <c r="D1496" s="259"/>
      <c r="E1496" s="186"/>
      <c r="F1496" s="187"/>
    </row>
    <row r="1497" spans="1:6" x14ac:dyDescent="0.2">
      <c r="A1497" s="275"/>
      <c r="B1497" s="78"/>
      <c r="C1497" s="189"/>
      <c r="D1497" s="259"/>
      <c r="E1497" s="186"/>
      <c r="F1497" s="187"/>
    </row>
    <row r="1498" spans="1:6" x14ac:dyDescent="0.2">
      <c r="A1498" s="275"/>
      <c r="B1498" s="78"/>
      <c r="C1498" s="189"/>
      <c r="D1498" s="259"/>
      <c r="E1498" s="186"/>
      <c r="F1498" s="187"/>
    </row>
    <row r="1499" spans="1:6" x14ac:dyDescent="0.2">
      <c r="A1499" s="275"/>
      <c r="B1499" s="78"/>
      <c r="C1499" s="189"/>
      <c r="D1499" s="259"/>
      <c r="E1499" s="186"/>
      <c r="F1499" s="187"/>
    </row>
    <row r="1500" spans="1:6" x14ac:dyDescent="0.2">
      <c r="A1500" s="275"/>
      <c r="B1500" s="78"/>
      <c r="C1500" s="189"/>
      <c r="D1500" s="259"/>
      <c r="E1500" s="186"/>
      <c r="F1500" s="187"/>
    </row>
    <row r="1501" spans="1:6" x14ac:dyDescent="0.2">
      <c r="A1501" s="275"/>
      <c r="B1501" s="78"/>
      <c r="C1501" s="189"/>
      <c r="D1501" s="259"/>
      <c r="E1501" s="186"/>
      <c r="F1501" s="187"/>
    </row>
    <row r="1502" spans="1:6" x14ac:dyDescent="0.2">
      <c r="A1502" s="275"/>
      <c r="B1502" s="78"/>
      <c r="C1502" s="189"/>
      <c r="D1502" s="259"/>
      <c r="E1502" s="186"/>
      <c r="F1502" s="187"/>
    </row>
    <row r="1503" spans="1:6" x14ac:dyDescent="0.2">
      <c r="A1503" s="275"/>
      <c r="B1503" s="78"/>
      <c r="C1503" s="189"/>
      <c r="D1503" s="259"/>
      <c r="E1503" s="186"/>
      <c r="F1503" s="187"/>
    </row>
    <row r="1504" spans="1:6" x14ac:dyDescent="0.2">
      <c r="A1504" s="275"/>
      <c r="B1504" s="78"/>
      <c r="C1504" s="189"/>
      <c r="D1504" s="259"/>
      <c r="E1504" s="186"/>
      <c r="F1504" s="187"/>
    </row>
    <row r="1505" spans="1:6" x14ac:dyDescent="0.2">
      <c r="A1505" s="275"/>
      <c r="B1505" s="78"/>
      <c r="C1505" s="189"/>
      <c r="D1505" s="259"/>
      <c r="E1505" s="186"/>
      <c r="F1505" s="187"/>
    </row>
    <row r="1506" spans="1:6" x14ac:dyDescent="0.2">
      <c r="A1506" s="275"/>
      <c r="B1506" s="78"/>
      <c r="C1506" s="189"/>
      <c r="D1506" s="259"/>
      <c r="E1506" s="186"/>
      <c r="F1506" s="187"/>
    </row>
    <row r="1507" spans="1:6" x14ac:dyDescent="0.2">
      <c r="A1507" s="275"/>
      <c r="B1507" s="78"/>
      <c r="C1507" s="189"/>
      <c r="D1507" s="259"/>
      <c r="E1507" s="186"/>
      <c r="F1507" s="187"/>
    </row>
    <row r="1508" spans="1:6" x14ac:dyDescent="0.2">
      <c r="A1508" s="275"/>
      <c r="B1508" s="78"/>
      <c r="C1508" s="189"/>
      <c r="D1508" s="259"/>
      <c r="E1508" s="186"/>
      <c r="F1508" s="187"/>
    </row>
    <row r="1509" spans="1:6" x14ac:dyDescent="0.2">
      <c r="A1509" s="275"/>
      <c r="B1509" s="78"/>
      <c r="C1509" s="189"/>
      <c r="D1509" s="259"/>
      <c r="E1509" s="186"/>
      <c r="F1509" s="187"/>
    </row>
    <row r="1510" spans="1:6" x14ac:dyDescent="0.2">
      <c r="A1510" s="275"/>
      <c r="B1510" s="78"/>
      <c r="C1510" s="189"/>
      <c r="D1510" s="259"/>
      <c r="E1510" s="186"/>
      <c r="F1510" s="187"/>
    </row>
    <row r="1511" spans="1:6" x14ac:dyDescent="0.2">
      <c r="A1511" s="275"/>
      <c r="B1511" s="78"/>
      <c r="C1511" s="189"/>
      <c r="D1511" s="259"/>
      <c r="E1511" s="186"/>
      <c r="F1511" s="187"/>
    </row>
    <row r="1512" spans="1:6" x14ac:dyDescent="0.2">
      <c r="A1512" s="275"/>
      <c r="B1512" s="78"/>
      <c r="C1512" s="189"/>
      <c r="D1512" s="259"/>
      <c r="E1512" s="186"/>
      <c r="F1512" s="187"/>
    </row>
    <row r="1513" spans="1:6" x14ac:dyDescent="0.2">
      <c r="A1513" s="275"/>
      <c r="B1513" s="78"/>
      <c r="C1513" s="189"/>
      <c r="D1513" s="259"/>
      <c r="E1513" s="186"/>
      <c r="F1513" s="187"/>
    </row>
    <row r="1514" spans="1:6" x14ac:dyDescent="0.2">
      <c r="A1514" s="275"/>
      <c r="B1514" s="78"/>
      <c r="C1514" s="189"/>
      <c r="D1514" s="259"/>
      <c r="E1514" s="186"/>
      <c r="F1514" s="187"/>
    </row>
    <row r="1515" spans="1:6" x14ac:dyDescent="0.2">
      <c r="A1515" s="275"/>
      <c r="B1515" s="78"/>
      <c r="C1515" s="189"/>
      <c r="D1515" s="259"/>
      <c r="E1515" s="186"/>
      <c r="F1515" s="187"/>
    </row>
    <row r="1516" spans="1:6" x14ac:dyDescent="0.2">
      <c r="A1516" s="275"/>
      <c r="B1516" s="78"/>
      <c r="C1516" s="189"/>
      <c r="D1516" s="259"/>
      <c r="E1516" s="186"/>
      <c r="F1516" s="187"/>
    </row>
    <row r="1517" spans="1:6" x14ac:dyDescent="0.2">
      <c r="A1517" s="275"/>
      <c r="B1517" s="78"/>
      <c r="C1517" s="189"/>
      <c r="D1517" s="259"/>
      <c r="E1517" s="186"/>
      <c r="F1517" s="187"/>
    </row>
    <row r="1518" spans="1:6" x14ac:dyDescent="0.2">
      <c r="A1518" s="275"/>
      <c r="B1518" s="78"/>
      <c r="C1518" s="189"/>
      <c r="D1518" s="259"/>
      <c r="E1518" s="186"/>
      <c r="F1518" s="187"/>
    </row>
    <row r="1519" spans="1:6" x14ac:dyDescent="0.2">
      <c r="A1519" s="275"/>
      <c r="B1519" s="78"/>
      <c r="C1519" s="189"/>
      <c r="D1519" s="259"/>
      <c r="E1519" s="186"/>
      <c r="F1519" s="187"/>
    </row>
    <row r="1520" spans="1:6" x14ac:dyDescent="0.2">
      <c r="A1520" s="275"/>
      <c r="B1520" s="78"/>
      <c r="C1520" s="189"/>
      <c r="D1520" s="259"/>
      <c r="E1520" s="186"/>
      <c r="F1520" s="187"/>
    </row>
    <row r="1521" spans="1:6" x14ac:dyDescent="0.2">
      <c r="A1521" s="275"/>
      <c r="B1521" s="78"/>
      <c r="C1521" s="189"/>
      <c r="D1521" s="259"/>
      <c r="E1521" s="186"/>
      <c r="F1521" s="187"/>
    </row>
    <row r="1522" spans="1:6" x14ac:dyDescent="0.2">
      <c r="A1522" s="275"/>
      <c r="B1522" s="78"/>
      <c r="C1522" s="189"/>
      <c r="D1522" s="259"/>
      <c r="E1522" s="186"/>
      <c r="F1522" s="187"/>
    </row>
    <row r="1523" spans="1:6" x14ac:dyDescent="0.2">
      <c r="A1523" s="275"/>
      <c r="B1523" s="78"/>
      <c r="C1523" s="189"/>
      <c r="D1523" s="259"/>
      <c r="E1523" s="186"/>
      <c r="F1523" s="187"/>
    </row>
    <row r="1524" spans="1:6" x14ac:dyDescent="0.2">
      <c r="A1524" s="275"/>
      <c r="B1524" s="78"/>
      <c r="C1524" s="189"/>
      <c r="D1524" s="259"/>
      <c r="E1524" s="186"/>
      <c r="F1524" s="187"/>
    </row>
    <row r="1525" spans="1:6" x14ac:dyDescent="0.2">
      <c r="A1525" s="275"/>
      <c r="B1525" s="78"/>
      <c r="C1525" s="189"/>
      <c r="D1525" s="259"/>
      <c r="E1525" s="186"/>
      <c r="F1525" s="187"/>
    </row>
    <row r="1526" spans="1:6" x14ac:dyDescent="0.2">
      <c r="A1526" s="275"/>
      <c r="B1526" s="78"/>
      <c r="C1526" s="189"/>
      <c r="D1526" s="259"/>
      <c r="E1526" s="186"/>
      <c r="F1526" s="187"/>
    </row>
    <row r="1527" spans="1:6" x14ac:dyDescent="0.2">
      <c r="A1527" s="275"/>
      <c r="B1527" s="78"/>
      <c r="C1527" s="189"/>
      <c r="D1527" s="259"/>
      <c r="E1527" s="186"/>
      <c r="F1527" s="187"/>
    </row>
    <row r="1528" spans="1:6" x14ac:dyDescent="0.2">
      <c r="A1528" s="275"/>
      <c r="B1528" s="78"/>
      <c r="C1528" s="189"/>
      <c r="D1528" s="259"/>
      <c r="E1528" s="186"/>
      <c r="F1528" s="187"/>
    </row>
    <row r="1529" spans="1:6" x14ac:dyDescent="0.2">
      <c r="A1529" s="275"/>
      <c r="B1529" s="78"/>
      <c r="C1529" s="189"/>
      <c r="D1529" s="259"/>
      <c r="E1529" s="186"/>
      <c r="F1529" s="187"/>
    </row>
    <row r="1530" spans="1:6" x14ac:dyDescent="0.2">
      <c r="A1530" s="275"/>
      <c r="B1530" s="78"/>
      <c r="C1530" s="189"/>
      <c r="D1530" s="259"/>
      <c r="E1530" s="186"/>
      <c r="F1530" s="187"/>
    </row>
    <row r="1531" spans="1:6" x14ac:dyDescent="0.2">
      <c r="A1531" s="275"/>
      <c r="B1531" s="78"/>
      <c r="C1531" s="189"/>
      <c r="D1531" s="259"/>
      <c r="E1531" s="186"/>
      <c r="F1531" s="187"/>
    </row>
    <row r="1532" spans="1:6" x14ac:dyDescent="0.2">
      <c r="A1532" s="275"/>
      <c r="B1532" s="78"/>
      <c r="C1532" s="189"/>
      <c r="D1532" s="259"/>
      <c r="E1532" s="186"/>
      <c r="F1532" s="187"/>
    </row>
    <row r="1533" spans="1:6" x14ac:dyDescent="0.2">
      <c r="A1533" s="275"/>
      <c r="B1533" s="78"/>
      <c r="C1533" s="189"/>
      <c r="D1533" s="259"/>
      <c r="E1533" s="186"/>
      <c r="F1533" s="187"/>
    </row>
    <row r="1534" spans="1:6" x14ac:dyDescent="0.2">
      <c r="A1534" s="275"/>
      <c r="B1534" s="78"/>
      <c r="C1534" s="189"/>
      <c r="D1534" s="259"/>
      <c r="E1534" s="186"/>
      <c r="F1534" s="187"/>
    </row>
    <row r="1535" spans="1:6" x14ac:dyDescent="0.2">
      <c r="A1535" s="275"/>
      <c r="B1535" s="78"/>
      <c r="C1535" s="189"/>
      <c r="D1535" s="259"/>
      <c r="E1535" s="186"/>
      <c r="F1535" s="187"/>
    </row>
    <row r="1536" spans="1:6" x14ac:dyDescent="0.2">
      <c r="A1536" s="275"/>
      <c r="B1536" s="78"/>
      <c r="C1536" s="189"/>
      <c r="D1536" s="259"/>
      <c r="E1536" s="186"/>
      <c r="F1536" s="187"/>
    </row>
    <row r="1537" spans="1:6" x14ac:dyDescent="0.2">
      <c r="A1537" s="275"/>
      <c r="B1537" s="78"/>
      <c r="C1537" s="189"/>
      <c r="D1537" s="259"/>
      <c r="E1537" s="186"/>
      <c r="F1537" s="187"/>
    </row>
    <row r="1538" spans="1:6" x14ac:dyDescent="0.2">
      <c r="A1538" s="275"/>
      <c r="B1538" s="78"/>
      <c r="C1538" s="189"/>
      <c r="D1538" s="259"/>
      <c r="E1538" s="186"/>
      <c r="F1538" s="187"/>
    </row>
    <row r="1539" spans="1:6" x14ac:dyDescent="0.2">
      <c r="A1539" s="275"/>
      <c r="B1539" s="78"/>
      <c r="C1539" s="189"/>
      <c r="D1539" s="259"/>
      <c r="E1539" s="186"/>
      <c r="F1539" s="187"/>
    </row>
    <row r="1540" spans="1:6" x14ac:dyDescent="0.2">
      <c r="A1540" s="275"/>
      <c r="B1540" s="78"/>
      <c r="C1540" s="189"/>
      <c r="D1540" s="259"/>
      <c r="E1540" s="186"/>
      <c r="F1540" s="187"/>
    </row>
    <row r="1541" spans="1:6" x14ac:dyDescent="0.2">
      <c r="A1541" s="275"/>
      <c r="B1541" s="78"/>
      <c r="C1541" s="189"/>
      <c r="D1541" s="259"/>
      <c r="E1541" s="186"/>
      <c r="F1541" s="187"/>
    </row>
    <row r="1542" spans="1:6" x14ac:dyDescent="0.2">
      <c r="A1542" s="275"/>
      <c r="B1542" s="78"/>
      <c r="C1542" s="189"/>
      <c r="D1542" s="259"/>
      <c r="E1542" s="186"/>
      <c r="F1542" s="187"/>
    </row>
    <row r="1543" spans="1:6" x14ac:dyDescent="0.2">
      <c r="A1543" s="275"/>
      <c r="B1543" s="78"/>
      <c r="C1543" s="189"/>
      <c r="D1543" s="259"/>
      <c r="E1543" s="186"/>
      <c r="F1543" s="187"/>
    </row>
    <row r="1544" spans="1:6" x14ac:dyDescent="0.2">
      <c r="A1544" s="275"/>
      <c r="B1544" s="78"/>
      <c r="C1544" s="189"/>
      <c r="D1544" s="259"/>
      <c r="E1544" s="186"/>
      <c r="F1544" s="187"/>
    </row>
    <row r="1545" spans="1:6" x14ac:dyDescent="0.2">
      <c r="A1545" s="275"/>
      <c r="B1545" s="78"/>
      <c r="C1545" s="189"/>
      <c r="D1545" s="259"/>
      <c r="E1545" s="186"/>
      <c r="F1545" s="187"/>
    </row>
    <row r="1546" spans="1:6" x14ac:dyDescent="0.2">
      <c r="A1546" s="275"/>
      <c r="B1546" s="78"/>
      <c r="C1546" s="189"/>
      <c r="D1546" s="259"/>
      <c r="E1546" s="186"/>
      <c r="F1546" s="187"/>
    </row>
    <row r="1547" spans="1:6" x14ac:dyDescent="0.2">
      <c r="A1547" s="275"/>
      <c r="B1547" s="78"/>
      <c r="C1547" s="189"/>
      <c r="D1547" s="259"/>
      <c r="E1547" s="186"/>
      <c r="F1547" s="187"/>
    </row>
    <row r="1548" spans="1:6" x14ac:dyDescent="0.2">
      <c r="A1548" s="275"/>
      <c r="B1548" s="78"/>
      <c r="C1548" s="189"/>
      <c r="D1548" s="259"/>
      <c r="E1548" s="186"/>
      <c r="F1548" s="187"/>
    </row>
    <row r="1549" spans="1:6" x14ac:dyDescent="0.2">
      <c r="A1549" s="275"/>
      <c r="B1549" s="78"/>
      <c r="C1549" s="189"/>
      <c r="D1549" s="259"/>
      <c r="E1549" s="186"/>
      <c r="F1549" s="187"/>
    </row>
    <row r="1550" spans="1:6" x14ac:dyDescent="0.2">
      <c r="A1550" s="275"/>
      <c r="B1550" s="78"/>
      <c r="C1550" s="189"/>
      <c r="D1550" s="259"/>
      <c r="E1550" s="186"/>
      <c r="F1550" s="187"/>
    </row>
    <row r="1551" spans="1:6" x14ac:dyDescent="0.2">
      <c r="A1551" s="275"/>
      <c r="B1551" s="78"/>
      <c r="C1551" s="189"/>
      <c r="D1551" s="259"/>
      <c r="E1551" s="186"/>
      <c r="F1551" s="187"/>
    </row>
    <row r="1552" spans="1:6" x14ac:dyDescent="0.2">
      <c r="A1552" s="275"/>
      <c r="B1552" s="78"/>
      <c r="C1552" s="189"/>
      <c r="D1552" s="259"/>
      <c r="E1552" s="186"/>
      <c r="F1552" s="187"/>
    </row>
    <row r="1553" spans="1:6" x14ac:dyDescent="0.2">
      <c r="A1553" s="275"/>
      <c r="B1553" s="78"/>
      <c r="C1553" s="189"/>
      <c r="D1553" s="259"/>
      <c r="E1553" s="186"/>
      <c r="F1553" s="187"/>
    </row>
    <row r="1554" spans="1:6" x14ac:dyDescent="0.2">
      <c r="A1554" s="275"/>
      <c r="B1554" s="78"/>
      <c r="C1554" s="189"/>
      <c r="D1554" s="259"/>
      <c r="E1554" s="186"/>
      <c r="F1554" s="187"/>
    </row>
    <row r="1555" spans="1:6" x14ac:dyDescent="0.2">
      <c r="A1555" s="275"/>
      <c r="B1555" s="78"/>
      <c r="C1555" s="189"/>
      <c r="D1555" s="259"/>
      <c r="E1555" s="186"/>
      <c r="F1555" s="187"/>
    </row>
    <row r="1556" spans="1:6" x14ac:dyDescent="0.2">
      <c r="A1556" s="275"/>
      <c r="B1556" s="78"/>
      <c r="C1556" s="189"/>
      <c r="D1556" s="259"/>
      <c r="E1556" s="186"/>
      <c r="F1556" s="187"/>
    </row>
    <row r="1557" spans="1:6" x14ac:dyDescent="0.2">
      <c r="A1557" s="275"/>
      <c r="B1557" s="78"/>
      <c r="C1557" s="189"/>
      <c r="D1557" s="259"/>
      <c r="E1557" s="186"/>
      <c r="F1557" s="187"/>
    </row>
    <row r="1558" spans="1:6" x14ac:dyDescent="0.2">
      <c r="A1558" s="275"/>
      <c r="B1558" s="78"/>
      <c r="C1558" s="189"/>
      <c r="D1558" s="259"/>
      <c r="E1558" s="186"/>
      <c r="F1558" s="187"/>
    </row>
    <row r="1559" spans="1:6" x14ac:dyDescent="0.2">
      <c r="A1559" s="275"/>
      <c r="B1559" s="78"/>
      <c r="C1559" s="189"/>
      <c r="D1559" s="259"/>
      <c r="E1559" s="186"/>
      <c r="F1559" s="187"/>
    </row>
    <row r="1560" spans="1:6" x14ac:dyDescent="0.2">
      <c r="A1560" s="275"/>
      <c r="B1560" s="78"/>
      <c r="C1560" s="189"/>
      <c r="D1560" s="259"/>
      <c r="E1560" s="186"/>
      <c r="F1560" s="187"/>
    </row>
    <row r="1561" spans="1:6" x14ac:dyDescent="0.2">
      <c r="A1561" s="275"/>
      <c r="B1561" s="78"/>
      <c r="C1561" s="189"/>
      <c r="D1561" s="259"/>
      <c r="E1561" s="186"/>
      <c r="F1561" s="187"/>
    </row>
    <row r="1562" spans="1:6" x14ac:dyDescent="0.2">
      <c r="A1562" s="275"/>
      <c r="B1562" s="78"/>
      <c r="C1562" s="189"/>
      <c r="D1562" s="259"/>
      <c r="E1562" s="186"/>
      <c r="F1562" s="187"/>
    </row>
    <row r="1563" spans="1:6" x14ac:dyDescent="0.2">
      <c r="A1563" s="275"/>
      <c r="B1563" s="78"/>
      <c r="C1563" s="189"/>
      <c r="D1563" s="259"/>
      <c r="E1563" s="186"/>
      <c r="F1563" s="187"/>
    </row>
    <row r="1564" spans="1:6" x14ac:dyDescent="0.2">
      <c r="A1564" s="275"/>
      <c r="B1564" s="78"/>
      <c r="C1564" s="189"/>
      <c r="D1564" s="259"/>
      <c r="E1564" s="186"/>
      <c r="F1564" s="187"/>
    </row>
    <row r="1565" spans="1:6" x14ac:dyDescent="0.2">
      <c r="A1565" s="275"/>
      <c r="B1565" s="78"/>
      <c r="C1565" s="189"/>
      <c r="D1565" s="259"/>
      <c r="E1565" s="186"/>
      <c r="F1565" s="187"/>
    </row>
    <row r="1566" spans="1:6" x14ac:dyDescent="0.2">
      <c r="A1566" s="275"/>
      <c r="B1566" s="78"/>
      <c r="C1566" s="189"/>
      <c r="D1566" s="259"/>
      <c r="E1566" s="186"/>
      <c r="F1566" s="187"/>
    </row>
    <row r="1567" spans="1:6" x14ac:dyDescent="0.2">
      <c r="A1567" s="275"/>
      <c r="B1567" s="78"/>
      <c r="C1567" s="189"/>
      <c r="D1567" s="259"/>
      <c r="E1567" s="186"/>
      <c r="F1567" s="187"/>
    </row>
    <row r="1568" spans="1:6" x14ac:dyDescent="0.2">
      <c r="A1568" s="275"/>
      <c r="B1568" s="78"/>
      <c r="C1568" s="189"/>
      <c r="D1568" s="259"/>
      <c r="E1568" s="186"/>
      <c r="F1568" s="187"/>
    </row>
    <row r="1569" spans="1:6" x14ac:dyDescent="0.2">
      <c r="A1569" s="275"/>
      <c r="B1569" s="78"/>
      <c r="C1569" s="189"/>
      <c r="D1569" s="259"/>
      <c r="E1569" s="186"/>
      <c r="F1569" s="187"/>
    </row>
    <row r="1570" spans="1:6" x14ac:dyDescent="0.2">
      <c r="A1570" s="275"/>
      <c r="B1570" s="78"/>
      <c r="C1570" s="189"/>
      <c r="D1570" s="259"/>
      <c r="E1570" s="186"/>
      <c r="F1570" s="187"/>
    </row>
    <row r="1571" spans="1:6" x14ac:dyDescent="0.2">
      <c r="A1571" s="275"/>
      <c r="B1571" s="78"/>
      <c r="C1571" s="189"/>
      <c r="D1571" s="259"/>
      <c r="E1571" s="186"/>
      <c r="F1571" s="187"/>
    </row>
    <row r="1572" spans="1:6" x14ac:dyDescent="0.2">
      <c r="A1572" s="275"/>
      <c r="B1572" s="78"/>
      <c r="C1572" s="189"/>
      <c r="D1572" s="259"/>
      <c r="E1572" s="186"/>
      <c r="F1572" s="187"/>
    </row>
    <row r="1573" spans="1:6" x14ac:dyDescent="0.2">
      <c r="A1573" s="275"/>
      <c r="B1573" s="78"/>
      <c r="C1573" s="189"/>
      <c r="D1573" s="259"/>
      <c r="E1573" s="186"/>
      <c r="F1573" s="187"/>
    </row>
    <row r="1574" spans="1:6" x14ac:dyDescent="0.2">
      <c r="A1574" s="275"/>
      <c r="B1574" s="78"/>
      <c r="C1574" s="189"/>
      <c r="D1574" s="259"/>
      <c r="E1574" s="186"/>
      <c r="F1574" s="187"/>
    </row>
    <row r="1575" spans="1:6" x14ac:dyDescent="0.2">
      <c r="A1575" s="275"/>
      <c r="B1575" s="78"/>
      <c r="C1575" s="189"/>
      <c r="D1575" s="259"/>
      <c r="E1575" s="186"/>
      <c r="F1575" s="187"/>
    </row>
    <row r="1576" spans="1:6" x14ac:dyDescent="0.2">
      <c r="A1576" s="275"/>
      <c r="B1576" s="78"/>
      <c r="C1576" s="189"/>
      <c r="D1576" s="259"/>
      <c r="E1576" s="186"/>
      <c r="F1576" s="187"/>
    </row>
    <row r="1577" spans="1:6" x14ac:dyDescent="0.2">
      <c r="A1577" s="275"/>
      <c r="B1577" s="78"/>
      <c r="C1577" s="189"/>
      <c r="D1577" s="259"/>
      <c r="E1577" s="186"/>
      <c r="F1577" s="187"/>
    </row>
    <row r="1578" spans="1:6" x14ac:dyDescent="0.2">
      <c r="A1578" s="275"/>
      <c r="B1578" s="78"/>
      <c r="C1578" s="189"/>
      <c r="D1578" s="259"/>
      <c r="E1578" s="186"/>
      <c r="F1578" s="187"/>
    </row>
    <row r="1579" spans="1:6" x14ac:dyDescent="0.2">
      <c r="A1579" s="275"/>
      <c r="B1579" s="78"/>
      <c r="C1579" s="189"/>
      <c r="D1579" s="259"/>
      <c r="E1579" s="186"/>
      <c r="F1579" s="187"/>
    </row>
    <row r="1580" spans="1:6" x14ac:dyDescent="0.2">
      <c r="A1580" s="275"/>
      <c r="B1580" s="78"/>
      <c r="C1580" s="189"/>
      <c r="D1580" s="259"/>
      <c r="E1580" s="186"/>
      <c r="F1580" s="187"/>
    </row>
    <row r="1581" spans="1:6" x14ac:dyDescent="0.2">
      <c r="A1581" s="275"/>
      <c r="B1581" s="78"/>
      <c r="C1581" s="189"/>
      <c r="D1581" s="259"/>
      <c r="E1581" s="186"/>
      <c r="F1581" s="187"/>
    </row>
    <row r="1582" spans="1:6" x14ac:dyDescent="0.2">
      <c r="A1582" s="275"/>
      <c r="B1582" s="78"/>
      <c r="C1582" s="189"/>
      <c r="D1582" s="259"/>
      <c r="E1582" s="186"/>
      <c r="F1582" s="187"/>
    </row>
    <row r="1583" spans="1:6" x14ac:dyDescent="0.2">
      <c r="A1583" s="275"/>
      <c r="B1583" s="78"/>
      <c r="C1583" s="189"/>
      <c r="D1583" s="259"/>
      <c r="E1583" s="186"/>
      <c r="F1583" s="187"/>
    </row>
    <row r="1584" spans="1:6" x14ac:dyDescent="0.2">
      <c r="A1584" s="275"/>
      <c r="B1584" s="78"/>
      <c r="C1584" s="189"/>
      <c r="D1584" s="259"/>
      <c r="E1584" s="186"/>
      <c r="F1584" s="187"/>
    </row>
    <row r="1585" spans="1:6" x14ac:dyDescent="0.2">
      <c r="A1585" s="275"/>
      <c r="B1585" s="78"/>
      <c r="C1585" s="189"/>
      <c r="D1585" s="259"/>
      <c r="E1585" s="186"/>
      <c r="F1585" s="187"/>
    </row>
    <row r="1586" spans="1:6" x14ac:dyDescent="0.2">
      <c r="A1586" s="275"/>
      <c r="B1586" s="78"/>
      <c r="C1586" s="189"/>
      <c r="D1586" s="259"/>
      <c r="E1586" s="186"/>
      <c r="F1586" s="187"/>
    </row>
    <row r="1587" spans="1:6" x14ac:dyDescent="0.2">
      <c r="A1587" s="275"/>
      <c r="B1587" s="78"/>
      <c r="C1587" s="189"/>
      <c r="D1587" s="259"/>
      <c r="E1587" s="186"/>
      <c r="F1587" s="187"/>
    </row>
    <row r="1588" spans="1:6" x14ac:dyDescent="0.2">
      <c r="A1588" s="275"/>
      <c r="B1588" s="78"/>
      <c r="C1588" s="189"/>
      <c r="D1588" s="259"/>
      <c r="E1588" s="186"/>
      <c r="F1588" s="187"/>
    </row>
    <row r="1589" spans="1:6" x14ac:dyDescent="0.2">
      <c r="A1589" s="275"/>
      <c r="B1589" s="78"/>
      <c r="C1589" s="189"/>
      <c r="D1589" s="259"/>
      <c r="E1589" s="186"/>
      <c r="F1589" s="187"/>
    </row>
    <row r="1590" spans="1:6" x14ac:dyDescent="0.2">
      <c r="A1590" s="275"/>
      <c r="B1590" s="78"/>
      <c r="C1590" s="189"/>
      <c r="D1590" s="259"/>
      <c r="E1590" s="186"/>
      <c r="F1590" s="187"/>
    </row>
    <row r="1591" spans="1:6" x14ac:dyDescent="0.2">
      <c r="A1591" s="275"/>
      <c r="B1591" s="78"/>
      <c r="C1591" s="189"/>
      <c r="D1591" s="259"/>
      <c r="E1591" s="186"/>
      <c r="F1591" s="187"/>
    </row>
    <row r="1592" spans="1:6" x14ac:dyDescent="0.2">
      <c r="A1592" s="275"/>
      <c r="B1592" s="78"/>
      <c r="C1592" s="189"/>
      <c r="D1592" s="259"/>
      <c r="E1592" s="186"/>
      <c r="F1592" s="187"/>
    </row>
    <row r="1593" spans="1:6" x14ac:dyDescent="0.2">
      <c r="A1593" s="275"/>
      <c r="B1593" s="78"/>
      <c r="C1593" s="189"/>
      <c r="D1593" s="259"/>
      <c r="E1593" s="186"/>
      <c r="F1593" s="187"/>
    </row>
    <row r="1594" spans="1:6" x14ac:dyDescent="0.2">
      <c r="A1594" s="275"/>
      <c r="B1594" s="78"/>
      <c r="C1594" s="189"/>
      <c r="D1594" s="259"/>
      <c r="E1594" s="186"/>
      <c r="F1594" s="187"/>
    </row>
    <row r="1595" spans="1:6" x14ac:dyDescent="0.2">
      <c r="A1595" s="275"/>
      <c r="B1595" s="78"/>
      <c r="C1595" s="189"/>
      <c r="D1595" s="259"/>
      <c r="E1595" s="186"/>
      <c r="F1595" s="187"/>
    </row>
    <row r="1596" spans="1:6" x14ac:dyDescent="0.2">
      <c r="A1596" s="275"/>
      <c r="B1596" s="78"/>
      <c r="C1596" s="189"/>
      <c r="D1596" s="259"/>
      <c r="E1596" s="186"/>
      <c r="F1596" s="187"/>
    </row>
    <row r="1597" spans="1:6" x14ac:dyDescent="0.2">
      <c r="A1597" s="275"/>
      <c r="B1597" s="78"/>
      <c r="C1597" s="189"/>
      <c r="D1597" s="259"/>
      <c r="E1597" s="186"/>
      <c r="F1597" s="187"/>
    </row>
    <row r="1598" spans="1:6" x14ac:dyDescent="0.2">
      <c r="A1598" s="275"/>
      <c r="B1598" s="78"/>
      <c r="C1598" s="189"/>
      <c r="D1598" s="259"/>
      <c r="E1598" s="186"/>
      <c r="F1598" s="187"/>
    </row>
    <row r="1599" spans="1:6" x14ac:dyDescent="0.2">
      <c r="A1599" s="275"/>
      <c r="B1599" s="78"/>
      <c r="C1599" s="189"/>
      <c r="D1599" s="259"/>
      <c r="E1599" s="186"/>
      <c r="F1599" s="187"/>
    </row>
    <row r="1600" spans="1:6" x14ac:dyDescent="0.2">
      <c r="A1600" s="275"/>
      <c r="B1600" s="78"/>
      <c r="C1600" s="189"/>
      <c r="D1600" s="259"/>
      <c r="E1600" s="186"/>
      <c r="F1600" s="187"/>
    </row>
    <row r="1601" spans="1:6" x14ac:dyDescent="0.2">
      <c r="A1601" s="275"/>
      <c r="B1601" s="78"/>
      <c r="C1601" s="189"/>
      <c r="D1601" s="259"/>
      <c r="E1601" s="186"/>
      <c r="F1601" s="187"/>
    </row>
    <row r="1602" spans="1:6" x14ac:dyDescent="0.2">
      <c r="A1602" s="275"/>
      <c r="B1602" s="78"/>
      <c r="C1602" s="189"/>
      <c r="D1602" s="259"/>
      <c r="E1602" s="186"/>
      <c r="F1602" s="187"/>
    </row>
    <row r="1603" spans="1:6" x14ac:dyDescent="0.2">
      <c r="A1603" s="275"/>
      <c r="B1603" s="78"/>
      <c r="C1603" s="189"/>
      <c r="D1603" s="259"/>
      <c r="E1603" s="186"/>
      <c r="F1603" s="187"/>
    </row>
    <row r="1604" spans="1:6" x14ac:dyDescent="0.2">
      <c r="A1604" s="275"/>
      <c r="B1604" s="78"/>
      <c r="C1604" s="189"/>
      <c r="D1604" s="259"/>
      <c r="E1604" s="186"/>
      <c r="F1604" s="187"/>
    </row>
    <row r="1605" spans="1:6" x14ac:dyDescent="0.2">
      <c r="A1605" s="275"/>
      <c r="B1605" s="78"/>
      <c r="C1605" s="189"/>
      <c r="D1605" s="259"/>
      <c r="E1605" s="186"/>
      <c r="F1605" s="187"/>
    </row>
    <row r="1606" spans="1:6" x14ac:dyDescent="0.2">
      <c r="A1606" s="275"/>
      <c r="B1606" s="78"/>
      <c r="C1606" s="189"/>
      <c r="D1606" s="259"/>
      <c r="E1606" s="186"/>
      <c r="F1606" s="187"/>
    </row>
    <row r="1607" spans="1:6" x14ac:dyDescent="0.2">
      <c r="A1607" s="275"/>
      <c r="B1607" s="78"/>
      <c r="C1607" s="189"/>
      <c r="D1607" s="259"/>
      <c r="E1607" s="186"/>
      <c r="F1607" s="187"/>
    </row>
    <row r="1608" spans="1:6" x14ac:dyDescent="0.2">
      <c r="A1608" s="275"/>
      <c r="B1608" s="78"/>
      <c r="C1608" s="189"/>
      <c r="D1608" s="259"/>
      <c r="E1608" s="186"/>
      <c r="F1608" s="187"/>
    </row>
    <row r="1609" spans="1:6" x14ac:dyDescent="0.2">
      <c r="A1609" s="275"/>
      <c r="B1609" s="78"/>
      <c r="C1609" s="189"/>
      <c r="D1609" s="259"/>
      <c r="E1609" s="186"/>
      <c r="F1609" s="187"/>
    </row>
    <row r="1610" spans="1:6" x14ac:dyDescent="0.2">
      <c r="A1610" s="275"/>
      <c r="B1610" s="78"/>
      <c r="C1610" s="189"/>
      <c r="D1610" s="259"/>
      <c r="E1610" s="186"/>
      <c r="F1610" s="187"/>
    </row>
    <row r="1611" spans="1:6" x14ac:dyDescent="0.2">
      <c r="A1611" s="275"/>
      <c r="B1611" s="78"/>
      <c r="C1611" s="189"/>
      <c r="D1611" s="259"/>
      <c r="E1611" s="186"/>
      <c r="F1611" s="187"/>
    </row>
    <row r="1612" spans="1:6" x14ac:dyDescent="0.2">
      <c r="A1612" s="275"/>
      <c r="B1612" s="78"/>
      <c r="C1612" s="189"/>
      <c r="D1612" s="259"/>
      <c r="E1612" s="186"/>
      <c r="F1612" s="187"/>
    </row>
    <row r="1613" spans="1:6" x14ac:dyDescent="0.2">
      <c r="A1613" s="275"/>
      <c r="B1613" s="78"/>
      <c r="C1613" s="189"/>
      <c r="D1613" s="259"/>
      <c r="E1613" s="186"/>
      <c r="F1613" s="187"/>
    </row>
    <row r="1614" spans="1:6" x14ac:dyDescent="0.2">
      <c r="A1614" s="275"/>
      <c r="B1614" s="78"/>
      <c r="C1614" s="189"/>
      <c r="D1614" s="259"/>
      <c r="E1614" s="186"/>
      <c r="F1614" s="187"/>
    </row>
    <row r="1615" spans="1:6" x14ac:dyDescent="0.2">
      <c r="A1615" s="275"/>
      <c r="B1615" s="78"/>
      <c r="C1615" s="189"/>
      <c r="D1615" s="259"/>
      <c r="E1615" s="186"/>
      <c r="F1615" s="187"/>
    </row>
    <row r="1616" spans="1:6" x14ac:dyDescent="0.2">
      <c r="A1616" s="275"/>
      <c r="B1616" s="78"/>
      <c r="C1616" s="189"/>
      <c r="D1616" s="259"/>
      <c r="E1616" s="186"/>
      <c r="F1616" s="187"/>
    </row>
    <row r="1617" spans="1:6" x14ac:dyDescent="0.2">
      <c r="A1617" s="275"/>
      <c r="B1617" s="78"/>
      <c r="C1617" s="189"/>
      <c r="D1617" s="259"/>
      <c r="E1617" s="186"/>
      <c r="F1617" s="187"/>
    </row>
    <row r="1618" spans="1:6" x14ac:dyDescent="0.2">
      <c r="A1618" s="275"/>
      <c r="B1618" s="78"/>
      <c r="C1618" s="189"/>
      <c r="D1618" s="259"/>
      <c r="E1618" s="186"/>
      <c r="F1618" s="187"/>
    </row>
    <row r="1619" spans="1:6" x14ac:dyDescent="0.2">
      <c r="A1619" s="275"/>
      <c r="B1619" s="78"/>
      <c r="C1619" s="189"/>
      <c r="D1619" s="259"/>
      <c r="E1619" s="186"/>
      <c r="F1619" s="187"/>
    </row>
    <row r="1620" spans="1:6" x14ac:dyDescent="0.2">
      <c r="A1620" s="275"/>
      <c r="B1620" s="78"/>
      <c r="C1620" s="189"/>
      <c r="D1620" s="259"/>
      <c r="E1620" s="186"/>
      <c r="F1620" s="187"/>
    </row>
    <row r="1621" spans="1:6" x14ac:dyDescent="0.2">
      <c r="A1621" s="275"/>
      <c r="B1621" s="78"/>
      <c r="C1621" s="189"/>
      <c r="D1621" s="259"/>
      <c r="E1621" s="186"/>
      <c r="F1621" s="187"/>
    </row>
    <row r="1622" spans="1:6" x14ac:dyDescent="0.2">
      <c r="A1622" s="275"/>
      <c r="B1622" s="78"/>
      <c r="C1622" s="189"/>
      <c r="D1622" s="259"/>
      <c r="E1622" s="186"/>
      <c r="F1622" s="187"/>
    </row>
    <row r="1623" spans="1:6" x14ac:dyDescent="0.2">
      <c r="A1623" s="275"/>
      <c r="B1623" s="78"/>
      <c r="C1623" s="189"/>
      <c r="D1623" s="259"/>
      <c r="E1623" s="186"/>
      <c r="F1623" s="187"/>
    </row>
    <row r="1624" spans="1:6" x14ac:dyDescent="0.2">
      <c r="A1624" s="275"/>
      <c r="B1624" s="78"/>
      <c r="C1624" s="189"/>
      <c r="D1624" s="259"/>
      <c r="E1624" s="186"/>
      <c r="F1624" s="187"/>
    </row>
    <row r="1625" spans="1:6" x14ac:dyDescent="0.2">
      <c r="A1625" s="275"/>
      <c r="B1625" s="78"/>
      <c r="C1625" s="189"/>
      <c r="D1625" s="259"/>
      <c r="E1625" s="186"/>
      <c r="F1625" s="187"/>
    </row>
    <row r="1626" spans="1:6" x14ac:dyDescent="0.2">
      <c r="A1626" s="275"/>
      <c r="B1626" s="78"/>
      <c r="C1626" s="189"/>
      <c r="D1626" s="259"/>
      <c r="E1626" s="186"/>
      <c r="F1626" s="187"/>
    </row>
    <row r="1627" spans="1:6" x14ac:dyDescent="0.2">
      <c r="A1627" s="275"/>
      <c r="B1627" s="78"/>
      <c r="C1627" s="189"/>
      <c r="D1627" s="259"/>
      <c r="E1627" s="186"/>
      <c r="F1627" s="187"/>
    </row>
    <row r="1628" spans="1:6" x14ac:dyDescent="0.2">
      <c r="A1628" s="275"/>
      <c r="B1628" s="78"/>
      <c r="C1628" s="189"/>
      <c r="D1628" s="259"/>
      <c r="E1628" s="186"/>
      <c r="F1628" s="187"/>
    </row>
    <row r="1629" spans="1:6" x14ac:dyDescent="0.2">
      <c r="A1629" s="275"/>
      <c r="B1629" s="78"/>
      <c r="C1629" s="189"/>
      <c r="D1629" s="259"/>
      <c r="E1629" s="186"/>
      <c r="F1629" s="187"/>
    </row>
    <row r="1630" spans="1:6" x14ac:dyDescent="0.2">
      <c r="A1630" s="275"/>
      <c r="B1630" s="78"/>
      <c r="C1630" s="189"/>
      <c r="D1630" s="259"/>
      <c r="E1630" s="186"/>
      <c r="F1630" s="187"/>
    </row>
    <row r="1631" spans="1:6" x14ac:dyDescent="0.2">
      <c r="A1631" s="275"/>
      <c r="B1631" s="78"/>
      <c r="C1631" s="189"/>
      <c r="D1631" s="259"/>
      <c r="E1631" s="186"/>
      <c r="F1631" s="187"/>
    </row>
    <row r="1632" spans="1:6" x14ac:dyDescent="0.2">
      <c r="A1632" s="275"/>
      <c r="B1632" s="78"/>
      <c r="C1632" s="189"/>
      <c r="D1632" s="259"/>
      <c r="E1632" s="186"/>
      <c r="F1632" s="187"/>
    </row>
    <row r="1633" spans="1:6" x14ac:dyDescent="0.2">
      <c r="A1633" s="275"/>
      <c r="B1633" s="78"/>
      <c r="C1633" s="189"/>
      <c r="D1633" s="259"/>
      <c r="E1633" s="186"/>
      <c r="F1633" s="187"/>
    </row>
    <row r="1634" spans="1:6" x14ac:dyDescent="0.2">
      <c r="A1634" s="275"/>
      <c r="B1634" s="78"/>
      <c r="C1634" s="189"/>
      <c r="D1634" s="259"/>
      <c r="E1634" s="186"/>
      <c r="F1634" s="187"/>
    </row>
    <row r="1635" spans="1:6" x14ac:dyDescent="0.2">
      <c r="A1635" s="275"/>
      <c r="B1635" s="78"/>
      <c r="C1635" s="189"/>
      <c r="D1635" s="259"/>
      <c r="E1635" s="186"/>
      <c r="F1635" s="187"/>
    </row>
    <row r="1636" spans="1:6" x14ac:dyDescent="0.2">
      <c r="A1636" s="275"/>
      <c r="B1636" s="78"/>
      <c r="C1636" s="189"/>
      <c r="D1636" s="259"/>
      <c r="E1636" s="186"/>
      <c r="F1636" s="187"/>
    </row>
    <row r="1637" spans="1:6" x14ac:dyDescent="0.2">
      <c r="A1637" s="275"/>
      <c r="B1637" s="78"/>
      <c r="C1637" s="189"/>
      <c r="D1637" s="259"/>
      <c r="E1637" s="186"/>
      <c r="F1637" s="187"/>
    </row>
    <row r="1638" spans="1:6" x14ac:dyDescent="0.2">
      <c r="A1638" s="275"/>
      <c r="B1638" s="78"/>
      <c r="C1638" s="189"/>
      <c r="D1638" s="259"/>
      <c r="E1638" s="186"/>
      <c r="F1638" s="187"/>
    </row>
    <row r="1639" spans="1:6" x14ac:dyDescent="0.2">
      <c r="A1639" s="275"/>
      <c r="B1639" s="78"/>
      <c r="C1639" s="189"/>
      <c r="D1639" s="259"/>
      <c r="E1639" s="186"/>
      <c r="F1639" s="187"/>
    </row>
    <row r="1640" spans="1:6" x14ac:dyDescent="0.2">
      <c r="A1640" s="275"/>
      <c r="B1640" s="78"/>
      <c r="C1640" s="189"/>
      <c r="D1640" s="259"/>
      <c r="E1640" s="186"/>
      <c r="F1640" s="187"/>
    </row>
    <row r="1641" spans="1:6" x14ac:dyDescent="0.2">
      <c r="A1641" s="275"/>
      <c r="B1641" s="78"/>
      <c r="C1641" s="189"/>
      <c r="D1641" s="259"/>
      <c r="E1641" s="186"/>
      <c r="F1641" s="187"/>
    </row>
    <row r="1642" spans="1:6" x14ac:dyDescent="0.2">
      <c r="A1642" s="275"/>
      <c r="B1642" s="78"/>
      <c r="C1642" s="189"/>
      <c r="D1642" s="259"/>
      <c r="E1642" s="186"/>
      <c r="F1642" s="187"/>
    </row>
    <row r="1643" spans="1:6" x14ac:dyDescent="0.2">
      <c r="A1643" s="275"/>
      <c r="B1643" s="78"/>
      <c r="C1643" s="189"/>
      <c r="D1643" s="259"/>
      <c r="E1643" s="186"/>
      <c r="F1643" s="187"/>
    </row>
    <row r="1644" spans="1:6" x14ac:dyDescent="0.2">
      <c r="A1644" s="275"/>
      <c r="B1644" s="78"/>
      <c r="C1644" s="189"/>
      <c r="D1644" s="259"/>
      <c r="E1644" s="186"/>
      <c r="F1644" s="187"/>
    </row>
    <row r="1645" spans="1:6" x14ac:dyDescent="0.2">
      <c r="A1645" s="275"/>
      <c r="B1645" s="78"/>
      <c r="C1645" s="189"/>
      <c r="D1645" s="259"/>
      <c r="E1645" s="186"/>
      <c r="F1645" s="187"/>
    </row>
    <row r="1646" spans="1:6" x14ac:dyDescent="0.2">
      <c r="A1646" s="275"/>
      <c r="B1646" s="78"/>
      <c r="C1646" s="189"/>
      <c r="D1646" s="259"/>
      <c r="E1646" s="186"/>
      <c r="F1646" s="187"/>
    </row>
    <row r="1647" spans="1:6" x14ac:dyDescent="0.2">
      <c r="A1647" s="275"/>
      <c r="B1647" s="78"/>
      <c r="C1647" s="189"/>
      <c r="D1647" s="259"/>
      <c r="E1647" s="186"/>
      <c r="F1647" s="187"/>
    </row>
    <row r="1648" spans="1:6" x14ac:dyDescent="0.2">
      <c r="A1648" s="275"/>
      <c r="B1648" s="78"/>
      <c r="C1648" s="189"/>
      <c r="D1648" s="259"/>
      <c r="E1648" s="186"/>
      <c r="F1648" s="187"/>
    </row>
    <row r="1649" spans="1:6" x14ac:dyDescent="0.2">
      <c r="A1649" s="275"/>
      <c r="B1649" s="78"/>
      <c r="C1649" s="189"/>
      <c r="D1649" s="259"/>
      <c r="E1649" s="186"/>
      <c r="F1649" s="187"/>
    </row>
    <row r="1650" spans="1:6" x14ac:dyDescent="0.2">
      <c r="A1650" s="275"/>
      <c r="B1650" s="78"/>
      <c r="C1650" s="189"/>
      <c r="D1650" s="259"/>
      <c r="E1650" s="186"/>
      <c r="F1650" s="187"/>
    </row>
    <row r="1651" spans="1:6" x14ac:dyDescent="0.2">
      <c r="A1651" s="275"/>
      <c r="B1651" s="78"/>
      <c r="C1651" s="189"/>
      <c r="D1651" s="259"/>
      <c r="E1651" s="186"/>
      <c r="F1651" s="187"/>
    </row>
    <row r="1652" spans="1:6" x14ac:dyDescent="0.2">
      <c r="A1652" s="275"/>
      <c r="B1652" s="78"/>
      <c r="C1652" s="189"/>
      <c r="D1652" s="259"/>
      <c r="E1652" s="186"/>
      <c r="F1652" s="187"/>
    </row>
    <row r="1653" spans="1:6" x14ac:dyDescent="0.2">
      <c r="A1653" s="275"/>
      <c r="B1653" s="78"/>
      <c r="C1653" s="189"/>
      <c r="D1653" s="259"/>
      <c r="E1653" s="186"/>
      <c r="F1653" s="187"/>
    </row>
    <row r="1654" spans="1:6" x14ac:dyDescent="0.2">
      <c r="A1654" s="275"/>
      <c r="B1654" s="78"/>
      <c r="C1654" s="189"/>
      <c r="D1654" s="259"/>
      <c r="E1654" s="186"/>
      <c r="F1654" s="187"/>
    </row>
    <row r="1655" spans="1:6" x14ac:dyDescent="0.2">
      <c r="A1655" s="275"/>
      <c r="B1655" s="78"/>
      <c r="C1655" s="189"/>
      <c r="D1655" s="259"/>
      <c r="E1655" s="186"/>
      <c r="F1655" s="187"/>
    </row>
    <row r="1656" spans="1:6" x14ac:dyDescent="0.2">
      <c r="A1656" s="275"/>
      <c r="B1656" s="78"/>
      <c r="C1656" s="189"/>
      <c r="D1656" s="259"/>
      <c r="E1656" s="186"/>
      <c r="F1656" s="187"/>
    </row>
    <row r="1657" spans="1:6" x14ac:dyDescent="0.2">
      <c r="A1657" s="275"/>
      <c r="B1657" s="78"/>
      <c r="C1657" s="189"/>
      <c r="D1657" s="259"/>
      <c r="E1657" s="186"/>
      <c r="F1657" s="187"/>
    </row>
    <row r="1658" spans="1:6" x14ac:dyDescent="0.2">
      <c r="A1658" s="275"/>
      <c r="B1658" s="78"/>
      <c r="C1658" s="189"/>
      <c r="D1658" s="259"/>
      <c r="E1658" s="186"/>
      <c r="F1658" s="187"/>
    </row>
    <row r="1659" spans="1:6" x14ac:dyDescent="0.2">
      <c r="A1659" s="275"/>
      <c r="B1659" s="78"/>
      <c r="C1659" s="189"/>
      <c r="D1659" s="259"/>
      <c r="E1659" s="186"/>
      <c r="F1659" s="187"/>
    </row>
    <row r="1660" spans="1:6" x14ac:dyDescent="0.2">
      <c r="A1660" s="275"/>
      <c r="B1660" s="78"/>
      <c r="C1660" s="189"/>
      <c r="D1660" s="259"/>
      <c r="E1660" s="186"/>
      <c r="F1660" s="187"/>
    </row>
    <row r="1661" spans="1:6" x14ac:dyDescent="0.2">
      <c r="A1661" s="275"/>
      <c r="B1661" s="78"/>
      <c r="C1661" s="189"/>
      <c r="D1661" s="259"/>
      <c r="E1661" s="186"/>
      <c r="F1661" s="187"/>
    </row>
    <row r="1662" spans="1:6" x14ac:dyDescent="0.2">
      <c r="A1662" s="275"/>
      <c r="B1662" s="78"/>
      <c r="C1662" s="189"/>
      <c r="D1662" s="259"/>
      <c r="E1662" s="186"/>
      <c r="F1662" s="187"/>
    </row>
    <row r="1663" spans="1:6" x14ac:dyDescent="0.2">
      <c r="A1663" s="275"/>
      <c r="B1663" s="78"/>
      <c r="C1663" s="189"/>
      <c r="D1663" s="259"/>
      <c r="E1663" s="186"/>
      <c r="F1663" s="187"/>
    </row>
    <row r="1664" spans="1:6" x14ac:dyDescent="0.2">
      <c r="A1664" s="275"/>
      <c r="B1664" s="78"/>
      <c r="C1664" s="189"/>
      <c r="D1664" s="259"/>
      <c r="E1664" s="186"/>
      <c r="F1664" s="187"/>
    </row>
    <row r="1665" spans="1:6" x14ac:dyDescent="0.2">
      <c r="A1665" s="275"/>
      <c r="B1665" s="78"/>
      <c r="C1665" s="189"/>
      <c r="D1665" s="259"/>
      <c r="E1665" s="186"/>
      <c r="F1665" s="187"/>
    </row>
    <row r="1666" spans="1:6" x14ac:dyDescent="0.2">
      <c r="A1666" s="275"/>
      <c r="B1666" s="78"/>
      <c r="C1666" s="189"/>
      <c r="D1666" s="259"/>
      <c r="E1666" s="186"/>
      <c r="F1666" s="187"/>
    </row>
    <row r="1667" spans="1:6" x14ac:dyDescent="0.2">
      <c r="A1667" s="275"/>
      <c r="B1667" s="78"/>
      <c r="C1667" s="189"/>
      <c r="D1667" s="259"/>
      <c r="E1667" s="186"/>
      <c r="F1667" s="187"/>
    </row>
    <row r="1668" spans="1:6" x14ac:dyDescent="0.2">
      <c r="A1668" s="275"/>
      <c r="B1668" s="78"/>
      <c r="C1668" s="189"/>
      <c r="D1668" s="259"/>
      <c r="E1668" s="186"/>
      <c r="F1668" s="187"/>
    </row>
    <row r="1669" spans="1:6" x14ac:dyDescent="0.2">
      <c r="A1669" s="275"/>
      <c r="B1669" s="78"/>
      <c r="C1669" s="189"/>
      <c r="D1669" s="259"/>
      <c r="E1669" s="186"/>
      <c r="F1669" s="187"/>
    </row>
    <row r="1670" spans="1:6" x14ac:dyDescent="0.2">
      <c r="A1670" s="275"/>
      <c r="B1670" s="78"/>
      <c r="C1670" s="189"/>
      <c r="D1670" s="259"/>
      <c r="E1670" s="186"/>
      <c r="F1670" s="187"/>
    </row>
    <row r="1671" spans="1:6" x14ac:dyDescent="0.2">
      <c r="A1671" s="275"/>
      <c r="B1671" s="78"/>
      <c r="C1671" s="189"/>
      <c r="D1671" s="259"/>
      <c r="E1671" s="186"/>
      <c r="F1671" s="187"/>
    </row>
    <row r="1672" spans="1:6" x14ac:dyDescent="0.2">
      <c r="A1672" s="275"/>
      <c r="B1672" s="78"/>
      <c r="C1672" s="189"/>
      <c r="D1672" s="259"/>
      <c r="E1672" s="186"/>
      <c r="F1672" s="187"/>
    </row>
    <row r="1673" spans="1:6" x14ac:dyDescent="0.2">
      <c r="A1673" s="275"/>
      <c r="B1673" s="78"/>
      <c r="C1673" s="189"/>
      <c r="D1673" s="259"/>
      <c r="E1673" s="186"/>
      <c r="F1673" s="187"/>
    </row>
    <row r="1674" spans="1:6" x14ac:dyDescent="0.2">
      <c r="A1674" s="275"/>
      <c r="B1674" s="78"/>
      <c r="C1674" s="189"/>
      <c r="D1674" s="259"/>
      <c r="E1674" s="186"/>
      <c r="F1674" s="187"/>
    </row>
    <row r="1675" spans="1:6" x14ac:dyDescent="0.2">
      <c r="A1675" s="275"/>
      <c r="B1675" s="78"/>
      <c r="C1675" s="189"/>
      <c r="D1675" s="259"/>
      <c r="E1675" s="186"/>
      <c r="F1675" s="187"/>
    </row>
    <row r="1676" spans="1:6" x14ac:dyDescent="0.2">
      <c r="A1676" s="275"/>
      <c r="B1676" s="78"/>
      <c r="C1676" s="189"/>
      <c r="D1676" s="259"/>
      <c r="E1676" s="186"/>
      <c r="F1676" s="187"/>
    </row>
    <row r="1677" spans="1:6" x14ac:dyDescent="0.2">
      <c r="A1677" s="275"/>
      <c r="B1677" s="78"/>
      <c r="C1677" s="189"/>
      <c r="D1677" s="259"/>
      <c r="E1677" s="186"/>
      <c r="F1677" s="187"/>
    </row>
    <row r="1678" spans="1:6" x14ac:dyDescent="0.2">
      <c r="A1678" s="275"/>
      <c r="B1678" s="78"/>
      <c r="C1678" s="189"/>
      <c r="D1678" s="259"/>
      <c r="E1678" s="186"/>
      <c r="F1678" s="187"/>
    </row>
    <row r="1679" spans="1:6" x14ac:dyDescent="0.2">
      <c r="A1679" s="275"/>
      <c r="B1679" s="78"/>
      <c r="C1679" s="189"/>
      <c r="D1679" s="259"/>
      <c r="E1679" s="186"/>
      <c r="F1679" s="187"/>
    </row>
    <row r="1680" spans="1:6" x14ac:dyDescent="0.2">
      <c r="A1680" s="275"/>
      <c r="B1680" s="78"/>
      <c r="C1680" s="189"/>
      <c r="D1680" s="259"/>
      <c r="E1680" s="186"/>
      <c r="F1680" s="187"/>
    </row>
    <row r="1681" spans="1:6" x14ac:dyDescent="0.2">
      <c r="A1681" s="275"/>
      <c r="B1681" s="78"/>
      <c r="C1681" s="189"/>
      <c r="D1681" s="259"/>
      <c r="E1681" s="186"/>
      <c r="F1681" s="187"/>
    </row>
    <row r="1682" spans="1:6" x14ac:dyDescent="0.2">
      <c r="A1682" s="275"/>
      <c r="B1682" s="78"/>
      <c r="C1682" s="189"/>
      <c r="D1682" s="259"/>
      <c r="E1682" s="186"/>
      <c r="F1682" s="187"/>
    </row>
    <row r="1683" spans="1:6" x14ac:dyDescent="0.2">
      <c r="A1683" s="275"/>
      <c r="B1683" s="78"/>
      <c r="C1683" s="189"/>
      <c r="D1683" s="259"/>
      <c r="E1683" s="186"/>
      <c r="F1683" s="187"/>
    </row>
    <row r="1684" spans="1:6" x14ac:dyDescent="0.2">
      <c r="A1684" s="275"/>
      <c r="B1684" s="78"/>
      <c r="C1684" s="189"/>
      <c r="D1684" s="259"/>
      <c r="E1684" s="186"/>
      <c r="F1684" s="187"/>
    </row>
    <row r="1685" spans="1:6" x14ac:dyDescent="0.2">
      <c r="A1685" s="275"/>
      <c r="B1685" s="78"/>
      <c r="C1685" s="189"/>
      <c r="D1685" s="259"/>
      <c r="E1685" s="186"/>
      <c r="F1685" s="187"/>
    </row>
    <row r="1686" spans="1:6" x14ac:dyDescent="0.2">
      <c r="A1686" s="275"/>
      <c r="B1686" s="78"/>
      <c r="C1686" s="189"/>
      <c r="D1686" s="259"/>
      <c r="E1686" s="186"/>
      <c r="F1686" s="187"/>
    </row>
    <row r="1687" spans="1:6" x14ac:dyDescent="0.2">
      <c r="A1687" s="275"/>
      <c r="B1687" s="78"/>
      <c r="C1687" s="189"/>
      <c r="D1687" s="259"/>
      <c r="E1687" s="186"/>
      <c r="F1687" s="187"/>
    </row>
    <row r="1688" spans="1:6" x14ac:dyDescent="0.2">
      <c r="A1688" s="275"/>
      <c r="B1688" s="78"/>
      <c r="C1688" s="189"/>
      <c r="D1688" s="259"/>
      <c r="E1688" s="186"/>
      <c r="F1688" s="187"/>
    </row>
    <row r="1689" spans="1:6" x14ac:dyDescent="0.2">
      <c r="A1689" s="275"/>
      <c r="B1689" s="78"/>
      <c r="C1689" s="189"/>
      <c r="D1689" s="259"/>
      <c r="E1689" s="186"/>
      <c r="F1689" s="187"/>
    </row>
    <row r="1690" spans="1:6" x14ac:dyDescent="0.2">
      <c r="A1690" s="275"/>
      <c r="B1690" s="78"/>
      <c r="C1690" s="189"/>
      <c r="D1690" s="259"/>
      <c r="E1690" s="186"/>
      <c r="F1690" s="187"/>
    </row>
    <row r="1691" spans="1:6" x14ac:dyDescent="0.2">
      <c r="A1691" s="275"/>
      <c r="B1691" s="78"/>
      <c r="C1691" s="189"/>
      <c r="D1691" s="259"/>
      <c r="E1691" s="186"/>
      <c r="F1691" s="187"/>
    </row>
    <row r="1692" spans="1:6" x14ac:dyDescent="0.2">
      <c r="A1692" s="275"/>
      <c r="B1692" s="78"/>
      <c r="C1692" s="189"/>
      <c r="D1692" s="259"/>
      <c r="E1692" s="186"/>
      <c r="F1692" s="187"/>
    </row>
    <row r="1693" spans="1:6" x14ac:dyDescent="0.2">
      <c r="A1693" s="275"/>
      <c r="B1693" s="78"/>
      <c r="C1693" s="189"/>
      <c r="D1693" s="259"/>
      <c r="E1693" s="186"/>
      <c r="F1693" s="187"/>
    </row>
    <row r="1694" spans="1:6" x14ac:dyDescent="0.2">
      <c r="A1694" s="275"/>
      <c r="B1694" s="78"/>
      <c r="C1694" s="189"/>
      <c r="D1694" s="259"/>
      <c r="E1694" s="186"/>
      <c r="F1694" s="187"/>
    </row>
    <row r="1695" spans="1:6" x14ac:dyDescent="0.2">
      <c r="A1695" s="275"/>
      <c r="B1695" s="78"/>
      <c r="C1695" s="189"/>
      <c r="D1695" s="259"/>
      <c r="E1695" s="186"/>
      <c r="F1695" s="187"/>
    </row>
    <row r="1696" spans="1:6" x14ac:dyDescent="0.2">
      <c r="A1696" s="275"/>
      <c r="B1696" s="78"/>
      <c r="C1696" s="189"/>
      <c r="D1696" s="259"/>
      <c r="E1696" s="186"/>
      <c r="F1696" s="187"/>
    </row>
    <row r="1697" spans="1:6" x14ac:dyDescent="0.2">
      <c r="A1697" s="275"/>
      <c r="B1697" s="78"/>
      <c r="C1697" s="189"/>
      <c r="D1697" s="259"/>
      <c r="E1697" s="186"/>
      <c r="F1697" s="187"/>
    </row>
    <row r="1698" spans="1:6" x14ac:dyDescent="0.2">
      <c r="A1698" s="275"/>
      <c r="B1698" s="78"/>
      <c r="C1698" s="189"/>
      <c r="D1698" s="259"/>
      <c r="E1698" s="186"/>
      <c r="F1698" s="187"/>
    </row>
    <row r="1699" spans="1:6" x14ac:dyDescent="0.2">
      <c r="A1699" s="275"/>
      <c r="B1699" s="78"/>
      <c r="C1699" s="189"/>
      <c r="D1699" s="259"/>
      <c r="E1699" s="186"/>
      <c r="F1699" s="187"/>
    </row>
    <row r="1700" spans="1:6" x14ac:dyDescent="0.2">
      <c r="A1700" s="275"/>
      <c r="B1700" s="78"/>
      <c r="C1700" s="189"/>
      <c r="D1700" s="259"/>
      <c r="E1700" s="186"/>
      <c r="F1700" s="187"/>
    </row>
    <row r="1701" spans="1:6" x14ac:dyDescent="0.2">
      <c r="A1701" s="275"/>
      <c r="B1701" s="78"/>
      <c r="C1701" s="189"/>
      <c r="D1701" s="259"/>
      <c r="E1701" s="186"/>
      <c r="F1701" s="187"/>
    </row>
    <row r="1702" spans="1:6" x14ac:dyDescent="0.2">
      <c r="A1702" s="275"/>
      <c r="B1702" s="78"/>
      <c r="C1702" s="189"/>
      <c r="D1702" s="259"/>
      <c r="E1702" s="186"/>
      <c r="F1702" s="187"/>
    </row>
    <row r="1703" spans="1:6" x14ac:dyDescent="0.2">
      <c r="A1703" s="275"/>
      <c r="B1703" s="78"/>
      <c r="C1703" s="189"/>
      <c r="D1703" s="259"/>
      <c r="E1703" s="186"/>
      <c r="F1703" s="187"/>
    </row>
    <row r="1704" spans="1:6" x14ac:dyDescent="0.2">
      <c r="A1704" s="275"/>
      <c r="B1704" s="78"/>
      <c r="C1704" s="189"/>
      <c r="D1704" s="259"/>
      <c r="E1704" s="186"/>
      <c r="F1704" s="187"/>
    </row>
    <row r="1705" spans="1:6" x14ac:dyDescent="0.2">
      <c r="A1705" s="275"/>
      <c r="B1705" s="78"/>
      <c r="C1705" s="189"/>
      <c r="D1705" s="259"/>
      <c r="E1705" s="186"/>
      <c r="F1705" s="187"/>
    </row>
    <row r="1706" spans="1:6" x14ac:dyDescent="0.2">
      <c r="A1706" s="275"/>
      <c r="B1706" s="78"/>
      <c r="C1706" s="189"/>
      <c r="D1706" s="259"/>
      <c r="E1706" s="186"/>
      <c r="F1706" s="187"/>
    </row>
    <row r="1707" spans="1:6" x14ac:dyDescent="0.2">
      <c r="A1707" s="275"/>
      <c r="B1707" s="78"/>
      <c r="C1707" s="189"/>
      <c r="D1707" s="259"/>
      <c r="E1707" s="186"/>
      <c r="F1707" s="187"/>
    </row>
    <row r="1708" spans="1:6" x14ac:dyDescent="0.2">
      <c r="A1708" s="275"/>
      <c r="B1708" s="78"/>
      <c r="C1708" s="189"/>
      <c r="D1708" s="259"/>
      <c r="E1708" s="186"/>
      <c r="F1708" s="187"/>
    </row>
    <row r="1709" spans="1:6" x14ac:dyDescent="0.2">
      <c r="A1709" s="275"/>
      <c r="B1709" s="78"/>
      <c r="C1709" s="189"/>
      <c r="D1709" s="259"/>
      <c r="E1709" s="186"/>
      <c r="F1709" s="187"/>
    </row>
    <row r="1710" spans="1:6" x14ac:dyDescent="0.2">
      <c r="A1710" s="275"/>
      <c r="B1710" s="78"/>
      <c r="C1710" s="189"/>
      <c r="D1710" s="259"/>
      <c r="E1710" s="186"/>
      <c r="F1710" s="187"/>
    </row>
    <row r="1711" spans="1:6" x14ac:dyDescent="0.2">
      <c r="A1711" s="275"/>
      <c r="B1711" s="78"/>
      <c r="C1711" s="189"/>
      <c r="D1711" s="259"/>
      <c r="E1711" s="186"/>
      <c r="F1711" s="187"/>
    </row>
    <row r="1712" spans="1:6" x14ac:dyDescent="0.2">
      <c r="A1712" s="275"/>
      <c r="B1712" s="78"/>
      <c r="C1712" s="189"/>
      <c r="D1712" s="259"/>
      <c r="E1712" s="186"/>
      <c r="F1712" s="187"/>
    </row>
    <row r="1713" spans="1:6" x14ac:dyDescent="0.2">
      <c r="A1713" s="275"/>
      <c r="B1713" s="78"/>
      <c r="C1713" s="189"/>
      <c r="D1713" s="259"/>
      <c r="E1713" s="186"/>
      <c r="F1713" s="187"/>
    </row>
    <row r="1714" spans="1:6" x14ac:dyDescent="0.2">
      <c r="A1714" s="275"/>
      <c r="B1714" s="78"/>
      <c r="C1714" s="189"/>
      <c r="D1714" s="259"/>
      <c r="E1714" s="186"/>
      <c r="F1714" s="187"/>
    </row>
    <row r="1715" spans="1:6" x14ac:dyDescent="0.2">
      <c r="A1715" s="275"/>
      <c r="B1715" s="78"/>
      <c r="C1715" s="189"/>
      <c r="D1715" s="259"/>
      <c r="E1715" s="186"/>
      <c r="F1715" s="187"/>
    </row>
    <row r="1716" spans="1:6" x14ac:dyDescent="0.2">
      <c r="A1716" s="275"/>
      <c r="B1716" s="78"/>
      <c r="C1716" s="189"/>
      <c r="D1716" s="259"/>
      <c r="E1716" s="186"/>
      <c r="F1716" s="187"/>
    </row>
    <row r="1717" spans="1:6" x14ac:dyDescent="0.2">
      <c r="A1717" s="275"/>
      <c r="B1717" s="78"/>
      <c r="C1717" s="189"/>
      <c r="D1717" s="259"/>
      <c r="E1717" s="186"/>
      <c r="F1717" s="187"/>
    </row>
    <row r="1718" spans="1:6" x14ac:dyDescent="0.2">
      <c r="A1718" s="275"/>
      <c r="B1718" s="78"/>
      <c r="C1718" s="189"/>
      <c r="D1718" s="259"/>
      <c r="E1718" s="186"/>
      <c r="F1718" s="187"/>
    </row>
    <row r="1719" spans="1:6" x14ac:dyDescent="0.2">
      <c r="A1719" s="275"/>
      <c r="B1719" s="78"/>
      <c r="C1719" s="189"/>
      <c r="D1719" s="259"/>
      <c r="E1719" s="186"/>
      <c r="F1719" s="187"/>
    </row>
    <row r="1720" spans="1:6" x14ac:dyDescent="0.2">
      <c r="A1720" s="275"/>
      <c r="B1720" s="78"/>
      <c r="C1720" s="189"/>
      <c r="D1720" s="259"/>
      <c r="E1720" s="186"/>
      <c r="F1720" s="187"/>
    </row>
    <row r="1721" spans="1:6" x14ac:dyDescent="0.2">
      <c r="A1721" s="275"/>
      <c r="B1721" s="78"/>
      <c r="C1721" s="189"/>
      <c r="D1721" s="259"/>
      <c r="E1721" s="186"/>
      <c r="F1721" s="187"/>
    </row>
    <row r="1722" spans="1:6" x14ac:dyDescent="0.2">
      <c r="A1722" s="275"/>
      <c r="B1722" s="78"/>
      <c r="C1722" s="189"/>
      <c r="D1722" s="259"/>
      <c r="E1722" s="186"/>
      <c r="F1722" s="187"/>
    </row>
    <row r="1723" spans="1:6" x14ac:dyDescent="0.2">
      <c r="A1723" s="275"/>
      <c r="B1723" s="78"/>
      <c r="C1723" s="189"/>
      <c r="D1723" s="259"/>
      <c r="E1723" s="186"/>
      <c r="F1723" s="187"/>
    </row>
    <row r="1724" spans="1:6" x14ac:dyDescent="0.2">
      <c r="A1724" s="275"/>
      <c r="B1724" s="78"/>
      <c r="C1724" s="189"/>
      <c r="D1724" s="259"/>
      <c r="E1724" s="186"/>
      <c r="F1724" s="187"/>
    </row>
    <row r="1725" spans="1:6" x14ac:dyDescent="0.2">
      <c r="A1725" s="275"/>
      <c r="B1725" s="78"/>
      <c r="C1725" s="189"/>
      <c r="D1725" s="259"/>
      <c r="E1725" s="186"/>
      <c r="F1725" s="187"/>
    </row>
    <row r="1726" spans="1:6" x14ac:dyDescent="0.2">
      <c r="A1726" s="275"/>
      <c r="B1726" s="78"/>
      <c r="C1726" s="189"/>
      <c r="D1726" s="259"/>
      <c r="E1726" s="186"/>
      <c r="F1726" s="187"/>
    </row>
    <row r="1727" spans="1:6" x14ac:dyDescent="0.2">
      <c r="A1727" s="275"/>
      <c r="B1727" s="78"/>
      <c r="C1727" s="189"/>
      <c r="D1727" s="259"/>
      <c r="E1727" s="186"/>
      <c r="F1727" s="187"/>
    </row>
    <row r="1728" spans="1:6" x14ac:dyDescent="0.2">
      <c r="A1728" s="275"/>
      <c r="B1728" s="78"/>
      <c r="C1728" s="189"/>
      <c r="D1728" s="259"/>
      <c r="E1728" s="186"/>
      <c r="F1728" s="187"/>
    </row>
    <row r="1729" spans="1:6" x14ac:dyDescent="0.2">
      <c r="A1729" s="275"/>
      <c r="B1729" s="78"/>
      <c r="C1729" s="189"/>
      <c r="D1729" s="259"/>
      <c r="E1729" s="186"/>
      <c r="F1729" s="187"/>
    </row>
    <row r="1730" spans="1:6" x14ac:dyDescent="0.2">
      <c r="A1730" s="275"/>
      <c r="B1730" s="78"/>
      <c r="C1730" s="189"/>
      <c r="D1730" s="259"/>
      <c r="E1730" s="186"/>
      <c r="F1730" s="187"/>
    </row>
    <row r="1731" spans="1:6" x14ac:dyDescent="0.2">
      <c r="A1731" s="275"/>
      <c r="B1731" s="78"/>
      <c r="C1731" s="189"/>
      <c r="D1731" s="259"/>
      <c r="E1731" s="186"/>
      <c r="F1731" s="187"/>
    </row>
    <row r="1732" spans="1:6" x14ac:dyDescent="0.2">
      <c r="A1732" s="275"/>
      <c r="B1732" s="78"/>
      <c r="C1732" s="189"/>
      <c r="D1732" s="259"/>
      <c r="E1732" s="186"/>
      <c r="F1732" s="187"/>
    </row>
    <row r="1733" spans="1:6" x14ac:dyDescent="0.2">
      <c r="A1733" s="275"/>
      <c r="B1733" s="78"/>
      <c r="C1733" s="189"/>
      <c r="D1733" s="259"/>
      <c r="E1733" s="186"/>
      <c r="F1733" s="187"/>
    </row>
    <row r="1734" spans="1:6" x14ac:dyDescent="0.2">
      <c r="A1734" s="275"/>
      <c r="B1734" s="78"/>
      <c r="C1734" s="189"/>
      <c r="D1734" s="259"/>
      <c r="E1734" s="186"/>
      <c r="F1734" s="187"/>
    </row>
    <row r="1735" spans="1:6" x14ac:dyDescent="0.2">
      <c r="A1735" s="275"/>
      <c r="B1735" s="78"/>
      <c r="C1735" s="189"/>
      <c r="D1735" s="259"/>
      <c r="E1735" s="186"/>
      <c r="F1735" s="187"/>
    </row>
    <row r="1736" spans="1:6" x14ac:dyDescent="0.2">
      <c r="A1736" s="275"/>
      <c r="B1736" s="78"/>
      <c r="C1736" s="189"/>
      <c r="D1736" s="259"/>
      <c r="E1736" s="186"/>
      <c r="F1736" s="187"/>
    </row>
    <row r="1737" spans="1:6" x14ac:dyDescent="0.2">
      <c r="A1737" s="275"/>
      <c r="B1737" s="78"/>
      <c r="C1737" s="189"/>
      <c r="D1737" s="259"/>
      <c r="E1737" s="186"/>
      <c r="F1737" s="187"/>
    </row>
    <row r="1738" spans="1:6" x14ac:dyDescent="0.2">
      <c r="A1738" s="275"/>
      <c r="B1738" s="78"/>
      <c r="C1738" s="189"/>
      <c r="D1738" s="259"/>
      <c r="E1738" s="186"/>
      <c r="F1738" s="187"/>
    </row>
    <row r="1739" spans="1:6" x14ac:dyDescent="0.2">
      <c r="A1739" s="275"/>
      <c r="B1739" s="78"/>
      <c r="C1739" s="189"/>
      <c r="D1739" s="259"/>
      <c r="E1739" s="186"/>
      <c r="F1739" s="187"/>
    </row>
    <row r="1740" spans="1:6" x14ac:dyDescent="0.2">
      <c r="A1740" s="275"/>
      <c r="B1740" s="78"/>
      <c r="C1740" s="189"/>
      <c r="D1740" s="259"/>
      <c r="E1740" s="186"/>
      <c r="F1740" s="187"/>
    </row>
    <row r="1741" spans="1:6" x14ac:dyDescent="0.2">
      <c r="A1741" s="275"/>
      <c r="B1741" s="78"/>
      <c r="C1741" s="189"/>
      <c r="D1741" s="259"/>
      <c r="E1741" s="186"/>
      <c r="F1741" s="187"/>
    </row>
    <row r="1742" spans="1:6" x14ac:dyDescent="0.2">
      <c r="A1742" s="275"/>
      <c r="B1742" s="78"/>
      <c r="C1742" s="189"/>
      <c r="D1742" s="259"/>
      <c r="E1742" s="186"/>
      <c r="F1742" s="187"/>
    </row>
    <row r="1743" spans="1:6" x14ac:dyDescent="0.2">
      <c r="A1743" s="275"/>
      <c r="B1743" s="78"/>
      <c r="C1743" s="189"/>
      <c r="D1743" s="259"/>
      <c r="E1743" s="186"/>
      <c r="F1743" s="187"/>
    </row>
    <row r="1744" spans="1:6" x14ac:dyDescent="0.2">
      <c r="A1744" s="275"/>
      <c r="B1744" s="78"/>
      <c r="C1744" s="189"/>
      <c r="D1744" s="259"/>
      <c r="E1744" s="186"/>
      <c r="F1744" s="187"/>
    </row>
    <row r="1745" spans="1:6" x14ac:dyDescent="0.2">
      <c r="A1745" s="275"/>
      <c r="B1745" s="78"/>
      <c r="C1745" s="189"/>
      <c r="D1745" s="259"/>
      <c r="E1745" s="186"/>
      <c r="F1745" s="187"/>
    </row>
    <row r="1746" spans="1:6" x14ac:dyDescent="0.2">
      <c r="A1746" s="275"/>
      <c r="B1746" s="78"/>
      <c r="C1746" s="189"/>
      <c r="D1746" s="259"/>
      <c r="E1746" s="186"/>
      <c r="F1746" s="187"/>
    </row>
    <row r="1747" spans="1:6" x14ac:dyDescent="0.2">
      <c r="A1747" s="275"/>
      <c r="B1747" s="78"/>
      <c r="C1747" s="189"/>
      <c r="D1747" s="259"/>
      <c r="E1747" s="186"/>
      <c r="F1747" s="187"/>
    </row>
    <row r="1748" spans="1:6" x14ac:dyDescent="0.2">
      <c r="A1748" s="275"/>
      <c r="B1748" s="78"/>
      <c r="C1748" s="189"/>
      <c r="D1748" s="259"/>
      <c r="E1748" s="186"/>
      <c r="F1748" s="187"/>
    </row>
    <row r="1749" spans="1:6" x14ac:dyDescent="0.2">
      <c r="A1749" s="275"/>
      <c r="B1749" s="78"/>
      <c r="C1749" s="189"/>
      <c r="D1749" s="259"/>
      <c r="E1749" s="186"/>
      <c r="F1749" s="187"/>
    </row>
    <row r="1750" spans="1:6" x14ac:dyDescent="0.2">
      <c r="A1750" s="275"/>
      <c r="B1750" s="78"/>
      <c r="C1750" s="189"/>
      <c r="D1750" s="259"/>
      <c r="E1750" s="186"/>
      <c r="F1750" s="187"/>
    </row>
    <row r="1751" spans="1:6" x14ac:dyDescent="0.2">
      <c r="A1751" s="275"/>
      <c r="B1751" s="78"/>
      <c r="C1751" s="189"/>
      <c r="D1751" s="259"/>
      <c r="E1751" s="186"/>
      <c r="F1751" s="187"/>
    </row>
    <row r="1752" spans="1:6" x14ac:dyDescent="0.2">
      <c r="A1752" s="275"/>
      <c r="B1752" s="78"/>
      <c r="C1752" s="189"/>
      <c r="D1752" s="259"/>
      <c r="E1752" s="186"/>
      <c r="F1752" s="187"/>
    </row>
    <row r="1753" spans="1:6" x14ac:dyDescent="0.2">
      <c r="A1753" s="275"/>
      <c r="B1753" s="78"/>
      <c r="C1753" s="189"/>
      <c r="D1753" s="259"/>
      <c r="E1753" s="186"/>
      <c r="F1753" s="187"/>
    </row>
    <row r="1754" spans="1:6" x14ac:dyDescent="0.2">
      <c r="A1754" s="275"/>
      <c r="B1754" s="78"/>
      <c r="C1754" s="189"/>
      <c r="D1754" s="259"/>
      <c r="E1754" s="186"/>
      <c r="F1754" s="187"/>
    </row>
    <row r="1755" spans="1:6" x14ac:dyDescent="0.2">
      <c r="A1755" s="275"/>
      <c r="B1755" s="78"/>
      <c r="C1755" s="189"/>
      <c r="D1755" s="259"/>
      <c r="E1755" s="186"/>
      <c r="F1755" s="187"/>
    </row>
    <row r="1756" spans="1:6" x14ac:dyDescent="0.2">
      <c r="A1756" s="275"/>
      <c r="B1756" s="78"/>
      <c r="C1756" s="189"/>
      <c r="D1756" s="259"/>
      <c r="E1756" s="186"/>
      <c r="F1756" s="187"/>
    </row>
    <row r="1757" spans="1:6" x14ac:dyDescent="0.2">
      <c r="A1757" s="275"/>
      <c r="B1757" s="78"/>
      <c r="C1757" s="189"/>
      <c r="D1757" s="259"/>
      <c r="E1757" s="186"/>
      <c r="F1757" s="187"/>
    </row>
    <row r="1758" spans="1:6" x14ac:dyDescent="0.2">
      <c r="A1758" s="275"/>
      <c r="B1758" s="78"/>
      <c r="C1758" s="189"/>
      <c r="D1758" s="259"/>
      <c r="E1758" s="186"/>
      <c r="F1758" s="187"/>
    </row>
    <row r="1759" spans="1:6" x14ac:dyDescent="0.2">
      <c r="A1759" s="275"/>
      <c r="B1759" s="78"/>
      <c r="C1759" s="189"/>
      <c r="D1759" s="259"/>
      <c r="E1759" s="186"/>
      <c r="F1759" s="187"/>
    </row>
    <row r="1760" spans="1:6" x14ac:dyDescent="0.2">
      <c r="A1760" s="275"/>
      <c r="B1760" s="78"/>
      <c r="C1760" s="189"/>
      <c r="D1760" s="259"/>
      <c r="E1760" s="186"/>
      <c r="F1760" s="187"/>
    </row>
    <row r="1761" spans="1:6" x14ac:dyDescent="0.2">
      <c r="A1761" s="275"/>
      <c r="B1761" s="78"/>
      <c r="C1761" s="189"/>
      <c r="D1761" s="259"/>
      <c r="E1761" s="186"/>
      <c r="F1761" s="187"/>
    </row>
    <row r="1762" spans="1:6" x14ac:dyDescent="0.2">
      <c r="A1762" s="275"/>
      <c r="B1762" s="78"/>
      <c r="C1762" s="189"/>
      <c r="D1762" s="259"/>
      <c r="E1762" s="186"/>
      <c r="F1762" s="187"/>
    </row>
    <row r="1763" spans="1:6" x14ac:dyDescent="0.2">
      <c r="A1763" s="275"/>
      <c r="B1763" s="78"/>
      <c r="C1763" s="189"/>
      <c r="D1763" s="259"/>
      <c r="E1763" s="186"/>
      <c r="F1763" s="187"/>
    </row>
    <row r="1764" spans="1:6" x14ac:dyDescent="0.2">
      <c r="A1764" s="275"/>
      <c r="B1764" s="78"/>
      <c r="C1764" s="189"/>
      <c r="D1764" s="259"/>
      <c r="E1764" s="186"/>
      <c r="F1764" s="187"/>
    </row>
    <row r="1765" spans="1:6" x14ac:dyDescent="0.2">
      <c r="A1765" s="275"/>
      <c r="B1765" s="78"/>
      <c r="C1765" s="189"/>
      <c r="D1765" s="259"/>
      <c r="E1765" s="186"/>
      <c r="F1765" s="187"/>
    </row>
    <row r="1766" spans="1:6" x14ac:dyDescent="0.2">
      <c r="A1766" s="275"/>
      <c r="B1766" s="78"/>
      <c r="C1766" s="189"/>
      <c r="D1766" s="259"/>
      <c r="E1766" s="186"/>
      <c r="F1766" s="187"/>
    </row>
    <row r="1767" spans="1:6" x14ac:dyDescent="0.2">
      <c r="A1767" s="275"/>
      <c r="B1767" s="78"/>
      <c r="C1767" s="189"/>
      <c r="D1767" s="259"/>
      <c r="E1767" s="186"/>
      <c r="F1767" s="187"/>
    </row>
    <row r="1768" spans="1:6" x14ac:dyDescent="0.2">
      <c r="A1768" s="275"/>
      <c r="B1768" s="78"/>
      <c r="C1768" s="189"/>
      <c r="D1768" s="259"/>
      <c r="E1768" s="186"/>
      <c r="F1768" s="187"/>
    </row>
    <row r="1769" spans="1:6" x14ac:dyDescent="0.2">
      <c r="A1769" s="275"/>
      <c r="B1769" s="78"/>
      <c r="C1769" s="189"/>
      <c r="D1769" s="259"/>
      <c r="E1769" s="186"/>
      <c r="F1769" s="187"/>
    </row>
    <row r="1770" spans="1:6" x14ac:dyDescent="0.2">
      <c r="A1770" s="275"/>
      <c r="B1770" s="78"/>
      <c r="C1770" s="189"/>
      <c r="D1770" s="259"/>
      <c r="E1770" s="186"/>
      <c r="F1770" s="187"/>
    </row>
    <row r="1771" spans="1:6" x14ac:dyDescent="0.2">
      <c r="A1771" s="275"/>
      <c r="B1771" s="78"/>
      <c r="C1771" s="189"/>
      <c r="D1771" s="259"/>
      <c r="E1771" s="186"/>
      <c r="F1771" s="187"/>
    </row>
    <row r="1772" spans="1:6" x14ac:dyDescent="0.2">
      <c r="A1772" s="275"/>
      <c r="B1772" s="78"/>
      <c r="C1772" s="189"/>
      <c r="D1772" s="259"/>
      <c r="E1772" s="186"/>
      <c r="F1772" s="187"/>
    </row>
    <row r="1773" spans="1:6" x14ac:dyDescent="0.2">
      <c r="A1773" s="275"/>
      <c r="B1773" s="78"/>
      <c r="C1773" s="189"/>
      <c r="D1773" s="259"/>
      <c r="E1773" s="186"/>
      <c r="F1773" s="187"/>
    </row>
    <row r="1774" spans="1:6" x14ac:dyDescent="0.2">
      <c r="A1774" s="275"/>
      <c r="B1774" s="78"/>
      <c r="C1774" s="189"/>
      <c r="D1774" s="259"/>
      <c r="E1774" s="186"/>
      <c r="F1774" s="187"/>
    </row>
    <row r="1775" spans="1:6" x14ac:dyDescent="0.2">
      <c r="A1775" s="275"/>
      <c r="B1775" s="78"/>
      <c r="C1775" s="189"/>
      <c r="D1775" s="259"/>
      <c r="E1775" s="186"/>
      <c r="F1775" s="187"/>
    </row>
    <row r="1776" spans="1:6" x14ac:dyDescent="0.2">
      <c r="A1776" s="275"/>
      <c r="B1776" s="78"/>
      <c r="C1776" s="189"/>
      <c r="D1776" s="259"/>
      <c r="E1776" s="186"/>
      <c r="F1776" s="187"/>
    </row>
    <row r="1777" spans="1:6" x14ac:dyDescent="0.2">
      <c r="A1777" s="275"/>
      <c r="B1777" s="78"/>
      <c r="C1777" s="189"/>
      <c r="D1777" s="259"/>
      <c r="E1777" s="186"/>
      <c r="F1777" s="187"/>
    </row>
    <row r="1778" spans="1:6" x14ac:dyDescent="0.2">
      <c r="A1778" s="275"/>
      <c r="B1778" s="78"/>
      <c r="C1778" s="189"/>
      <c r="D1778" s="259"/>
      <c r="E1778" s="186"/>
      <c r="F1778" s="187"/>
    </row>
    <row r="1779" spans="1:6" x14ac:dyDescent="0.2">
      <c r="A1779" s="275"/>
      <c r="B1779" s="78"/>
      <c r="C1779" s="189"/>
      <c r="D1779" s="259"/>
      <c r="E1779" s="186"/>
      <c r="F1779" s="187"/>
    </row>
    <row r="1780" spans="1:6" x14ac:dyDescent="0.2">
      <c r="A1780" s="275"/>
      <c r="B1780" s="78"/>
      <c r="C1780" s="189"/>
      <c r="D1780" s="259"/>
      <c r="E1780" s="186"/>
      <c r="F1780" s="187"/>
    </row>
    <row r="1781" spans="1:6" x14ac:dyDescent="0.2">
      <c r="A1781" s="275"/>
      <c r="B1781" s="78"/>
      <c r="C1781" s="189"/>
      <c r="D1781" s="259"/>
      <c r="E1781" s="186"/>
      <c r="F1781" s="187"/>
    </row>
    <row r="1782" spans="1:6" x14ac:dyDescent="0.2">
      <c r="A1782" s="275"/>
      <c r="B1782" s="78"/>
      <c r="C1782" s="189"/>
      <c r="D1782" s="259"/>
      <c r="E1782" s="186"/>
      <c r="F1782" s="187"/>
    </row>
    <row r="1783" spans="1:6" x14ac:dyDescent="0.2">
      <c r="A1783" s="275"/>
      <c r="B1783" s="78"/>
      <c r="C1783" s="189"/>
      <c r="D1783" s="259"/>
      <c r="E1783" s="186"/>
      <c r="F1783" s="187"/>
    </row>
    <row r="1784" spans="1:6" x14ac:dyDescent="0.2">
      <c r="A1784" s="275"/>
      <c r="B1784" s="78"/>
      <c r="C1784" s="189"/>
      <c r="D1784" s="259"/>
      <c r="E1784" s="186"/>
      <c r="F1784" s="187"/>
    </row>
    <row r="1785" spans="1:6" x14ac:dyDescent="0.2">
      <c r="A1785" s="275"/>
      <c r="B1785" s="78"/>
      <c r="C1785" s="189"/>
      <c r="D1785" s="259"/>
      <c r="E1785" s="186"/>
      <c r="F1785" s="187"/>
    </row>
    <row r="1786" spans="1:6" x14ac:dyDescent="0.2">
      <c r="A1786" s="275"/>
      <c r="B1786" s="78"/>
      <c r="C1786" s="189"/>
      <c r="D1786" s="259"/>
      <c r="E1786" s="186"/>
      <c r="F1786" s="187"/>
    </row>
    <row r="1787" spans="1:6" x14ac:dyDescent="0.2">
      <c r="A1787" s="275"/>
      <c r="B1787" s="78"/>
      <c r="C1787" s="189"/>
      <c r="D1787" s="259"/>
      <c r="E1787" s="186"/>
      <c r="F1787" s="187"/>
    </row>
    <row r="1788" spans="1:6" x14ac:dyDescent="0.2">
      <c r="A1788" s="275"/>
      <c r="B1788" s="78"/>
      <c r="C1788" s="189"/>
      <c r="D1788" s="259"/>
      <c r="E1788" s="186"/>
      <c r="F1788" s="187"/>
    </row>
    <row r="1789" spans="1:6" x14ac:dyDescent="0.2">
      <c r="A1789" s="275"/>
      <c r="B1789" s="78"/>
      <c r="C1789" s="189"/>
      <c r="D1789" s="259"/>
      <c r="E1789" s="186"/>
      <c r="F1789" s="187"/>
    </row>
    <row r="1790" spans="1:6" x14ac:dyDescent="0.2">
      <c r="A1790" s="275"/>
      <c r="B1790" s="78"/>
      <c r="C1790" s="189"/>
      <c r="D1790" s="259"/>
      <c r="E1790" s="186"/>
      <c r="F1790" s="187"/>
    </row>
    <row r="1791" spans="1:6" x14ac:dyDescent="0.2">
      <c r="A1791" s="275"/>
      <c r="B1791" s="78"/>
      <c r="C1791" s="189"/>
      <c r="D1791" s="259"/>
      <c r="E1791" s="186"/>
      <c r="F1791" s="187"/>
    </row>
    <row r="1792" spans="1:6" x14ac:dyDescent="0.2">
      <c r="A1792" s="275"/>
      <c r="B1792" s="78"/>
      <c r="C1792" s="189"/>
      <c r="D1792" s="259"/>
      <c r="E1792" s="186"/>
      <c r="F1792" s="187"/>
    </row>
    <row r="1793" spans="1:6" x14ac:dyDescent="0.2">
      <c r="A1793" s="275"/>
      <c r="B1793" s="78"/>
      <c r="C1793" s="189"/>
      <c r="D1793" s="259"/>
      <c r="E1793" s="186"/>
      <c r="F1793" s="187"/>
    </row>
    <row r="1794" spans="1:6" x14ac:dyDescent="0.2">
      <c r="A1794" s="275"/>
      <c r="B1794" s="78"/>
      <c r="C1794" s="189"/>
      <c r="D1794" s="259"/>
      <c r="E1794" s="186"/>
      <c r="F1794" s="187"/>
    </row>
    <row r="1795" spans="1:6" x14ac:dyDescent="0.2">
      <c r="A1795" s="275"/>
      <c r="B1795" s="78"/>
      <c r="C1795" s="189"/>
      <c r="D1795" s="259"/>
      <c r="E1795" s="186"/>
      <c r="F1795" s="187"/>
    </row>
    <row r="1796" spans="1:6" x14ac:dyDescent="0.2">
      <c r="A1796" s="275"/>
      <c r="B1796" s="78"/>
      <c r="C1796" s="189"/>
      <c r="D1796" s="259"/>
      <c r="E1796" s="186"/>
      <c r="F1796" s="187"/>
    </row>
    <row r="1797" spans="1:6" x14ac:dyDescent="0.2">
      <c r="A1797" s="275"/>
      <c r="B1797" s="78"/>
      <c r="C1797" s="189"/>
      <c r="D1797" s="259"/>
      <c r="E1797" s="186"/>
      <c r="F1797" s="187"/>
    </row>
    <row r="1798" spans="1:6" x14ac:dyDescent="0.2">
      <c r="A1798" s="275"/>
      <c r="B1798" s="78"/>
      <c r="C1798" s="189"/>
      <c r="D1798" s="259"/>
      <c r="E1798" s="186"/>
      <c r="F1798" s="187"/>
    </row>
    <row r="1799" spans="1:6" x14ac:dyDescent="0.2">
      <c r="A1799" s="275"/>
      <c r="B1799" s="78"/>
      <c r="C1799" s="189"/>
      <c r="D1799" s="259"/>
      <c r="E1799" s="186"/>
      <c r="F1799" s="187"/>
    </row>
    <row r="1800" spans="1:6" x14ac:dyDescent="0.2">
      <c r="A1800" s="275"/>
      <c r="B1800" s="78"/>
      <c r="C1800" s="189"/>
      <c r="D1800" s="259"/>
      <c r="E1800" s="186"/>
      <c r="F1800" s="187"/>
    </row>
    <row r="1801" spans="1:6" x14ac:dyDescent="0.2">
      <c r="A1801" s="275"/>
      <c r="B1801" s="78"/>
      <c r="C1801" s="189"/>
      <c r="D1801" s="259"/>
      <c r="E1801" s="186"/>
      <c r="F1801" s="187"/>
    </row>
    <row r="1802" spans="1:6" x14ac:dyDescent="0.2">
      <c r="A1802" s="275"/>
      <c r="B1802" s="78"/>
      <c r="C1802" s="189"/>
      <c r="D1802" s="259"/>
      <c r="E1802" s="186"/>
      <c r="F1802" s="187"/>
    </row>
    <row r="1803" spans="1:6" x14ac:dyDescent="0.2">
      <c r="A1803" s="275"/>
      <c r="B1803" s="78"/>
      <c r="C1803" s="189"/>
      <c r="D1803" s="259"/>
      <c r="E1803" s="186"/>
      <c r="F1803" s="187"/>
    </row>
    <row r="1804" spans="1:6" x14ac:dyDescent="0.2">
      <c r="A1804" s="275"/>
      <c r="B1804" s="78"/>
      <c r="C1804" s="189"/>
      <c r="D1804" s="259"/>
      <c r="E1804" s="186"/>
      <c r="F1804" s="187"/>
    </row>
    <row r="1805" spans="1:6" x14ac:dyDescent="0.2">
      <c r="A1805" s="275"/>
      <c r="B1805" s="78"/>
      <c r="C1805" s="189"/>
      <c r="D1805" s="259"/>
      <c r="E1805" s="186"/>
      <c r="F1805" s="187"/>
    </row>
    <row r="1806" spans="1:6" x14ac:dyDescent="0.2">
      <c r="A1806" s="275"/>
      <c r="B1806" s="78"/>
      <c r="C1806" s="189"/>
      <c r="D1806" s="259"/>
      <c r="E1806" s="186"/>
      <c r="F1806" s="187"/>
    </row>
    <row r="1807" spans="1:6" x14ac:dyDescent="0.2">
      <c r="A1807" s="275"/>
      <c r="B1807" s="78"/>
      <c r="C1807" s="189"/>
      <c r="D1807" s="259"/>
      <c r="E1807" s="186"/>
      <c r="F1807" s="187"/>
    </row>
    <row r="1808" spans="1:6" x14ac:dyDescent="0.2">
      <c r="A1808" s="275"/>
      <c r="B1808" s="78"/>
      <c r="C1808" s="189"/>
      <c r="D1808" s="259"/>
      <c r="E1808" s="186"/>
      <c r="F1808" s="187"/>
    </row>
    <row r="1809" spans="1:6" x14ac:dyDescent="0.2">
      <c r="A1809" s="275"/>
      <c r="B1809" s="78"/>
      <c r="C1809" s="189"/>
      <c r="D1809" s="259"/>
      <c r="E1809" s="186"/>
      <c r="F1809" s="187"/>
    </row>
    <row r="1810" spans="1:6" x14ac:dyDescent="0.2">
      <c r="A1810" s="275"/>
      <c r="B1810" s="78"/>
      <c r="C1810" s="189"/>
      <c r="D1810" s="259"/>
      <c r="E1810" s="186"/>
      <c r="F1810" s="187"/>
    </row>
    <row r="1811" spans="1:6" x14ac:dyDescent="0.2">
      <c r="A1811" s="275"/>
      <c r="B1811" s="78"/>
      <c r="C1811" s="189"/>
      <c r="D1811" s="259"/>
      <c r="E1811" s="186"/>
      <c r="F1811" s="187"/>
    </row>
    <row r="1812" spans="1:6" x14ac:dyDescent="0.2">
      <c r="A1812" s="275"/>
      <c r="B1812" s="78"/>
      <c r="C1812" s="189"/>
      <c r="D1812" s="259"/>
      <c r="E1812" s="186"/>
      <c r="F1812" s="187"/>
    </row>
    <row r="1813" spans="1:6" x14ac:dyDescent="0.2">
      <c r="A1813" s="275"/>
      <c r="B1813" s="78"/>
      <c r="C1813" s="189"/>
      <c r="D1813" s="259"/>
      <c r="E1813" s="186"/>
      <c r="F1813" s="187"/>
    </row>
    <row r="1814" spans="1:6" x14ac:dyDescent="0.2">
      <c r="A1814" s="275"/>
      <c r="B1814" s="78"/>
      <c r="C1814" s="189"/>
      <c r="D1814" s="259"/>
      <c r="E1814" s="186"/>
      <c r="F1814" s="187"/>
    </row>
    <row r="1815" spans="1:6" x14ac:dyDescent="0.2">
      <c r="A1815" s="275"/>
      <c r="B1815" s="78"/>
      <c r="C1815" s="189"/>
      <c r="D1815" s="259"/>
      <c r="E1815" s="186"/>
      <c r="F1815" s="187"/>
    </row>
    <row r="1816" spans="1:6" x14ac:dyDescent="0.2">
      <c r="A1816" s="275"/>
      <c r="B1816" s="78"/>
      <c r="C1816" s="189"/>
      <c r="D1816" s="259"/>
      <c r="E1816" s="186"/>
      <c r="F1816" s="187"/>
    </row>
    <row r="1817" spans="1:6" x14ac:dyDescent="0.2">
      <c r="A1817" s="275"/>
      <c r="B1817" s="78"/>
      <c r="C1817" s="189"/>
      <c r="D1817" s="259"/>
      <c r="E1817" s="186"/>
      <c r="F1817" s="187"/>
    </row>
    <row r="1818" spans="1:6" x14ac:dyDescent="0.2">
      <c r="A1818" s="275"/>
      <c r="B1818" s="78"/>
      <c r="C1818" s="189"/>
      <c r="D1818" s="259"/>
      <c r="E1818" s="186"/>
      <c r="F1818" s="187"/>
    </row>
    <row r="1819" spans="1:6" x14ac:dyDescent="0.2">
      <c r="A1819" s="275"/>
      <c r="B1819" s="78"/>
      <c r="C1819" s="189"/>
      <c r="D1819" s="259"/>
      <c r="E1819" s="186"/>
      <c r="F1819" s="187"/>
    </row>
    <row r="1820" spans="1:6" x14ac:dyDescent="0.2">
      <c r="A1820" s="275"/>
      <c r="B1820" s="78"/>
      <c r="C1820" s="189"/>
      <c r="D1820" s="259"/>
      <c r="E1820" s="186"/>
      <c r="F1820" s="187"/>
    </row>
    <row r="1821" spans="1:6" x14ac:dyDescent="0.2">
      <c r="A1821" s="275"/>
      <c r="B1821" s="78"/>
      <c r="C1821" s="189"/>
      <c r="D1821" s="259"/>
      <c r="E1821" s="186"/>
      <c r="F1821" s="187"/>
    </row>
    <row r="1822" spans="1:6" x14ac:dyDescent="0.2">
      <c r="A1822" s="275"/>
      <c r="B1822" s="78"/>
      <c r="C1822" s="189"/>
      <c r="D1822" s="259"/>
      <c r="E1822" s="186"/>
      <c r="F1822" s="187"/>
    </row>
    <row r="1823" spans="1:6" x14ac:dyDescent="0.2">
      <c r="A1823" s="275"/>
      <c r="B1823" s="78"/>
      <c r="C1823" s="189"/>
      <c r="D1823" s="259"/>
      <c r="E1823" s="186"/>
      <c r="F1823" s="187"/>
    </row>
    <row r="1824" spans="1:6" x14ac:dyDescent="0.2">
      <c r="A1824" s="275"/>
      <c r="B1824" s="78"/>
      <c r="C1824" s="189"/>
      <c r="D1824" s="259"/>
      <c r="E1824" s="186"/>
      <c r="F1824" s="187"/>
    </row>
    <row r="1825" spans="1:6" x14ac:dyDescent="0.2">
      <c r="A1825" s="275"/>
      <c r="B1825" s="78"/>
      <c r="C1825" s="189"/>
      <c r="D1825" s="259"/>
      <c r="E1825" s="186"/>
      <c r="F1825" s="187"/>
    </row>
    <row r="1826" spans="1:6" x14ac:dyDescent="0.2">
      <c r="A1826" s="275"/>
      <c r="B1826" s="78"/>
      <c r="C1826" s="189"/>
      <c r="D1826" s="259"/>
      <c r="E1826" s="186"/>
      <c r="F1826" s="187"/>
    </row>
    <row r="1827" spans="1:6" x14ac:dyDescent="0.2">
      <c r="A1827" s="275"/>
      <c r="B1827" s="78"/>
      <c r="C1827" s="189"/>
      <c r="D1827" s="259"/>
      <c r="E1827" s="186"/>
      <c r="F1827" s="187"/>
    </row>
    <row r="1828" spans="1:6" x14ac:dyDescent="0.2">
      <c r="A1828" s="275"/>
      <c r="B1828" s="78"/>
      <c r="C1828" s="189"/>
      <c r="D1828" s="259"/>
      <c r="E1828" s="186"/>
      <c r="F1828" s="187"/>
    </row>
    <row r="1829" spans="1:6" x14ac:dyDescent="0.2">
      <c r="A1829" s="275"/>
      <c r="B1829" s="78"/>
      <c r="C1829" s="189"/>
      <c r="D1829" s="259"/>
      <c r="E1829" s="186"/>
      <c r="F1829" s="187"/>
    </row>
    <row r="1830" spans="1:6" x14ac:dyDescent="0.2">
      <c r="A1830" s="275"/>
      <c r="B1830" s="78"/>
      <c r="C1830" s="189"/>
      <c r="D1830" s="259"/>
      <c r="E1830" s="186"/>
      <c r="F1830" s="187"/>
    </row>
    <row r="1831" spans="1:6" x14ac:dyDescent="0.2">
      <c r="A1831" s="275"/>
      <c r="B1831" s="78"/>
      <c r="C1831" s="189"/>
      <c r="D1831" s="259"/>
      <c r="E1831" s="186"/>
      <c r="F1831" s="187"/>
    </row>
    <row r="1832" spans="1:6" x14ac:dyDescent="0.2">
      <c r="A1832" s="275"/>
      <c r="B1832" s="78"/>
      <c r="C1832" s="189"/>
      <c r="D1832" s="259"/>
      <c r="E1832" s="186"/>
      <c r="F1832" s="187"/>
    </row>
    <row r="1833" spans="1:6" x14ac:dyDescent="0.2">
      <c r="A1833" s="275"/>
      <c r="B1833" s="78"/>
      <c r="C1833" s="189"/>
      <c r="D1833" s="259"/>
      <c r="E1833" s="186"/>
      <c r="F1833" s="187"/>
    </row>
    <row r="1834" spans="1:6" x14ac:dyDescent="0.2">
      <c r="A1834" s="275"/>
      <c r="B1834" s="78"/>
      <c r="C1834" s="189"/>
      <c r="D1834" s="259"/>
      <c r="E1834" s="186"/>
      <c r="F1834" s="187"/>
    </row>
    <row r="1835" spans="1:6" x14ac:dyDescent="0.2">
      <c r="A1835" s="275"/>
      <c r="B1835" s="78"/>
      <c r="C1835" s="189"/>
      <c r="D1835" s="259"/>
      <c r="E1835" s="186"/>
      <c r="F1835" s="187"/>
    </row>
    <row r="1836" spans="1:6" x14ac:dyDescent="0.2">
      <c r="A1836" s="275"/>
      <c r="B1836" s="78"/>
      <c r="C1836" s="189"/>
      <c r="D1836" s="259"/>
      <c r="E1836" s="186"/>
      <c r="F1836" s="187"/>
    </row>
    <row r="1837" spans="1:6" x14ac:dyDescent="0.2">
      <c r="A1837" s="275"/>
      <c r="B1837" s="78"/>
      <c r="C1837" s="189"/>
      <c r="D1837" s="259"/>
      <c r="E1837" s="186"/>
      <c r="F1837" s="187"/>
    </row>
    <row r="1838" spans="1:6" x14ac:dyDescent="0.2">
      <c r="A1838" s="275"/>
      <c r="B1838" s="78"/>
      <c r="C1838" s="189"/>
      <c r="D1838" s="259"/>
      <c r="E1838" s="186"/>
      <c r="F1838" s="187"/>
    </row>
    <row r="1839" spans="1:6" x14ac:dyDescent="0.2">
      <c r="A1839" s="275"/>
      <c r="B1839" s="78"/>
      <c r="C1839" s="189"/>
      <c r="D1839" s="259"/>
      <c r="E1839" s="186"/>
      <c r="F1839" s="187"/>
    </row>
    <row r="1840" spans="1:6" x14ac:dyDescent="0.2">
      <c r="A1840" s="275"/>
      <c r="B1840" s="78"/>
      <c r="C1840" s="189"/>
      <c r="D1840" s="259"/>
      <c r="E1840" s="186"/>
      <c r="F1840" s="187"/>
    </row>
    <row r="1841" spans="1:6" x14ac:dyDescent="0.2">
      <c r="A1841" s="275"/>
      <c r="B1841" s="78"/>
      <c r="C1841" s="189"/>
      <c r="D1841" s="259"/>
      <c r="E1841" s="186"/>
      <c r="F1841" s="187"/>
    </row>
    <row r="1842" spans="1:6" x14ac:dyDescent="0.2">
      <c r="A1842" s="275"/>
      <c r="B1842" s="78"/>
      <c r="C1842" s="189"/>
      <c r="D1842" s="259"/>
      <c r="E1842" s="186"/>
      <c r="F1842" s="187"/>
    </row>
    <row r="1843" spans="1:6" x14ac:dyDescent="0.2">
      <c r="A1843" s="275"/>
      <c r="B1843" s="78"/>
      <c r="C1843" s="189"/>
      <c r="D1843" s="259"/>
      <c r="E1843" s="186"/>
      <c r="F1843" s="187"/>
    </row>
    <row r="1844" spans="1:6" x14ac:dyDescent="0.2">
      <c r="A1844" s="275"/>
      <c r="B1844" s="78"/>
      <c r="C1844" s="189"/>
      <c r="D1844" s="259"/>
      <c r="E1844" s="186"/>
      <c r="F1844" s="187"/>
    </row>
    <row r="1845" spans="1:6" x14ac:dyDescent="0.2">
      <c r="A1845" s="275"/>
      <c r="B1845" s="78"/>
      <c r="C1845" s="189"/>
      <c r="D1845" s="259"/>
      <c r="E1845" s="186"/>
      <c r="F1845" s="187"/>
    </row>
    <row r="1846" spans="1:6" x14ac:dyDescent="0.2">
      <c r="A1846" s="275"/>
      <c r="B1846" s="78"/>
      <c r="C1846" s="189"/>
      <c r="D1846" s="259"/>
      <c r="E1846" s="186"/>
      <c r="F1846" s="187"/>
    </row>
    <row r="1847" spans="1:6" x14ac:dyDescent="0.2">
      <c r="A1847" s="275"/>
      <c r="B1847" s="78"/>
      <c r="C1847" s="189"/>
      <c r="D1847" s="259"/>
      <c r="E1847" s="186"/>
      <c r="F1847" s="187"/>
    </row>
    <row r="1848" spans="1:6" x14ac:dyDescent="0.2">
      <c r="A1848" s="275"/>
      <c r="B1848" s="78"/>
      <c r="C1848" s="189"/>
      <c r="D1848" s="259"/>
      <c r="E1848" s="186"/>
      <c r="F1848" s="187"/>
    </row>
    <row r="1849" spans="1:6" x14ac:dyDescent="0.2">
      <c r="A1849" s="275"/>
      <c r="B1849" s="78"/>
      <c r="C1849" s="189"/>
      <c r="D1849" s="259"/>
      <c r="E1849" s="186"/>
      <c r="F1849" s="187"/>
    </row>
    <row r="1850" spans="1:6" x14ac:dyDescent="0.2">
      <c r="A1850" s="275"/>
      <c r="B1850" s="78"/>
      <c r="C1850" s="189"/>
      <c r="D1850" s="259"/>
      <c r="E1850" s="186"/>
      <c r="F1850" s="187"/>
    </row>
    <row r="1851" spans="1:6" x14ac:dyDescent="0.2">
      <c r="A1851" s="275"/>
      <c r="B1851" s="78"/>
      <c r="C1851" s="189"/>
      <c r="D1851" s="259"/>
      <c r="E1851" s="186"/>
      <c r="F1851" s="187"/>
    </row>
    <row r="1852" spans="1:6" x14ac:dyDescent="0.2">
      <c r="A1852" s="275"/>
      <c r="B1852" s="78"/>
      <c r="C1852" s="189"/>
      <c r="D1852" s="259"/>
      <c r="E1852" s="186"/>
      <c r="F1852" s="187"/>
    </row>
    <row r="1853" spans="1:6" x14ac:dyDescent="0.2">
      <c r="A1853" s="275"/>
      <c r="B1853" s="78"/>
      <c r="C1853" s="189"/>
      <c r="D1853" s="259"/>
      <c r="E1853" s="186"/>
      <c r="F1853" s="187"/>
    </row>
    <row r="1854" spans="1:6" x14ac:dyDescent="0.2">
      <c r="A1854" s="275"/>
      <c r="B1854" s="78"/>
      <c r="C1854" s="189"/>
      <c r="D1854" s="259"/>
      <c r="E1854" s="186"/>
      <c r="F1854" s="187"/>
    </row>
    <row r="1855" spans="1:6" x14ac:dyDescent="0.2">
      <c r="A1855" s="275"/>
      <c r="B1855" s="78"/>
      <c r="C1855" s="189"/>
      <c r="D1855" s="259"/>
      <c r="E1855" s="186"/>
      <c r="F1855" s="187"/>
    </row>
    <row r="1856" spans="1:6" x14ac:dyDescent="0.2">
      <c r="A1856" s="275"/>
      <c r="B1856" s="78"/>
      <c r="C1856" s="189"/>
      <c r="D1856" s="259"/>
      <c r="E1856" s="186"/>
      <c r="F1856" s="187"/>
    </row>
    <row r="1857" spans="1:6" x14ac:dyDescent="0.2">
      <c r="A1857" s="275"/>
      <c r="B1857" s="78"/>
      <c r="C1857" s="189"/>
      <c r="D1857" s="259"/>
      <c r="E1857" s="186"/>
      <c r="F1857" s="187"/>
    </row>
    <row r="1858" spans="1:6" x14ac:dyDescent="0.2">
      <c r="A1858" s="275"/>
      <c r="B1858" s="78"/>
      <c r="C1858" s="189"/>
      <c r="D1858" s="259"/>
      <c r="E1858" s="186"/>
      <c r="F1858" s="187"/>
    </row>
    <row r="1859" spans="1:6" x14ac:dyDescent="0.2">
      <c r="A1859" s="275"/>
      <c r="B1859" s="78"/>
      <c r="C1859" s="189"/>
      <c r="D1859" s="259"/>
      <c r="E1859" s="186"/>
      <c r="F1859" s="187"/>
    </row>
    <row r="1860" spans="1:6" x14ac:dyDescent="0.2">
      <c r="A1860" s="275"/>
      <c r="B1860" s="78"/>
      <c r="C1860" s="189"/>
      <c r="D1860" s="259"/>
      <c r="E1860" s="186"/>
      <c r="F1860" s="187"/>
    </row>
    <row r="1861" spans="1:6" x14ac:dyDescent="0.2">
      <c r="A1861" s="275"/>
      <c r="B1861" s="78"/>
      <c r="C1861" s="189"/>
      <c r="D1861" s="259"/>
      <c r="E1861" s="186"/>
      <c r="F1861" s="187"/>
    </row>
    <row r="1862" spans="1:6" x14ac:dyDescent="0.2">
      <c r="A1862" s="275"/>
      <c r="B1862" s="78"/>
      <c r="C1862" s="189"/>
      <c r="D1862" s="259"/>
      <c r="E1862" s="186"/>
      <c r="F1862" s="187"/>
    </row>
    <row r="1863" spans="1:6" x14ac:dyDescent="0.2">
      <c r="A1863" s="275"/>
      <c r="B1863" s="78"/>
      <c r="C1863" s="189"/>
      <c r="D1863" s="259"/>
      <c r="E1863" s="186"/>
      <c r="F1863" s="187"/>
    </row>
    <row r="1864" spans="1:6" x14ac:dyDescent="0.2">
      <c r="A1864" s="275"/>
      <c r="B1864" s="78"/>
      <c r="C1864" s="189"/>
      <c r="D1864" s="259"/>
      <c r="E1864" s="186"/>
      <c r="F1864" s="187"/>
    </row>
    <row r="1865" spans="1:6" x14ac:dyDescent="0.2">
      <c r="A1865" s="275"/>
      <c r="B1865" s="78"/>
      <c r="C1865" s="189"/>
      <c r="D1865" s="259"/>
      <c r="E1865" s="186"/>
      <c r="F1865" s="187"/>
    </row>
    <row r="1866" spans="1:6" x14ac:dyDescent="0.2">
      <c r="A1866" s="275"/>
      <c r="B1866" s="78"/>
      <c r="C1866" s="189"/>
      <c r="D1866" s="259"/>
      <c r="E1866" s="186"/>
      <c r="F1866" s="187"/>
    </row>
    <row r="1867" spans="1:6" x14ac:dyDescent="0.2">
      <c r="A1867" s="275"/>
      <c r="B1867" s="78"/>
      <c r="C1867" s="189"/>
      <c r="D1867" s="259"/>
      <c r="E1867" s="186"/>
      <c r="F1867" s="187"/>
    </row>
    <row r="1868" spans="1:6" x14ac:dyDescent="0.2">
      <c r="A1868" s="275"/>
      <c r="B1868" s="78"/>
      <c r="C1868" s="189"/>
      <c r="D1868" s="259"/>
      <c r="E1868" s="186"/>
      <c r="F1868" s="187"/>
    </row>
    <row r="1869" spans="1:6" x14ac:dyDescent="0.2">
      <c r="A1869" s="275"/>
      <c r="B1869" s="78"/>
      <c r="C1869" s="189"/>
      <c r="D1869" s="259"/>
      <c r="E1869" s="186"/>
      <c r="F1869" s="187"/>
    </row>
    <row r="1870" spans="1:6" x14ac:dyDescent="0.2">
      <c r="A1870" s="275"/>
      <c r="B1870" s="78"/>
      <c r="C1870" s="189"/>
      <c r="D1870" s="259"/>
      <c r="E1870" s="186"/>
      <c r="F1870" s="187"/>
    </row>
    <row r="1871" spans="1:6" x14ac:dyDescent="0.2">
      <c r="A1871" s="275"/>
      <c r="B1871" s="78"/>
      <c r="C1871" s="189"/>
      <c r="D1871" s="259"/>
      <c r="E1871" s="186"/>
      <c r="F1871" s="187"/>
    </row>
    <row r="1872" spans="1:6" x14ac:dyDescent="0.2">
      <c r="A1872" s="275"/>
      <c r="B1872" s="78"/>
      <c r="C1872" s="189"/>
      <c r="D1872" s="259"/>
      <c r="E1872" s="186"/>
      <c r="F1872" s="187"/>
    </row>
    <row r="1873" spans="1:6" x14ac:dyDescent="0.2">
      <c r="A1873" s="275"/>
      <c r="B1873" s="78"/>
      <c r="C1873" s="189"/>
      <c r="D1873" s="259"/>
      <c r="E1873" s="186"/>
      <c r="F1873" s="187"/>
    </row>
    <row r="1874" spans="1:6" x14ac:dyDescent="0.2">
      <c r="A1874" s="275"/>
      <c r="B1874" s="78"/>
      <c r="C1874" s="189"/>
      <c r="D1874" s="259"/>
      <c r="E1874" s="186"/>
      <c r="F1874" s="187"/>
    </row>
    <row r="1875" spans="1:6" x14ac:dyDescent="0.2">
      <c r="A1875" s="275"/>
      <c r="B1875" s="78"/>
      <c r="C1875" s="189"/>
      <c r="D1875" s="259"/>
      <c r="E1875" s="186"/>
      <c r="F1875" s="187"/>
    </row>
    <row r="1876" spans="1:6" x14ac:dyDescent="0.2">
      <c r="A1876" s="275"/>
      <c r="B1876" s="78"/>
      <c r="C1876" s="189"/>
      <c r="D1876" s="259"/>
      <c r="E1876" s="186"/>
      <c r="F1876" s="187"/>
    </row>
    <row r="1877" spans="1:6" x14ac:dyDescent="0.2">
      <c r="A1877" s="275"/>
      <c r="B1877" s="78"/>
      <c r="C1877" s="189"/>
      <c r="D1877" s="259"/>
      <c r="E1877" s="186"/>
      <c r="F1877" s="187"/>
    </row>
    <row r="1878" spans="1:6" x14ac:dyDescent="0.2">
      <c r="A1878" s="275"/>
      <c r="B1878" s="78"/>
      <c r="C1878" s="189"/>
      <c r="D1878" s="259"/>
      <c r="E1878" s="186"/>
      <c r="F1878" s="187"/>
    </row>
    <row r="1879" spans="1:6" x14ac:dyDescent="0.2">
      <c r="A1879" s="275"/>
      <c r="B1879" s="78"/>
      <c r="C1879" s="189"/>
      <c r="D1879" s="259"/>
      <c r="E1879" s="186"/>
      <c r="F1879" s="187"/>
    </row>
    <row r="1880" spans="1:6" x14ac:dyDescent="0.2">
      <c r="A1880" s="275"/>
      <c r="B1880" s="78"/>
      <c r="C1880" s="189"/>
      <c r="D1880" s="259"/>
      <c r="E1880" s="186"/>
      <c r="F1880" s="187"/>
    </row>
    <row r="1881" spans="1:6" x14ac:dyDescent="0.2">
      <c r="A1881" s="275"/>
      <c r="B1881" s="78"/>
      <c r="C1881" s="189"/>
      <c r="D1881" s="259"/>
      <c r="E1881" s="186"/>
      <c r="F1881" s="187"/>
    </row>
    <row r="1882" spans="1:6" x14ac:dyDescent="0.2">
      <c r="A1882" s="275"/>
      <c r="B1882" s="78"/>
      <c r="C1882" s="189"/>
      <c r="D1882" s="259"/>
      <c r="E1882" s="186"/>
      <c r="F1882" s="187"/>
    </row>
    <row r="1883" spans="1:6" x14ac:dyDescent="0.2">
      <c r="A1883" s="275"/>
      <c r="B1883" s="78"/>
      <c r="C1883" s="189"/>
      <c r="D1883" s="259"/>
      <c r="E1883" s="186"/>
      <c r="F1883" s="187"/>
    </row>
    <row r="1884" spans="1:6" x14ac:dyDescent="0.2">
      <c r="A1884" s="275"/>
      <c r="B1884" s="78"/>
      <c r="C1884" s="189"/>
      <c r="D1884" s="259"/>
      <c r="E1884" s="186"/>
      <c r="F1884" s="187"/>
    </row>
    <row r="1885" spans="1:6" x14ac:dyDescent="0.2">
      <c r="A1885" s="275"/>
      <c r="B1885" s="78"/>
      <c r="C1885" s="189"/>
      <c r="D1885" s="259"/>
      <c r="E1885" s="186"/>
      <c r="F1885" s="187"/>
    </row>
    <row r="1886" spans="1:6" x14ac:dyDescent="0.2">
      <c r="A1886" s="275"/>
      <c r="B1886" s="78"/>
      <c r="C1886" s="189"/>
      <c r="D1886" s="259"/>
      <c r="E1886" s="186"/>
      <c r="F1886" s="187"/>
    </row>
    <row r="1887" spans="1:6" x14ac:dyDescent="0.2">
      <c r="A1887" s="275"/>
      <c r="B1887" s="78"/>
      <c r="C1887" s="189"/>
      <c r="D1887" s="259"/>
      <c r="E1887" s="186"/>
      <c r="F1887" s="187"/>
    </row>
    <row r="1888" spans="1:6" x14ac:dyDescent="0.2">
      <c r="A1888" s="275"/>
      <c r="B1888" s="78"/>
      <c r="C1888" s="189"/>
      <c r="D1888" s="259"/>
      <c r="E1888" s="186"/>
      <c r="F1888" s="187"/>
    </row>
    <row r="1889" spans="1:6" x14ac:dyDescent="0.2">
      <c r="A1889" s="275"/>
      <c r="B1889" s="78"/>
      <c r="C1889" s="189"/>
      <c r="D1889" s="259"/>
      <c r="E1889" s="186"/>
      <c r="F1889" s="187"/>
    </row>
    <row r="1890" spans="1:6" x14ac:dyDescent="0.2">
      <c r="A1890" s="275"/>
      <c r="B1890" s="78"/>
      <c r="C1890" s="189"/>
      <c r="D1890" s="259"/>
      <c r="E1890" s="186"/>
      <c r="F1890" s="187"/>
    </row>
    <row r="1891" spans="1:6" x14ac:dyDescent="0.2">
      <c r="A1891" s="275"/>
      <c r="B1891" s="78"/>
      <c r="C1891" s="189"/>
      <c r="D1891" s="259"/>
      <c r="E1891" s="186"/>
      <c r="F1891" s="187"/>
    </row>
    <row r="1892" spans="1:6" x14ac:dyDescent="0.2">
      <c r="A1892" s="275"/>
      <c r="B1892" s="78"/>
      <c r="C1892" s="189"/>
      <c r="D1892" s="259"/>
      <c r="E1892" s="186"/>
      <c r="F1892" s="187"/>
    </row>
    <row r="1893" spans="1:6" x14ac:dyDescent="0.2">
      <c r="A1893" s="275"/>
      <c r="B1893" s="78"/>
      <c r="C1893" s="189"/>
      <c r="D1893" s="259"/>
      <c r="E1893" s="186"/>
      <c r="F1893" s="187"/>
    </row>
    <row r="1894" spans="1:6" x14ac:dyDescent="0.2">
      <c r="A1894" s="275"/>
      <c r="B1894" s="78"/>
      <c r="C1894" s="189"/>
      <c r="D1894" s="259"/>
      <c r="E1894" s="186"/>
      <c r="F1894" s="187"/>
    </row>
    <row r="1895" spans="1:6" x14ac:dyDescent="0.2">
      <c r="A1895" s="275"/>
      <c r="B1895" s="78"/>
      <c r="C1895" s="189"/>
      <c r="D1895" s="259"/>
      <c r="E1895" s="186"/>
      <c r="F1895" s="187"/>
    </row>
    <row r="1896" spans="1:6" x14ac:dyDescent="0.2">
      <c r="A1896" s="275"/>
      <c r="B1896" s="78"/>
      <c r="C1896" s="189"/>
      <c r="D1896" s="259"/>
      <c r="E1896" s="186"/>
      <c r="F1896" s="187"/>
    </row>
    <row r="1897" spans="1:6" x14ac:dyDescent="0.2">
      <c r="A1897" s="275"/>
      <c r="B1897" s="78"/>
      <c r="C1897" s="189"/>
      <c r="D1897" s="259"/>
      <c r="E1897" s="186"/>
      <c r="F1897" s="187"/>
    </row>
    <row r="1898" spans="1:6" x14ac:dyDescent="0.2">
      <c r="A1898" s="275"/>
      <c r="B1898" s="78"/>
      <c r="C1898" s="189"/>
      <c r="D1898" s="259"/>
      <c r="E1898" s="186"/>
      <c r="F1898" s="187"/>
    </row>
    <row r="1899" spans="1:6" x14ac:dyDescent="0.2">
      <c r="A1899" s="275"/>
      <c r="B1899" s="78"/>
      <c r="C1899" s="189"/>
      <c r="D1899" s="259"/>
      <c r="E1899" s="186"/>
      <c r="F1899" s="187"/>
    </row>
    <row r="1900" spans="1:6" x14ac:dyDescent="0.2">
      <c r="A1900" s="275"/>
      <c r="B1900" s="78"/>
      <c r="C1900" s="189"/>
      <c r="D1900" s="259"/>
      <c r="E1900" s="186"/>
      <c r="F1900" s="187"/>
    </row>
    <row r="1901" spans="1:6" x14ac:dyDescent="0.2">
      <c r="A1901" s="275"/>
      <c r="B1901" s="78"/>
      <c r="C1901" s="189"/>
      <c r="D1901" s="259"/>
      <c r="E1901" s="186"/>
      <c r="F1901" s="187"/>
    </row>
    <row r="1902" spans="1:6" x14ac:dyDescent="0.2">
      <c r="A1902" s="275"/>
      <c r="B1902" s="78"/>
      <c r="C1902" s="189"/>
      <c r="D1902" s="259"/>
      <c r="E1902" s="186"/>
      <c r="F1902" s="187"/>
    </row>
    <row r="1903" spans="1:6" x14ac:dyDescent="0.2">
      <c r="A1903" s="275"/>
      <c r="B1903" s="78"/>
      <c r="C1903" s="189"/>
      <c r="D1903" s="259"/>
      <c r="E1903" s="186"/>
      <c r="F1903" s="187"/>
    </row>
    <row r="1904" spans="1:6" x14ac:dyDescent="0.2">
      <c r="A1904" s="275"/>
      <c r="B1904" s="78"/>
      <c r="C1904" s="189"/>
      <c r="D1904" s="259"/>
      <c r="E1904" s="186"/>
      <c r="F1904" s="187"/>
    </row>
    <row r="1905" spans="1:6" x14ac:dyDescent="0.2">
      <c r="A1905" s="275"/>
      <c r="B1905" s="78"/>
      <c r="C1905" s="189"/>
      <c r="D1905" s="259"/>
      <c r="E1905" s="186"/>
      <c r="F1905" s="187"/>
    </row>
    <row r="1906" spans="1:6" x14ac:dyDescent="0.2">
      <c r="A1906" s="275"/>
      <c r="B1906" s="78"/>
      <c r="C1906" s="189"/>
      <c r="D1906" s="259"/>
      <c r="E1906" s="186"/>
      <c r="F1906" s="187"/>
    </row>
    <row r="1907" spans="1:6" x14ac:dyDescent="0.2">
      <c r="A1907" s="275"/>
      <c r="B1907" s="78"/>
      <c r="C1907" s="189"/>
      <c r="D1907" s="259"/>
      <c r="E1907" s="186"/>
      <c r="F1907" s="187"/>
    </row>
    <row r="1908" spans="1:6" x14ac:dyDescent="0.2">
      <c r="A1908" s="275"/>
      <c r="B1908" s="78"/>
      <c r="C1908" s="189"/>
      <c r="D1908" s="259"/>
      <c r="E1908" s="186"/>
      <c r="F1908" s="187"/>
    </row>
    <row r="1909" spans="1:6" x14ac:dyDescent="0.2">
      <c r="A1909" s="275"/>
      <c r="B1909" s="78"/>
      <c r="C1909" s="189"/>
      <c r="D1909" s="259"/>
      <c r="E1909" s="186"/>
      <c r="F1909" s="187"/>
    </row>
    <row r="1910" spans="1:6" x14ac:dyDescent="0.2">
      <c r="A1910" s="275"/>
      <c r="B1910" s="78"/>
      <c r="C1910" s="189"/>
      <c r="D1910" s="259"/>
      <c r="E1910" s="186"/>
      <c r="F1910" s="187"/>
    </row>
    <row r="1911" spans="1:6" x14ac:dyDescent="0.2">
      <c r="A1911" s="275"/>
      <c r="B1911" s="78"/>
      <c r="C1911" s="189"/>
      <c r="D1911" s="259"/>
      <c r="E1911" s="186"/>
      <c r="F1911" s="187"/>
    </row>
    <row r="1912" spans="1:6" x14ac:dyDescent="0.2">
      <c r="A1912" s="275"/>
      <c r="B1912" s="78"/>
      <c r="C1912" s="189"/>
      <c r="D1912" s="259"/>
      <c r="E1912" s="186"/>
      <c r="F1912" s="187"/>
    </row>
    <row r="1913" spans="1:6" x14ac:dyDescent="0.2">
      <c r="A1913" s="275"/>
      <c r="B1913" s="78"/>
      <c r="C1913" s="189"/>
      <c r="D1913" s="259"/>
      <c r="E1913" s="186"/>
      <c r="F1913" s="187"/>
    </row>
    <row r="1914" spans="1:6" x14ac:dyDescent="0.2">
      <c r="A1914" s="275"/>
      <c r="B1914" s="78"/>
      <c r="C1914" s="189"/>
      <c r="D1914" s="259"/>
      <c r="E1914" s="186"/>
      <c r="F1914" s="187"/>
    </row>
    <row r="1915" spans="1:6" x14ac:dyDescent="0.2">
      <c r="A1915" s="275"/>
      <c r="B1915" s="78"/>
      <c r="C1915" s="189"/>
      <c r="D1915" s="259"/>
      <c r="E1915" s="186"/>
      <c r="F1915" s="187"/>
    </row>
    <row r="1916" spans="1:6" x14ac:dyDescent="0.2">
      <c r="A1916" s="275"/>
      <c r="B1916" s="78"/>
      <c r="C1916" s="189"/>
      <c r="D1916" s="259"/>
      <c r="E1916" s="186"/>
      <c r="F1916" s="187"/>
    </row>
    <row r="1917" spans="1:6" x14ac:dyDescent="0.2">
      <c r="A1917" s="275"/>
      <c r="B1917" s="78"/>
      <c r="C1917" s="189"/>
      <c r="D1917" s="259"/>
      <c r="E1917" s="186"/>
      <c r="F1917" s="187"/>
    </row>
    <row r="1918" spans="1:6" x14ac:dyDescent="0.2">
      <c r="A1918" s="275"/>
      <c r="B1918" s="78"/>
      <c r="C1918" s="189"/>
      <c r="D1918" s="259"/>
      <c r="E1918" s="186"/>
      <c r="F1918" s="187"/>
    </row>
    <row r="1919" spans="1:6" x14ac:dyDescent="0.2">
      <c r="A1919" s="275"/>
      <c r="B1919" s="78"/>
      <c r="C1919" s="189"/>
      <c r="D1919" s="259"/>
      <c r="E1919" s="186"/>
      <c r="F1919" s="187"/>
    </row>
    <row r="1920" spans="1:6" x14ac:dyDescent="0.2">
      <c r="A1920" s="275"/>
      <c r="B1920" s="78"/>
      <c r="C1920" s="189"/>
      <c r="D1920" s="259"/>
      <c r="E1920" s="186"/>
      <c r="F1920" s="187"/>
    </row>
    <row r="1921" spans="1:6" x14ac:dyDescent="0.2">
      <c r="A1921" s="275"/>
      <c r="B1921" s="78"/>
      <c r="C1921" s="189"/>
      <c r="D1921" s="259"/>
      <c r="E1921" s="186"/>
      <c r="F1921" s="187"/>
    </row>
    <row r="1922" spans="1:6" x14ac:dyDescent="0.2">
      <c r="A1922" s="275"/>
      <c r="B1922" s="78"/>
      <c r="C1922" s="189"/>
      <c r="D1922" s="259"/>
      <c r="E1922" s="186"/>
      <c r="F1922" s="187"/>
    </row>
    <row r="1923" spans="1:6" x14ac:dyDescent="0.2">
      <c r="A1923" s="275"/>
      <c r="B1923" s="78"/>
      <c r="C1923" s="189"/>
      <c r="D1923" s="259"/>
      <c r="E1923" s="186"/>
      <c r="F1923" s="187"/>
    </row>
    <row r="1924" spans="1:6" x14ac:dyDescent="0.2">
      <c r="A1924" s="275"/>
      <c r="B1924" s="78"/>
      <c r="C1924" s="189"/>
      <c r="D1924" s="259"/>
      <c r="E1924" s="186"/>
      <c r="F1924" s="187"/>
    </row>
    <row r="1925" spans="1:6" x14ac:dyDescent="0.2">
      <c r="A1925" s="275"/>
      <c r="B1925" s="78"/>
      <c r="C1925" s="189"/>
      <c r="D1925" s="259"/>
      <c r="E1925" s="186"/>
      <c r="F1925" s="187"/>
    </row>
    <row r="1926" spans="1:6" x14ac:dyDescent="0.2">
      <c r="A1926" s="275"/>
      <c r="B1926" s="78"/>
      <c r="C1926" s="189"/>
      <c r="D1926" s="259"/>
      <c r="E1926" s="186"/>
      <c r="F1926" s="187"/>
    </row>
    <row r="1927" spans="1:6" x14ac:dyDescent="0.2">
      <c r="A1927" s="275"/>
      <c r="B1927" s="78"/>
      <c r="C1927" s="189"/>
      <c r="D1927" s="259"/>
      <c r="E1927" s="186"/>
      <c r="F1927" s="187"/>
    </row>
    <row r="1928" spans="1:6" x14ac:dyDescent="0.2">
      <c r="A1928" s="275"/>
      <c r="B1928" s="78"/>
      <c r="C1928" s="189"/>
      <c r="D1928" s="259"/>
      <c r="E1928" s="186"/>
      <c r="F1928" s="187"/>
    </row>
    <row r="1929" spans="1:6" x14ac:dyDescent="0.2">
      <c r="A1929" s="275"/>
      <c r="B1929" s="78"/>
      <c r="C1929" s="189"/>
      <c r="D1929" s="259"/>
      <c r="E1929" s="186"/>
      <c r="F1929" s="187"/>
    </row>
    <row r="1930" spans="1:6" x14ac:dyDescent="0.2">
      <c r="A1930" s="275"/>
      <c r="B1930" s="78"/>
      <c r="C1930" s="189"/>
      <c r="D1930" s="259"/>
      <c r="E1930" s="186"/>
      <c r="F1930" s="187"/>
    </row>
    <row r="1931" spans="1:6" x14ac:dyDescent="0.2">
      <c r="A1931" s="275"/>
      <c r="B1931" s="78"/>
      <c r="C1931" s="189"/>
      <c r="D1931" s="259"/>
      <c r="E1931" s="186"/>
      <c r="F1931" s="187"/>
    </row>
    <row r="1932" spans="1:6" x14ac:dyDescent="0.2">
      <c r="A1932" s="275"/>
      <c r="B1932" s="78"/>
      <c r="C1932" s="189"/>
      <c r="D1932" s="259"/>
      <c r="E1932" s="186"/>
      <c r="F1932" s="187"/>
    </row>
    <row r="1933" spans="1:6" x14ac:dyDescent="0.2">
      <c r="A1933" s="275"/>
      <c r="B1933" s="78"/>
      <c r="C1933" s="189"/>
      <c r="D1933" s="259"/>
      <c r="E1933" s="186"/>
      <c r="F1933" s="187"/>
    </row>
    <row r="1934" spans="1:6" x14ac:dyDescent="0.2">
      <c r="A1934" s="275"/>
      <c r="B1934" s="78"/>
      <c r="C1934" s="189"/>
      <c r="D1934" s="259"/>
      <c r="E1934" s="186"/>
      <c r="F1934" s="187"/>
    </row>
    <row r="1935" spans="1:6" x14ac:dyDescent="0.2">
      <c r="A1935" s="275"/>
      <c r="B1935" s="78"/>
      <c r="C1935" s="189"/>
      <c r="D1935" s="259"/>
      <c r="E1935" s="186"/>
      <c r="F1935" s="187"/>
    </row>
    <row r="1936" spans="1:6" x14ac:dyDescent="0.2">
      <c r="A1936" s="275"/>
      <c r="B1936" s="78"/>
      <c r="C1936" s="189"/>
      <c r="D1936" s="259"/>
      <c r="E1936" s="186"/>
      <c r="F1936" s="187"/>
    </row>
    <row r="1937" spans="1:6" x14ac:dyDescent="0.2">
      <c r="A1937" s="275"/>
      <c r="B1937" s="78"/>
      <c r="C1937" s="189"/>
      <c r="D1937" s="259"/>
      <c r="E1937" s="186"/>
      <c r="F1937" s="187"/>
    </row>
    <row r="1938" spans="1:6" x14ac:dyDescent="0.2">
      <c r="A1938" s="275"/>
      <c r="B1938" s="78"/>
      <c r="C1938" s="189"/>
      <c r="D1938" s="259"/>
      <c r="E1938" s="186"/>
      <c r="F1938" s="187"/>
    </row>
    <row r="1939" spans="1:6" x14ac:dyDescent="0.2">
      <c r="A1939" s="275"/>
      <c r="B1939" s="78"/>
      <c r="C1939" s="189"/>
      <c r="D1939" s="259"/>
      <c r="E1939" s="186"/>
      <c r="F1939" s="187"/>
    </row>
    <row r="1940" spans="1:6" x14ac:dyDescent="0.2">
      <c r="A1940" s="275"/>
      <c r="B1940" s="78"/>
      <c r="C1940" s="189"/>
      <c r="D1940" s="259"/>
      <c r="E1940" s="186"/>
      <c r="F1940" s="187"/>
    </row>
    <row r="1941" spans="1:6" x14ac:dyDescent="0.2">
      <c r="A1941" s="275"/>
      <c r="B1941" s="78"/>
      <c r="C1941" s="189"/>
      <c r="D1941" s="259"/>
      <c r="E1941" s="186"/>
      <c r="F1941" s="187"/>
    </row>
    <row r="1942" spans="1:6" x14ac:dyDescent="0.2">
      <c r="A1942" s="275"/>
      <c r="B1942" s="78"/>
      <c r="C1942" s="189"/>
      <c r="D1942" s="259"/>
      <c r="E1942" s="186"/>
      <c r="F1942" s="187"/>
    </row>
    <row r="1943" spans="1:6" x14ac:dyDescent="0.2">
      <c r="A1943" s="275"/>
      <c r="B1943" s="78"/>
      <c r="C1943" s="189"/>
      <c r="D1943" s="259"/>
      <c r="E1943" s="186"/>
      <c r="F1943" s="187"/>
    </row>
    <row r="1944" spans="1:6" x14ac:dyDescent="0.2">
      <c r="A1944" s="275"/>
      <c r="B1944" s="78"/>
      <c r="C1944" s="189"/>
      <c r="D1944" s="259"/>
      <c r="E1944" s="186"/>
      <c r="F1944" s="187"/>
    </row>
    <row r="1945" spans="1:6" x14ac:dyDescent="0.2">
      <c r="A1945" s="275"/>
      <c r="B1945" s="78"/>
      <c r="C1945" s="189"/>
      <c r="D1945" s="259"/>
      <c r="E1945" s="186"/>
      <c r="F1945" s="187"/>
    </row>
    <row r="1946" spans="1:6" x14ac:dyDescent="0.2">
      <c r="A1946" s="275"/>
      <c r="B1946" s="78"/>
      <c r="C1946" s="189"/>
      <c r="D1946" s="259"/>
      <c r="E1946" s="186"/>
      <c r="F1946" s="187"/>
    </row>
    <row r="1947" spans="1:6" x14ac:dyDescent="0.2">
      <c r="A1947" s="275"/>
      <c r="B1947" s="78"/>
      <c r="C1947" s="189"/>
      <c r="D1947" s="259"/>
      <c r="E1947" s="186"/>
      <c r="F1947" s="187"/>
    </row>
    <row r="1948" spans="1:6" x14ac:dyDescent="0.2">
      <c r="A1948" s="275"/>
      <c r="B1948" s="78"/>
      <c r="C1948" s="189"/>
      <c r="D1948" s="259"/>
      <c r="E1948" s="186"/>
      <c r="F1948" s="187"/>
    </row>
    <row r="1949" spans="1:6" x14ac:dyDescent="0.2">
      <c r="A1949" s="275"/>
      <c r="B1949" s="78"/>
      <c r="C1949" s="189"/>
      <c r="D1949" s="259"/>
      <c r="E1949" s="186"/>
      <c r="F1949" s="187"/>
    </row>
    <row r="1950" spans="1:6" x14ac:dyDescent="0.2">
      <c r="A1950" s="275"/>
      <c r="B1950" s="78"/>
      <c r="C1950" s="189"/>
      <c r="D1950" s="259"/>
      <c r="E1950" s="186"/>
      <c r="F1950" s="187"/>
    </row>
    <row r="1951" spans="1:6" x14ac:dyDescent="0.2">
      <c r="A1951" s="275"/>
      <c r="B1951" s="78"/>
      <c r="C1951" s="189"/>
      <c r="D1951" s="259"/>
      <c r="E1951" s="186"/>
      <c r="F1951" s="187"/>
    </row>
    <row r="1952" spans="1:6" x14ac:dyDescent="0.2">
      <c r="A1952" s="275"/>
      <c r="B1952" s="78"/>
      <c r="C1952" s="189"/>
      <c r="D1952" s="259"/>
      <c r="E1952" s="186"/>
      <c r="F1952" s="187"/>
    </row>
    <row r="1953" spans="1:6" x14ac:dyDescent="0.2">
      <c r="A1953" s="275"/>
      <c r="B1953" s="78"/>
      <c r="C1953" s="189"/>
      <c r="D1953" s="259"/>
      <c r="E1953" s="186"/>
      <c r="F1953" s="187"/>
    </row>
    <row r="1954" spans="1:6" x14ac:dyDescent="0.2">
      <c r="A1954" s="275"/>
      <c r="B1954" s="78"/>
      <c r="C1954" s="189"/>
      <c r="D1954" s="259"/>
      <c r="E1954" s="186"/>
      <c r="F1954" s="187"/>
    </row>
    <row r="1955" spans="1:6" x14ac:dyDescent="0.2">
      <c r="A1955" s="275"/>
      <c r="B1955" s="78"/>
      <c r="C1955" s="189"/>
      <c r="D1955" s="259"/>
      <c r="E1955" s="186"/>
      <c r="F1955" s="187"/>
    </row>
    <row r="1956" spans="1:6" x14ac:dyDescent="0.2">
      <c r="A1956" s="275"/>
      <c r="B1956" s="78"/>
      <c r="C1956" s="189"/>
      <c r="D1956" s="259"/>
      <c r="E1956" s="186"/>
      <c r="F1956" s="187"/>
    </row>
    <row r="1957" spans="1:6" x14ac:dyDescent="0.2">
      <c r="A1957" s="275"/>
      <c r="B1957" s="78"/>
      <c r="C1957" s="189"/>
      <c r="D1957" s="259"/>
      <c r="E1957" s="186"/>
      <c r="F1957" s="187"/>
    </row>
    <row r="1958" spans="1:6" x14ac:dyDescent="0.2">
      <c r="A1958" s="275"/>
      <c r="B1958" s="78"/>
      <c r="C1958" s="189"/>
      <c r="D1958" s="259"/>
      <c r="E1958" s="186"/>
      <c r="F1958" s="187"/>
    </row>
    <row r="1959" spans="1:6" x14ac:dyDescent="0.2">
      <c r="A1959" s="275"/>
      <c r="B1959" s="78"/>
      <c r="C1959" s="189"/>
      <c r="D1959" s="259"/>
      <c r="E1959" s="186"/>
      <c r="F1959" s="187"/>
    </row>
    <row r="1960" spans="1:6" x14ac:dyDescent="0.2">
      <c r="A1960" s="275"/>
      <c r="B1960" s="78"/>
      <c r="C1960" s="189"/>
      <c r="D1960" s="259"/>
      <c r="E1960" s="186"/>
      <c r="F1960" s="187"/>
    </row>
    <row r="1961" spans="1:6" x14ac:dyDescent="0.2">
      <c r="A1961" s="275"/>
      <c r="B1961" s="78"/>
      <c r="C1961" s="189"/>
      <c r="D1961" s="259"/>
      <c r="E1961" s="186"/>
      <c r="F1961" s="187"/>
    </row>
    <row r="1962" spans="1:6" x14ac:dyDescent="0.2">
      <c r="A1962" s="275"/>
      <c r="B1962" s="78"/>
      <c r="C1962" s="189"/>
      <c r="D1962" s="259"/>
      <c r="E1962" s="186"/>
      <c r="F1962" s="187"/>
    </row>
    <row r="1963" spans="1:6" x14ac:dyDescent="0.2">
      <c r="A1963" s="275"/>
      <c r="B1963" s="78"/>
      <c r="C1963" s="189"/>
      <c r="D1963" s="259"/>
      <c r="E1963" s="186"/>
      <c r="F1963" s="187"/>
    </row>
    <row r="1964" spans="1:6" x14ac:dyDescent="0.2">
      <c r="A1964" s="275"/>
      <c r="B1964" s="78"/>
      <c r="C1964" s="189"/>
      <c r="D1964" s="259"/>
      <c r="E1964" s="186"/>
      <c r="F1964" s="187"/>
    </row>
    <row r="1965" spans="1:6" x14ac:dyDescent="0.2">
      <c r="A1965" s="275"/>
      <c r="B1965" s="78"/>
      <c r="C1965" s="189"/>
      <c r="D1965" s="259"/>
      <c r="E1965" s="186"/>
      <c r="F1965" s="187"/>
    </row>
    <row r="1966" spans="1:6" x14ac:dyDescent="0.2">
      <c r="A1966" s="275"/>
      <c r="B1966" s="78"/>
      <c r="C1966" s="189"/>
      <c r="D1966" s="259"/>
      <c r="E1966" s="186"/>
      <c r="F1966" s="187"/>
    </row>
    <row r="1967" spans="1:6" x14ac:dyDescent="0.2">
      <c r="A1967" s="275"/>
      <c r="B1967" s="78"/>
      <c r="C1967" s="189"/>
      <c r="D1967" s="259"/>
      <c r="E1967" s="186"/>
      <c r="F1967" s="187"/>
    </row>
    <row r="1968" spans="1:6" x14ac:dyDescent="0.2">
      <c r="A1968" s="275"/>
      <c r="B1968" s="78"/>
      <c r="C1968" s="189"/>
      <c r="D1968" s="259"/>
      <c r="E1968" s="186"/>
      <c r="F1968" s="187"/>
    </row>
    <row r="1969" spans="1:6" x14ac:dyDescent="0.2">
      <c r="A1969" s="275"/>
      <c r="B1969" s="78"/>
      <c r="C1969" s="189"/>
      <c r="D1969" s="259"/>
      <c r="E1969" s="186"/>
      <c r="F1969" s="187"/>
    </row>
    <row r="1970" spans="1:6" x14ac:dyDescent="0.2">
      <c r="A1970" s="275"/>
      <c r="B1970" s="78"/>
      <c r="C1970" s="189"/>
      <c r="D1970" s="259"/>
      <c r="E1970" s="186"/>
      <c r="F1970" s="187"/>
    </row>
    <row r="1971" spans="1:6" x14ac:dyDescent="0.2">
      <c r="A1971" s="275"/>
      <c r="B1971" s="78"/>
      <c r="C1971" s="189"/>
      <c r="D1971" s="259"/>
      <c r="E1971" s="186"/>
      <c r="F1971" s="187"/>
    </row>
    <row r="1972" spans="1:6" x14ac:dyDescent="0.2">
      <c r="A1972" s="275"/>
      <c r="B1972" s="78"/>
      <c r="C1972" s="189"/>
      <c r="D1972" s="259"/>
      <c r="E1972" s="186"/>
      <c r="F1972" s="187"/>
    </row>
    <row r="1973" spans="1:6" x14ac:dyDescent="0.2">
      <c r="A1973" s="275"/>
      <c r="B1973" s="78"/>
      <c r="C1973" s="189"/>
      <c r="D1973" s="259"/>
      <c r="E1973" s="186"/>
      <c r="F1973" s="187"/>
    </row>
    <row r="1974" spans="1:6" x14ac:dyDescent="0.2">
      <c r="A1974" s="275"/>
      <c r="B1974" s="78"/>
      <c r="C1974" s="189"/>
      <c r="D1974" s="259"/>
      <c r="E1974" s="186"/>
      <c r="F1974" s="187"/>
    </row>
    <row r="1975" spans="1:6" x14ac:dyDescent="0.2">
      <c r="A1975" s="275"/>
      <c r="B1975" s="78"/>
      <c r="C1975" s="189"/>
      <c r="D1975" s="259"/>
      <c r="E1975" s="186"/>
      <c r="F1975" s="187"/>
    </row>
    <row r="1976" spans="1:6" x14ac:dyDescent="0.2">
      <c r="A1976" s="275"/>
      <c r="B1976" s="78"/>
      <c r="C1976" s="189"/>
      <c r="D1976" s="259"/>
      <c r="E1976" s="186"/>
      <c r="F1976" s="187"/>
    </row>
    <row r="1977" spans="1:6" x14ac:dyDescent="0.2">
      <c r="A1977" s="275"/>
      <c r="B1977" s="78"/>
      <c r="C1977" s="189"/>
      <c r="D1977" s="259"/>
      <c r="E1977" s="186"/>
      <c r="F1977" s="187"/>
    </row>
    <row r="1978" spans="1:6" x14ac:dyDescent="0.2">
      <c r="A1978" s="275"/>
      <c r="B1978" s="78"/>
      <c r="C1978" s="189"/>
      <c r="D1978" s="259"/>
      <c r="E1978" s="186"/>
      <c r="F1978" s="187"/>
    </row>
    <row r="1979" spans="1:6" x14ac:dyDescent="0.2">
      <c r="A1979" s="275"/>
      <c r="B1979" s="78"/>
      <c r="C1979" s="189"/>
      <c r="D1979" s="259"/>
      <c r="E1979" s="186"/>
      <c r="F1979" s="187"/>
    </row>
    <row r="1980" spans="1:6" x14ac:dyDescent="0.2">
      <c r="A1980" s="275"/>
      <c r="B1980" s="78"/>
      <c r="C1980" s="189"/>
      <c r="D1980" s="259"/>
      <c r="E1980" s="186"/>
      <c r="F1980" s="187"/>
    </row>
    <row r="1981" spans="1:6" x14ac:dyDescent="0.2">
      <c r="A1981" s="275"/>
      <c r="B1981" s="78"/>
      <c r="C1981" s="189"/>
      <c r="D1981" s="259"/>
      <c r="E1981" s="186"/>
      <c r="F1981" s="187"/>
    </row>
    <row r="1982" spans="1:6" x14ac:dyDescent="0.2">
      <c r="A1982" s="275"/>
      <c r="B1982" s="78"/>
      <c r="C1982" s="189"/>
      <c r="D1982" s="259"/>
      <c r="E1982" s="186"/>
      <c r="F1982" s="187"/>
    </row>
    <row r="1983" spans="1:6" x14ac:dyDescent="0.2">
      <c r="A1983" s="275"/>
      <c r="B1983" s="78"/>
      <c r="C1983" s="189"/>
      <c r="D1983" s="259"/>
      <c r="E1983" s="186"/>
      <c r="F1983" s="187"/>
    </row>
    <row r="1984" spans="1:6" x14ac:dyDescent="0.2">
      <c r="A1984" s="275"/>
      <c r="B1984" s="78"/>
      <c r="C1984" s="189"/>
      <c r="D1984" s="259"/>
      <c r="E1984" s="186"/>
      <c r="F1984" s="187"/>
    </row>
    <row r="1985" spans="1:6" x14ac:dyDescent="0.2">
      <c r="A1985" s="275"/>
      <c r="B1985" s="78"/>
      <c r="C1985" s="189"/>
      <c r="D1985" s="259"/>
      <c r="E1985" s="186"/>
      <c r="F1985" s="187"/>
    </row>
    <row r="1986" spans="1:6" x14ac:dyDescent="0.2">
      <c r="A1986" s="275"/>
      <c r="B1986" s="78"/>
      <c r="C1986" s="189"/>
      <c r="D1986" s="259"/>
      <c r="E1986" s="186"/>
      <c r="F1986" s="187"/>
    </row>
    <row r="1987" spans="1:6" x14ac:dyDescent="0.2">
      <c r="A1987" s="275"/>
      <c r="B1987" s="78"/>
      <c r="C1987" s="189"/>
      <c r="D1987" s="259"/>
      <c r="E1987" s="186"/>
      <c r="F1987" s="187"/>
    </row>
    <row r="1988" spans="1:6" x14ac:dyDescent="0.2">
      <c r="A1988" s="275"/>
      <c r="B1988" s="78"/>
      <c r="C1988" s="189"/>
      <c r="D1988" s="259"/>
      <c r="E1988" s="186"/>
      <c r="F1988" s="187"/>
    </row>
    <row r="1989" spans="1:6" x14ac:dyDescent="0.2">
      <c r="A1989" s="275"/>
      <c r="B1989" s="78"/>
      <c r="C1989" s="189"/>
      <c r="D1989" s="259"/>
      <c r="E1989" s="186"/>
      <c r="F1989" s="187"/>
    </row>
    <row r="1990" spans="1:6" x14ac:dyDescent="0.2">
      <c r="A1990" s="275"/>
      <c r="B1990" s="78"/>
      <c r="C1990" s="189"/>
      <c r="D1990" s="259"/>
      <c r="E1990" s="186"/>
      <c r="F1990" s="187"/>
    </row>
    <row r="1991" spans="1:6" x14ac:dyDescent="0.2">
      <c r="A1991" s="275"/>
      <c r="B1991" s="78"/>
      <c r="C1991" s="189"/>
      <c r="D1991" s="259"/>
      <c r="E1991" s="186"/>
      <c r="F1991" s="187"/>
    </row>
    <row r="1992" spans="1:6" x14ac:dyDescent="0.2">
      <c r="A1992" s="275"/>
      <c r="B1992" s="78"/>
      <c r="C1992" s="189"/>
      <c r="D1992" s="259"/>
      <c r="E1992" s="186"/>
      <c r="F1992" s="187"/>
    </row>
    <row r="1993" spans="1:6" x14ac:dyDescent="0.2">
      <c r="A1993" s="275"/>
      <c r="B1993" s="78"/>
      <c r="C1993" s="189"/>
      <c r="D1993" s="259"/>
      <c r="E1993" s="186"/>
      <c r="F1993" s="187"/>
    </row>
    <row r="1994" spans="1:6" x14ac:dyDescent="0.2">
      <c r="A1994" s="275"/>
      <c r="B1994" s="78"/>
      <c r="C1994" s="189"/>
      <c r="D1994" s="259"/>
      <c r="E1994" s="186"/>
      <c r="F1994" s="187"/>
    </row>
    <row r="1995" spans="1:6" x14ac:dyDescent="0.2">
      <c r="A1995" s="275"/>
      <c r="B1995" s="78"/>
      <c r="C1995" s="189"/>
      <c r="D1995" s="259"/>
      <c r="E1995" s="186"/>
      <c r="F1995" s="187"/>
    </row>
    <row r="1996" spans="1:6" x14ac:dyDescent="0.2">
      <c r="A1996" s="275"/>
      <c r="B1996" s="78"/>
      <c r="C1996" s="189"/>
      <c r="D1996" s="259"/>
      <c r="E1996" s="186"/>
      <c r="F1996" s="187"/>
    </row>
    <row r="1997" spans="1:6" x14ac:dyDescent="0.2">
      <c r="A1997" s="275"/>
      <c r="B1997" s="78"/>
      <c r="C1997" s="189"/>
      <c r="D1997" s="259"/>
      <c r="E1997" s="186"/>
      <c r="F1997" s="187"/>
    </row>
    <row r="1998" spans="1:6" x14ac:dyDescent="0.2">
      <c r="A1998" s="275"/>
      <c r="B1998" s="78"/>
      <c r="C1998" s="189"/>
      <c r="D1998" s="259"/>
      <c r="E1998" s="186"/>
      <c r="F1998" s="187"/>
    </row>
    <row r="1999" spans="1:6" x14ac:dyDescent="0.2">
      <c r="A1999" s="275"/>
      <c r="B1999" s="78"/>
      <c r="C1999" s="189"/>
      <c r="D1999" s="259"/>
      <c r="E1999" s="186"/>
      <c r="F1999" s="187"/>
    </row>
    <row r="2000" spans="1:6" x14ac:dyDescent="0.2">
      <c r="A2000" s="275"/>
      <c r="B2000" s="78"/>
      <c r="C2000" s="189"/>
      <c r="D2000" s="259"/>
      <c r="E2000" s="186"/>
      <c r="F2000" s="187"/>
    </row>
    <row r="2001" spans="1:6" x14ac:dyDescent="0.2">
      <c r="A2001" s="275"/>
      <c r="B2001" s="78"/>
      <c r="C2001" s="189"/>
      <c r="D2001" s="259"/>
      <c r="E2001" s="186"/>
      <c r="F2001" s="187"/>
    </row>
    <row r="2002" spans="1:6" x14ac:dyDescent="0.2">
      <c r="A2002" s="275"/>
      <c r="B2002" s="78"/>
      <c r="C2002" s="189"/>
      <c r="D2002" s="259"/>
      <c r="E2002" s="186"/>
      <c r="F2002" s="187"/>
    </row>
    <row r="2003" spans="1:6" x14ac:dyDescent="0.2">
      <c r="A2003" s="275"/>
      <c r="B2003" s="78"/>
      <c r="C2003" s="189"/>
      <c r="D2003" s="259"/>
      <c r="E2003" s="186"/>
      <c r="F2003" s="187"/>
    </row>
    <row r="2004" spans="1:6" x14ac:dyDescent="0.2">
      <c r="A2004" s="275"/>
      <c r="B2004" s="78"/>
      <c r="C2004" s="189"/>
      <c r="D2004" s="259"/>
      <c r="E2004" s="186"/>
      <c r="F2004" s="187"/>
    </row>
    <row r="2005" spans="1:6" x14ac:dyDescent="0.2">
      <c r="A2005" s="275"/>
      <c r="B2005" s="78"/>
      <c r="C2005" s="189"/>
      <c r="D2005" s="259"/>
      <c r="E2005" s="186"/>
      <c r="F2005" s="187"/>
    </row>
    <row r="2006" spans="1:6" x14ac:dyDescent="0.2">
      <c r="A2006" s="275"/>
      <c r="B2006" s="78"/>
      <c r="C2006" s="189"/>
      <c r="D2006" s="259"/>
      <c r="E2006" s="186"/>
      <c r="F2006" s="187"/>
    </row>
    <row r="2007" spans="1:6" x14ac:dyDescent="0.2">
      <c r="A2007" s="275"/>
      <c r="B2007" s="78"/>
      <c r="C2007" s="189"/>
      <c r="D2007" s="259"/>
      <c r="E2007" s="186"/>
      <c r="F2007" s="187"/>
    </row>
    <row r="2008" spans="1:6" x14ac:dyDescent="0.2">
      <c r="A2008" s="275"/>
      <c r="B2008" s="78"/>
      <c r="C2008" s="189"/>
      <c r="D2008" s="259"/>
      <c r="E2008" s="186"/>
      <c r="F2008" s="187"/>
    </row>
    <row r="2009" spans="1:6" x14ac:dyDescent="0.2">
      <c r="A2009" s="275"/>
      <c r="B2009" s="78"/>
      <c r="C2009" s="189"/>
      <c r="D2009" s="259"/>
      <c r="E2009" s="186"/>
      <c r="F2009" s="187"/>
    </row>
    <row r="2010" spans="1:6" x14ac:dyDescent="0.2">
      <c r="A2010" s="275"/>
      <c r="B2010" s="78"/>
      <c r="C2010" s="189"/>
      <c r="D2010" s="259"/>
      <c r="E2010" s="186"/>
      <c r="F2010" s="187"/>
    </row>
    <row r="2011" spans="1:6" x14ac:dyDescent="0.2">
      <c r="A2011" s="275"/>
      <c r="B2011" s="78"/>
      <c r="C2011" s="189"/>
      <c r="D2011" s="259"/>
      <c r="E2011" s="186"/>
      <c r="F2011" s="187"/>
    </row>
    <row r="2012" spans="1:6" x14ac:dyDescent="0.2">
      <c r="A2012" s="275"/>
      <c r="B2012" s="78"/>
      <c r="C2012" s="189"/>
      <c r="D2012" s="259"/>
      <c r="E2012" s="186"/>
      <c r="F2012" s="187"/>
    </row>
    <row r="2013" spans="1:6" x14ac:dyDescent="0.2">
      <c r="A2013" s="275"/>
      <c r="B2013" s="78"/>
      <c r="C2013" s="189"/>
      <c r="D2013" s="259"/>
      <c r="E2013" s="186"/>
      <c r="F2013" s="187"/>
    </row>
    <row r="2014" spans="1:6" x14ac:dyDescent="0.2">
      <c r="A2014" s="275"/>
      <c r="B2014" s="78"/>
      <c r="C2014" s="189"/>
      <c r="D2014" s="259"/>
      <c r="E2014" s="186"/>
      <c r="F2014" s="187"/>
    </row>
    <row r="2015" spans="1:6" x14ac:dyDescent="0.2">
      <c r="A2015" s="275"/>
      <c r="B2015" s="78"/>
      <c r="C2015" s="189"/>
      <c r="D2015" s="259"/>
      <c r="E2015" s="186"/>
      <c r="F2015" s="187"/>
    </row>
    <row r="2016" spans="1:6" x14ac:dyDescent="0.2">
      <c r="A2016" s="275"/>
      <c r="B2016" s="78"/>
      <c r="C2016" s="189"/>
      <c r="D2016" s="259"/>
      <c r="E2016" s="186"/>
      <c r="F2016" s="187"/>
    </row>
    <row r="2017" spans="1:6" x14ac:dyDescent="0.2">
      <c r="A2017" s="275"/>
      <c r="B2017" s="78"/>
      <c r="C2017" s="189"/>
      <c r="D2017" s="259"/>
      <c r="E2017" s="186"/>
      <c r="F2017" s="187"/>
    </row>
    <row r="2018" spans="1:6" x14ac:dyDescent="0.2">
      <c r="A2018" s="275"/>
      <c r="B2018" s="78"/>
      <c r="C2018" s="189"/>
      <c r="D2018" s="259"/>
      <c r="E2018" s="186"/>
      <c r="F2018" s="187"/>
    </row>
    <row r="2019" spans="1:6" x14ac:dyDescent="0.2">
      <c r="A2019" s="275"/>
      <c r="B2019" s="78"/>
      <c r="C2019" s="189"/>
      <c r="D2019" s="259"/>
      <c r="E2019" s="186"/>
      <c r="F2019" s="187"/>
    </row>
    <row r="2020" spans="1:6" x14ac:dyDescent="0.2">
      <c r="A2020" s="275"/>
      <c r="B2020" s="78"/>
      <c r="C2020" s="189"/>
      <c r="D2020" s="259"/>
      <c r="E2020" s="186"/>
      <c r="F2020" s="187"/>
    </row>
    <row r="2021" spans="1:6" x14ac:dyDescent="0.2">
      <c r="A2021" s="275"/>
      <c r="B2021" s="78"/>
      <c r="C2021" s="189"/>
      <c r="D2021" s="259"/>
      <c r="E2021" s="186"/>
      <c r="F2021" s="187"/>
    </row>
    <row r="2022" spans="1:6" x14ac:dyDescent="0.2">
      <c r="A2022" s="275"/>
      <c r="B2022" s="78"/>
      <c r="C2022" s="189"/>
      <c r="D2022" s="259"/>
      <c r="E2022" s="186"/>
      <c r="F2022" s="187"/>
    </row>
    <row r="2023" spans="1:6" x14ac:dyDescent="0.2">
      <c r="A2023" s="275"/>
      <c r="B2023" s="78"/>
      <c r="C2023" s="189"/>
      <c r="D2023" s="259"/>
      <c r="E2023" s="186"/>
      <c r="F2023" s="187"/>
    </row>
    <row r="2024" spans="1:6" x14ac:dyDescent="0.2">
      <c r="A2024" s="275"/>
      <c r="B2024" s="78"/>
      <c r="C2024" s="189"/>
      <c r="D2024" s="259"/>
      <c r="E2024" s="186"/>
      <c r="F2024" s="187"/>
    </row>
    <row r="2025" spans="1:6" x14ac:dyDescent="0.2">
      <c r="A2025" s="275"/>
      <c r="B2025" s="78"/>
      <c r="C2025" s="189"/>
      <c r="D2025" s="259"/>
      <c r="E2025" s="186"/>
      <c r="F2025" s="187"/>
    </row>
    <row r="2026" spans="1:6" x14ac:dyDescent="0.2">
      <c r="A2026" s="275"/>
      <c r="B2026" s="78"/>
      <c r="C2026" s="189"/>
      <c r="D2026" s="259"/>
      <c r="E2026" s="186"/>
      <c r="F2026" s="187"/>
    </row>
    <row r="2027" spans="1:6" x14ac:dyDescent="0.2">
      <c r="A2027" s="275"/>
      <c r="B2027" s="78"/>
      <c r="C2027" s="189"/>
      <c r="D2027" s="259"/>
      <c r="E2027" s="186"/>
      <c r="F2027" s="187"/>
    </row>
    <row r="2028" spans="1:6" x14ac:dyDescent="0.2">
      <c r="A2028" s="275"/>
      <c r="B2028" s="78"/>
      <c r="C2028" s="189"/>
      <c r="D2028" s="259"/>
      <c r="E2028" s="186"/>
      <c r="F2028" s="187"/>
    </row>
    <row r="2029" spans="1:6" x14ac:dyDescent="0.2">
      <c r="A2029" s="275"/>
      <c r="B2029" s="78"/>
      <c r="C2029" s="189"/>
      <c r="D2029" s="259"/>
      <c r="E2029" s="186"/>
      <c r="F2029" s="187"/>
    </row>
    <row r="2030" spans="1:6" x14ac:dyDescent="0.2">
      <c r="A2030" s="275"/>
      <c r="B2030" s="78"/>
      <c r="C2030" s="189"/>
      <c r="D2030" s="259"/>
      <c r="E2030" s="186"/>
      <c r="F2030" s="187"/>
    </row>
    <row r="2031" spans="1:6" x14ac:dyDescent="0.2">
      <c r="A2031" s="275"/>
      <c r="B2031" s="78"/>
      <c r="C2031" s="189"/>
      <c r="D2031" s="259"/>
      <c r="E2031" s="186"/>
      <c r="F2031" s="187"/>
    </row>
    <row r="2032" spans="1:6" x14ac:dyDescent="0.2">
      <c r="A2032" s="275"/>
      <c r="B2032" s="78"/>
      <c r="C2032" s="189"/>
      <c r="D2032" s="259"/>
      <c r="E2032" s="186"/>
      <c r="F2032" s="187"/>
    </row>
    <row r="2033" spans="1:6" x14ac:dyDescent="0.2">
      <c r="A2033" s="275"/>
      <c r="B2033" s="78"/>
      <c r="C2033" s="189"/>
      <c r="D2033" s="259"/>
      <c r="E2033" s="186"/>
      <c r="F2033" s="187"/>
    </row>
    <row r="2034" spans="1:6" x14ac:dyDescent="0.2">
      <c r="A2034" s="275"/>
      <c r="B2034" s="78"/>
      <c r="C2034" s="189"/>
      <c r="D2034" s="259"/>
      <c r="E2034" s="186"/>
      <c r="F2034" s="187"/>
    </row>
    <row r="2035" spans="1:6" x14ac:dyDescent="0.2">
      <c r="A2035" s="275"/>
      <c r="B2035" s="78"/>
      <c r="C2035" s="189"/>
      <c r="D2035" s="259"/>
      <c r="E2035" s="186"/>
      <c r="F2035" s="187"/>
    </row>
    <row r="2036" spans="1:6" x14ac:dyDescent="0.2">
      <c r="A2036" s="275"/>
      <c r="B2036" s="78"/>
      <c r="C2036" s="189"/>
      <c r="D2036" s="259"/>
      <c r="E2036" s="186"/>
      <c r="F2036" s="187"/>
    </row>
    <row r="2037" spans="1:6" x14ac:dyDescent="0.2">
      <c r="A2037" s="275"/>
      <c r="B2037" s="78"/>
      <c r="C2037" s="189"/>
      <c r="D2037" s="259"/>
      <c r="E2037" s="186"/>
      <c r="F2037" s="187"/>
    </row>
    <row r="2038" spans="1:6" x14ac:dyDescent="0.2">
      <c r="A2038" s="275"/>
      <c r="B2038" s="78"/>
      <c r="C2038" s="189"/>
      <c r="D2038" s="259"/>
      <c r="E2038" s="186"/>
      <c r="F2038" s="187"/>
    </row>
    <row r="2039" spans="1:6" x14ac:dyDescent="0.2">
      <c r="A2039" s="275"/>
      <c r="B2039" s="78"/>
      <c r="C2039" s="189"/>
      <c r="D2039" s="259"/>
      <c r="E2039" s="186"/>
      <c r="F2039" s="187"/>
    </row>
    <row r="2040" spans="1:6" x14ac:dyDescent="0.2">
      <c r="A2040" s="275"/>
      <c r="B2040" s="78"/>
      <c r="C2040" s="189"/>
      <c r="D2040" s="259"/>
      <c r="E2040" s="186"/>
      <c r="F2040" s="187"/>
    </row>
    <row r="2041" spans="1:6" x14ac:dyDescent="0.2">
      <c r="A2041" s="275"/>
      <c r="B2041" s="78"/>
      <c r="C2041" s="189"/>
      <c r="D2041" s="259"/>
      <c r="E2041" s="186"/>
      <c r="F2041" s="187"/>
    </row>
    <row r="2042" spans="1:6" x14ac:dyDescent="0.2">
      <c r="A2042" s="275"/>
      <c r="B2042" s="78"/>
      <c r="C2042" s="189"/>
      <c r="D2042" s="259"/>
      <c r="E2042" s="186"/>
      <c r="F2042" s="187"/>
    </row>
    <row r="2043" spans="1:6" x14ac:dyDescent="0.2">
      <c r="A2043" s="275"/>
      <c r="B2043" s="78"/>
      <c r="C2043" s="189"/>
      <c r="D2043" s="259"/>
      <c r="E2043" s="186"/>
      <c r="F2043" s="187"/>
    </row>
    <row r="2044" spans="1:6" x14ac:dyDescent="0.2">
      <c r="A2044" s="275"/>
      <c r="B2044" s="78"/>
      <c r="C2044" s="189"/>
      <c r="D2044" s="259"/>
      <c r="E2044" s="186"/>
      <c r="F2044" s="187"/>
    </row>
    <row r="2045" spans="1:6" x14ac:dyDescent="0.2">
      <c r="A2045" s="275"/>
      <c r="B2045" s="78"/>
      <c r="C2045" s="189"/>
      <c r="D2045" s="259"/>
      <c r="E2045" s="186"/>
      <c r="F2045" s="187"/>
    </row>
    <row r="2046" spans="1:6" x14ac:dyDescent="0.2">
      <c r="A2046" s="275"/>
      <c r="B2046" s="78"/>
      <c r="C2046" s="189"/>
      <c r="D2046" s="259"/>
      <c r="E2046" s="186"/>
      <c r="F2046" s="187"/>
    </row>
    <row r="2047" spans="1:6" x14ac:dyDescent="0.2">
      <c r="A2047" s="275"/>
      <c r="B2047" s="78"/>
      <c r="C2047" s="189"/>
      <c r="D2047" s="259"/>
      <c r="E2047" s="186"/>
      <c r="F2047" s="187"/>
    </row>
    <row r="2048" spans="1:6" x14ac:dyDescent="0.2">
      <c r="A2048" s="275"/>
      <c r="B2048" s="78"/>
      <c r="C2048" s="189"/>
      <c r="D2048" s="259"/>
      <c r="E2048" s="186"/>
      <c r="F2048" s="187"/>
    </row>
    <row r="2049" spans="1:6" x14ac:dyDescent="0.2">
      <c r="A2049" s="275"/>
      <c r="B2049" s="78"/>
      <c r="C2049" s="189"/>
      <c r="D2049" s="259"/>
      <c r="E2049" s="186"/>
      <c r="F2049" s="187"/>
    </row>
    <row r="2050" spans="1:6" x14ac:dyDescent="0.2">
      <c r="A2050" s="275"/>
      <c r="B2050" s="78"/>
      <c r="C2050" s="189"/>
      <c r="D2050" s="259"/>
      <c r="E2050" s="186"/>
      <c r="F2050" s="187"/>
    </row>
    <row r="2051" spans="1:6" x14ac:dyDescent="0.2">
      <c r="A2051" s="275"/>
      <c r="B2051" s="78"/>
      <c r="C2051" s="189"/>
      <c r="D2051" s="259"/>
      <c r="E2051" s="186"/>
      <c r="F2051" s="187"/>
    </row>
    <row r="2052" spans="1:6" x14ac:dyDescent="0.2">
      <c r="A2052" s="275"/>
      <c r="B2052" s="78"/>
      <c r="C2052" s="189"/>
      <c r="D2052" s="259"/>
      <c r="E2052" s="186"/>
      <c r="F2052" s="187"/>
    </row>
    <row r="2053" spans="1:6" x14ac:dyDescent="0.2">
      <c r="A2053" s="275"/>
      <c r="B2053" s="78"/>
      <c r="C2053" s="189"/>
      <c r="D2053" s="259"/>
      <c r="E2053" s="186"/>
      <c r="F2053" s="187"/>
    </row>
    <row r="2054" spans="1:6" x14ac:dyDescent="0.2">
      <c r="A2054" s="275"/>
      <c r="B2054" s="78"/>
      <c r="C2054" s="189"/>
      <c r="D2054" s="259"/>
      <c r="E2054" s="186"/>
      <c r="F2054" s="187"/>
    </row>
    <row r="2055" spans="1:6" x14ac:dyDescent="0.2">
      <c r="A2055" s="275"/>
      <c r="B2055" s="78"/>
      <c r="C2055" s="189"/>
      <c r="D2055" s="259"/>
      <c r="E2055" s="186"/>
      <c r="F2055" s="187"/>
    </row>
  </sheetData>
  <sheetProtection algorithmName="SHA-512" hashValue="yNRUjXEc229til+OfSSEJL1tsPXlSFQbOVrdbl7zvE2bCjbnKQjFGlyaf3NPVvAqNwKtW30KI8A+lNZbsLDf/A==" saltValue="EFxcyYnuLG7yBnCEulFYIg==" spinCount="100000" sheet="1" objects="1" scenarios="1"/>
  <mergeCells count="5">
    <mergeCell ref="B1:F1"/>
    <mergeCell ref="C25:E25"/>
    <mergeCell ref="C132:E132"/>
    <mergeCell ref="C229:E229"/>
    <mergeCell ref="C231:E231"/>
  </mergeCells>
  <dataValidations count="1">
    <dataValidation type="custom" showErrorMessage="1" errorTitle="Nepravilen vnos cene" error="Cena mora biti nenegativno število z največ dvema decimalkama!" sqref="E226:E228 E15:E17 E29:E42 E155:E160 E163:E168 E171:E176 E179:E184 E187:E192 E195:E200 E203:E208 E211:E215 E218:E223 E107:E108 E19:E24 E12:E13 E61:E73 E76:E89 E92:E105 E45:E58 E141:E144 E147:E152 E112:E125 E128:E131">
      <formula1>AND(ISNUMBER(E12),E12&gt;=0,ROUND(E12*100,6)-INT(E12*100)=0,NOT(ISBLANK(E12)))</formula1>
    </dataValidation>
  </dataValidations>
  <printOptions horizontalCentered="1"/>
  <pageMargins left="0.78740157480314965" right="0.39370078740157483" top="0.39370078740157483" bottom="0.98425196850393704" header="0.19685039370078741" footer="0.19685039370078741"/>
  <pageSetup paperSize="9" scale="89" fitToHeight="0" orientation="landscape" r:id="rId1"/>
  <headerFooter>
    <oddHeader>&amp;LRTP 110/20 kV Izola&amp;R&amp;G</oddHeader>
    <oddFooter>&amp;LDZR: Ponudbeni predračun
Datoteka: 4407.6G01.PP.rev1.xlsx&amp;R Stran: &amp;P od &amp;N</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J1841"/>
  <sheetViews>
    <sheetView view="pageBreakPreview" topLeftCell="A48" zoomScale="130" zoomScaleNormal="100" zoomScaleSheetLayoutView="130" workbookViewId="0">
      <selection activeCell="F18" sqref="F18 F32 F39 F45 F51"/>
    </sheetView>
  </sheetViews>
  <sheetFormatPr defaultColWidth="6.7109375" defaultRowHeight="12.75" x14ac:dyDescent="0.2"/>
  <cols>
    <col min="1" max="1" width="7.85546875" style="190" customWidth="1"/>
    <col min="2" max="2" width="99.140625" style="179" customWidth="1"/>
    <col min="3" max="3" width="9" style="191" customWidth="1"/>
    <col min="4" max="4" width="11.42578125" style="192" customWidth="1"/>
    <col min="5" max="5" width="12.7109375" style="193" customWidth="1"/>
    <col min="6" max="6" width="13.5703125" style="194" customWidth="1"/>
    <col min="7" max="16384" width="6.7109375" style="78"/>
  </cols>
  <sheetData>
    <row r="1" spans="1:6" ht="15.95" customHeight="1" thickBot="1" x14ac:dyDescent="0.3">
      <c r="A1" s="7"/>
      <c r="B1" s="329"/>
      <c r="C1" s="329"/>
      <c r="D1" s="329"/>
      <c r="E1" s="329"/>
      <c r="F1" s="329"/>
    </row>
    <row r="2" spans="1:6" ht="32.450000000000003" customHeight="1" x14ac:dyDescent="0.2">
      <c r="A2" s="1" t="s">
        <v>1</v>
      </c>
      <c r="B2" s="2" t="s">
        <v>1741</v>
      </c>
      <c r="C2" s="3" t="s">
        <v>1742</v>
      </c>
      <c r="D2" s="4" t="s">
        <v>1743</v>
      </c>
      <c r="E2" s="5" t="s">
        <v>1744</v>
      </c>
      <c r="F2" s="6" t="s">
        <v>1745</v>
      </c>
    </row>
    <row r="3" spans="1:6" ht="15" x14ac:dyDescent="0.2">
      <c r="A3" s="263" t="s">
        <v>42</v>
      </c>
      <c r="B3" s="207" t="s">
        <v>2859</v>
      </c>
      <c r="C3" s="15"/>
      <c r="D3" s="16"/>
      <c r="E3" s="25"/>
      <c r="F3" s="26"/>
    </row>
    <row r="4" spans="1:6" ht="42.75" x14ac:dyDescent="0.2">
      <c r="A4" s="29"/>
      <c r="B4" s="208" t="s">
        <v>1747</v>
      </c>
      <c r="C4" s="15"/>
      <c r="D4" s="16"/>
      <c r="E4" s="25"/>
      <c r="F4" s="26"/>
    </row>
    <row r="5" spans="1:6" ht="57" x14ac:dyDescent="0.2">
      <c r="A5" s="21"/>
      <c r="B5" s="17" t="str">
        <f>'2.2'!B5</f>
        <v xml:space="preserve">Vsi odpadki, ki bodo nastali pri izvedbi, bodo naloženi na prevozno sredstvo in odpeljani na stalno gradbeno deponijo nenevarnih odpadkov uradnega zbiralca odpadkov. Upoštevati vsa potrebna dela in stroške v zvezi z deponiranjem. Vsi odpadki, ki bodo ponovno uporabljeni pri izvedbi, bodo naloženi na prevozno sredstvo in pripeljani na gradbišče. </v>
      </c>
      <c r="C5" s="23"/>
      <c r="D5" s="24"/>
      <c r="E5" s="25"/>
      <c r="F5" s="26"/>
    </row>
    <row r="6" spans="1:6" ht="15" x14ac:dyDescent="0.2">
      <c r="A6" s="21"/>
      <c r="B6" s="37"/>
      <c r="C6" s="23"/>
      <c r="D6" s="24"/>
      <c r="E6" s="25"/>
      <c r="F6" s="26"/>
    </row>
    <row r="7" spans="1:6" ht="15" x14ac:dyDescent="0.2">
      <c r="A7" s="29" t="s">
        <v>2860</v>
      </c>
      <c r="B7" s="37" t="s">
        <v>1751</v>
      </c>
      <c r="C7" s="15"/>
      <c r="D7" s="16"/>
      <c r="E7" s="25"/>
      <c r="F7" s="26"/>
    </row>
    <row r="8" spans="1:6" ht="42.75" x14ac:dyDescent="0.2">
      <c r="A8" s="29"/>
      <c r="B8" s="37" t="s">
        <v>2861</v>
      </c>
      <c r="C8" s="15"/>
      <c r="D8" s="16"/>
      <c r="E8" s="25"/>
      <c r="F8" s="26"/>
    </row>
    <row r="9" spans="1:6" ht="28.5" x14ac:dyDescent="0.2">
      <c r="A9" s="29"/>
      <c r="B9" s="17" t="s">
        <v>2722</v>
      </c>
      <c r="C9" s="15"/>
      <c r="D9" s="39"/>
      <c r="E9" s="25"/>
      <c r="F9" s="26"/>
    </row>
    <row r="10" spans="1:6" ht="28.5" x14ac:dyDescent="0.2">
      <c r="A10" s="29" t="s">
        <v>2862</v>
      </c>
      <c r="B10" s="37" t="s">
        <v>2246</v>
      </c>
      <c r="C10" s="15"/>
      <c r="D10" s="16"/>
      <c r="E10" s="25"/>
      <c r="F10" s="26"/>
    </row>
    <row r="11" spans="1:6" ht="14.25" x14ac:dyDescent="0.2">
      <c r="A11" s="29" t="s">
        <v>1761</v>
      </c>
      <c r="B11" s="37" t="s">
        <v>2175</v>
      </c>
      <c r="C11" s="15" t="s">
        <v>1756</v>
      </c>
      <c r="D11" s="16">
        <f>2*2*7.5*11*1.2</f>
        <v>396</v>
      </c>
      <c r="E11" s="31">
        <v>0</v>
      </c>
      <c r="F11" s="28">
        <f>ROUND(D11*E11,2)</f>
        <v>0</v>
      </c>
    </row>
    <row r="12" spans="1:6" ht="28.5" x14ac:dyDescent="0.2">
      <c r="A12" s="29" t="s">
        <v>2863</v>
      </c>
      <c r="B12" s="37" t="s">
        <v>2119</v>
      </c>
      <c r="C12" s="15" t="s">
        <v>1780</v>
      </c>
      <c r="D12" s="16">
        <f>2*7*11*1.2</f>
        <v>184.79999999999998</v>
      </c>
      <c r="E12" s="31">
        <v>0</v>
      </c>
      <c r="F12" s="28">
        <f>ROUND(D12*E12,2)</f>
        <v>0</v>
      </c>
    </row>
    <row r="13" spans="1:6" ht="57" x14ac:dyDescent="0.2">
      <c r="A13" s="29" t="s">
        <v>2864</v>
      </c>
      <c r="B13" s="17" t="s">
        <v>1987</v>
      </c>
      <c r="C13" s="15" t="s">
        <v>1780</v>
      </c>
      <c r="D13" s="16">
        <f>D12*2</f>
        <v>369.59999999999997</v>
      </c>
      <c r="E13" s="31">
        <v>0</v>
      </c>
      <c r="F13" s="28">
        <f>ROUND(D13*E13,2)</f>
        <v>0</v>
      </c>
    </row>
    <row r="14" spans="1:6" ht="85.5" x14ac:dyDescent="0.2">
      <c r="A14" s="29" t="s">
        <v>2865</v>
      </c>
      <c r="B14" s="17" t="s">
        <v>2866</v>
      </c>
      <c r="C14" s="15"/>
      <c r="D14" s="16"/>
      <c r="E14" s="25"/>
      <c r="F14" s="26"/>
    </row>
    <row r="15" spans="1:6" ht="42.75" x14ac:dyDescent="0.2">
      <c r="A15" s="29" t="s">
        <v>1761</v>
      </c>
      <c r="B15" s="17" t="s">
        <v>2252</v>
      </c>
      <c r="C15" s="15" t="s">
        <v>1756</v>
      </c>
      <c r="D15" s="16">
        <f>2*7*9*0.6*1.2</f>
        <v>90.719999999999985</v>
      </c>
      <c r="E15" s="31">
        <v>0</v>
      </c>
      <c r="F15" s="28">
        <f>ROUND(D15*E15,2)</f>
        <v>0</v>
      </c>
    </row>
    <row r="16" spans="1:6" ht="28.5" x14ac:dyDescent="0.2">
      <c r="A16" s="29" t="s">
        <v>1774</v>
      </c>
      <c r="B16" s="17" t="s">
        <v>1991</v>
      </c>
      <c r="C16" s="15" t="s">
        <v>1756</v>
      </c>
      <c r="D16" s="16">
        <f>2*7*9*0.1*1.2</f>
        <v>15.120000000000001</v>
      </c>
      <c r="E16" s="31">
        <v>0</v>
      </c>
      <c r="F16" s="28">
        <f>ROUND(D16*E16,2)</f>
        <v>0</v>
      </c>
    </row>
    <row r="17" spans="1:8" ht="86.25" thickBot="1" x14ac:dyDescent="0.25">
      <c r="A17" s="29" t="s">
        <v>2867</v>
      </c>
      <c r="B17" s="17" t="s">
        <v>2254</v>
      </c>
      <c r="C17" s="15" t="s">
        <v>1756</v>
      </c>
      <c r="D17" s="16">
        <f>2*15*1.2</f>
        <v>36</v>
      </c>
      <c r="E17" s="31">
        <v>0</v>
      </c>
      <c r="F17" s="28">
        <f>ROUND(D17*E17,2)</f>
        <v>0</v>
      </c>
    </row>
    <row r="18" spans="1:8" ht="18.75" thickBot="1" x14ac:dyDescent="0.3">
      <c r="A18" s="34"/>
      <c r="B18" s="33"/>
      <c r="C18" s="336" t="s">
        <v>1766</v>
      </c>
      <c r="D18" s="337"/>
      <c r="E18" s="338"/>
      <c r="F18" s="18">
        <f>SUM(F11:F17)</f>
        <v>0</v>
      </c>
      <c r="G18" s="8"/>
    </row>
    <row r="19" spans="1:8" ht="18" x14ac:dyDescent="0.25">
      <c r="A19" s="29" t="s">
        <v>2868</v>
      </c>
      <c r="B19" s="35" t="s">
        <v>1768</v>
      </c>
      <c r="C19" s="15"/>
      <c r="D19" s="16"/>
      <c r="E19" s="25"/>
      <c r="F19" s="26"/>
      <c r="G19" s="8"/>
    </row>
    <row r="20" spans="1:8" ht="18" x14ac:dyDescent="0.25">
      <c r="A20" s="29" t="s">
        <v>2869</v>
      </c>
      <c r="B20" s="17" t="s">
        <v>2870</v>
      </c>
      <c r="C20" s="15" t="s">
        <v>1773</v>
      </c>
      <c r="D20" s="212">
        <f>2542*1.2</f>
        <v>3050.4</v>
      </c>
      <c r="E20" s="31">
        <v>0</v>
      </c>
      <c r="F20" s="28">
        <f t="shared" ref="F20:F26" si="0">ROUND(D20*E20,2)</f>
        <v>0</v>
      </c>
      <c r="G20" s="8"/>
    </row>
    <row r="21" spans="1:8" ht="18" x14ac:dyDescent="0.25">
      <c r="A21" s="29" t="s">
        <v>2871</v>
      </c>
      <c r="B21" s="17" t="s">
        <v>2872</v>
      </c>
      <c r="C21" s="15" t="s">
        <v>1773</v>
      </c>
      <c r="D21" s="212">
        <f>6710*1.2</f>
        <v>8052</v>
      </c>
      <c r="E21" s="31">
        <v>0</v>
      </c>
      <c r="F21" s="28">
        <f t="shared" si="0"/>
        <v>0</v>
      </c>
      <c r="G21" s="8"/>
    </row>
    <row r="22" spans="1:8" ht="14.25" x14ac:dyDescent="0.2">
      <c r="A22" s="29" t="s">
        <v>2873</v>
      </c>
      <c r="B22" s="17" t="s">
        <v>2260</v>
      </c>
      <c r="C22" s="15" t="s">
        <v>1773</v>
      </c>
      <c r="D22" s="212">
        <f>SUM(D20:D21)*0.3</f>
        <v>3330.72</v>
      </c>
      <c r="E22" s="31">
        <v>0</v>
      </c>
      <c r="F22" s="28">
        <f t="shared" si="0"/>
        <v>0</v>
      </c>
    </row>
    <row r="23" spans="1:8" ht="14.25" x14ac:dyDescent="0.2">
      <c r="A23" s="29" t="s">
        <v>2874</v>
      </c>
      <c r="B23" s="17" t="s">
        <v>2875</v>
      </c>
      <c r="C23" s="15" t="s">
        <v>1756</v>
      </c>
      <c r="D23" s="16">
        <f>2*6*9*0.1*1.2</f>
        <v>12.96</v>
      </c>
      <c r="E23" s="31">
        <v>0</v>
      </c>
      <c r="F23" s="28">
        <f t="shared" si="0"/>
        <v>0</v>
      </c>
    </row>
    <row r="24" spans="1:8" ht="30.75" customHeight="1" x14ac:dyDescent="0.2">
      <c r="A24" s="29" t="s">
        <v>2876</v>
      </c>
      <c r="B24" s="17" t="s">
        <v>2877</v>
      </c>
      <c r="C24" s="15" t="s">
        <v>1756</v>
      </c>
      <c r="D24" s="16">
        <f>2*(5.6*8.9*0.5+2*1*8.9)*1.2</f>
        <v>102.52799999999999</v>
      </c>
      <c r="E24" s="31">
        <v>0</v>
      </c>
      <c r="F24" s="28">
        <f t="shared" si="0"/>
        <v>0</v>
      </c>
    </row>
    <row r="25" spans="1:8" ht="14.25" x14ac:dyDescent="0.2">
      <c r="A25" s="29" t="s">
        <v>2878</v>
      </c>
      <c r="B25" s="17" t="s">
        <v>2879</v>
      </c>
      <c r="C25" s="15" t="s">
        <v>1756</v>
      </c>
      <c r="D25" s="16">
        <f>2*(5.6*8.9)*0.1*1.2</f>
        <v>11.961599999999999</v>
      </c>
      <c r="E25" s="31">
        <v>0</v>
      </c>
      <c r="F25" s="28">
        <f t="shared" si="0"/>
        <v>0</v>
      </c>
    </row>
    <row r="26" spans="1:8" ht="42.75" x14ac:dyDescent="0.2">
      <c r="A26" s="29" t="s">
        <v>2880</v>
      </c>
      <c r="B26" s="17" t="s">
        <v>2881</v>
      </c>
      <c r="C26" s="15" t="s">
        <v>1800</v>
      </c>
      <c r="D26" s="16">
        <v>80</v>
      </c>
      <c r="E26" s="31">
        <v>0</v>
      </c>
      <c r="F26" s="28">
        <f t="shared" si="0"/>
        <v>0</v>
      </c>
      <c r="H26" s="196"/>
    </row>
    <row r="27" spans="1:8" ht="71.25" x14ac:dyDescent="0.3">
      <c r="A27" s="29" t="s">
        <v>2882</v>
      </c>
      <c r="B27" s="17" t="s">
        <v>2883</v>
      </c>
      <c r="C27" s="15"/>
      <c r="D27" s="16"/>
      <c r="E27" s="25"/>
      <c r="F27" s="26"/>
      <c r="G27" s="8"/>
      <c r="H27" s="214"/>
    </row>
    <row r="28" spans="1:8" ht="20.25" x14ac:dyDescent="0.3">
      <c r="A28" s="29"/>
      <c r="B28" s="17" t="s">
        <v>2318</v>
      </c>
      <c r="C28" s="15"/>
      <c r="D28" s="16"/>
      <c r="E28" s="25"/>
      <c r="F28" s="26"/>
      <c r="G28" s="8"/>
      <c r="H28" s="214"/>
    </row>
    <row r="29" spans="1:8" ht="20.25" x14ac:dyDescent="0.3">
      <c r="A29" s="29" t="s">
        <v>1761</v>
      </c>
      <c r="B29" s="17" t="s">
        <v>2319</v>
      </c>
      <c r="C29" s="15" t="s">
        <v>1800</v>
      </c>
      <c r="D29" s="16">
        <f>2*(4*1.5)*1.2</f>
        <v>14.399999999999999</v>
      </c>
      <c r="E29" s="31">
        <v>0</v>
      </c>
      <c r="F29" s="28">
        <f t="shared" ref="F29:F30" si="1">ROUND(D29*E29,2)</f>
        <v>0</v>
      </c>
      <c r="G29" s="8"/>
      <c r="H29" s="214"/>
    </row>
    <row r="30" spans="1:8" ht="20.25" x14ac:dyDescent="0.3">
      <c r="A30" s="29" t="s">
        <v>1774</v>
      </c>
      <c r="B30" s="17" t="s">
        <v>2320</v>
      </c>
      <c r="C30" s="15" t="s">
        <v>1800</v>
      </c>
      <c r="D30" s="16">
        <f>2*(2*5.6+2*8.9)*1.2</f>
        <v>69.599999999999994</v>
      </c>
      <c r="E30" s="31">
        <v>0</v>
      </c>
      <c r="F30" s="28">
        <f t="shared" si="1"/>
        <v>0</v>
      </c>
      <c r="G30" s="8"/>
      <c r="H30" s="214"/>
    </row>
    <row r="31" spans="1:8" ht="15" thickBot="1" x14ac:dyDescent="0.25">
      <c r="A31" s="29" t="s">
        <v>2884</v>
      </c>
      <c r="B31" s="17" t="s">
        <v>2885</v>
      </c>
      <c r="C31" s="15" t="s">
        <v>1826</v>
      </c>
      <c r="D31" s="16">
        <v>2</v>
      </c>
      <c r="E31" s="31">
        <v>0</v>
      </c>
      <c r="F31" s="28">
        <f>ROUND(D31*E31,2)</f>
        <v>0</v>
      </c>
    </row>
    <row r="32" spans="1:8" ht="18.75" thickBot="1" x14ac:dyDescent="0.3">
      <c r="A32" s="34"/>
      <c r="B32" s="33"/>
      <c r="C32" s="336" t="s">
        <v>1785</v>
      </c>
      <c r="D32" s="337"/>
      <c r="E32" s="338"/>
      <c r="F32" s="18">
        <f>SUM(F20:F31)</f>
        <v>0</v>
      </c>
      <c r="G32" s="8"/>
    </row>
    <row r="33" spans="1:10" ht="15" x14ac:dyDescent="0.2">
      <c r="A33" s="29" t="s">
        <v>2886</v>
      </c>
      <c r="B33" s="35" t="s">
        <v>2297</v>
      </c>
      <c r="C33" s="15"/>
      <c r="D33" s="16"/>
      <c r="E33" s="25"/>
      <c r="F33" s="26"/>
    </row>
    <row r="34" spans="1:10" ht="99.75" x14ac:dyDescent="0.2">
      <c r="A34" s="29" t="s">
        <v>2887</v>
      </c>
      <c r="B34" s="17" t="s">
        <v>2888</v>
      </c>
      <c r="C34" s="15" t="s">
        <v>1780</v>
      </c>
      <c r="D34" s="16">
        <f>2*(5.6*8.9)*1.2</f>
        <v>119.61599999999999</v>
      </c>
      <c r="E34" s="31">
        <v>0</v>
      </c>
      <c r="F34" s="28">
        <f>ROUND(D34*E34,2)</f>
        <v>0</v>
      </c>
    </row>
    <row r="35" spans="1:10" ht="99" customHeight="1" x14ac:dyDescent="0.2">
      <c r="A35" s="29" t="s">
        <v>2889</v>
      </c>
      <c r="B35" s="17" t="s">
        <v>2890</v>
      </c>
      <c r="C35" s="15" t="s">
        <v>1780</v>
      </c>
      <c r="D35" s="16">
        <f>2*(2*(5.6+8.9)*1.5)*1.2</f>
        <v>104.39999999999999</v>
      </c>
      <c r="E35" s="31">
        <v>0</v>
      </c>
      <c r="F35" s="28">
        <f>ROUND(D35*E35,2)</f>
        <v>0</v>
      </c>
    </row>
    <row r="36" spans="1:10" ht="28.5" x14ac:dyDescent="0.2">
      <c r="A36" s="29" t="s">
        <v>2891</v>
      </c>
      <c r="B36" s="17" t="s">
        <v>2892</v>
      </c>
      <c r="C36" s="15" t="s">
        <v>1826</v>
      </c>
      <c r="D36" s="16">
        <v>2</v>
      </c>
      <c r="E36" s="31">
        <v>0</v>
      </c>
      <c r="F36" s="28">
        <f>ROUND(D36*E36,2)</f>
        <v>0</v>
      </c>
    </row>
    <row r="37" spans="1:10" ht="114" x14ac:dyDescent="0.2">
      <c r="A37" s="29" t="s">
        <v>2893</v>
      </c>
      <c r="B37" s="17" t="s">
        <v>2894</v>
      </c>
      <c r="C37" s="15" t="s">
        <v>1780</v>
      </c>
      <c r="D37" s="16">
        <f>2*5.6*8.9*1*1.2</f>
        <v>119.61599999999999</v>
      </c>
      <c r="E37" s="31">
        <v>0</v>
      </c>
      <c r="F37" s="28">
        <f>ROUND(D37*E37,2)</f>
        <v>0</v>
      </c>
      <c r="J37" s="196"/>
    </row>
    <row r="38" spans="1:10" ht="19.5" customHeight="1" thickBot="1" x14ac:dyDescent="0.25">
      <c r="A38" s="29" t="s">
        <v>2895</v>
      </c>
      <c r="B38" s="17" t="s">
        <v>2896</v>
      </c>
      <c r="C38" s="15" t="s">
        <v>1780</v>
      </c>
      <c r="D38" s="16">
        <f>D37</f>
        <v>119.61599999999999</v>
      </c>
      <c r="E38" s="31">
        <v>0</v>
      </c>
      <c r="F38" s="28">
        <f>ROUND(D38*E38,2)</f>
        <v>0</v>
      </c>
    </row>
    <row r="39" spans="1:10" ht="18.75" thickBot="1" x14ac:dyDescent="0.3">
      <c r="A39" s="34"/>
      <c r="B39" s="33"/>
      <c r="C39" s="336" t="s">
        <v>2370</v>
      </c>
      <c r="D39" s="337"/>
      <c r="E39" s="338"/>
      <c r="F39" s="18">
        <f>SUM(F34:F38)</f>
        <v>0</v>
      </c>
      <c r="G39" s="8"/>
    </row>
    <row r="40" spans="1:10" ht="15" x14ac:dyDescent="0.2">
      <c r="A40" s="29" t="s">
        <v>2897</v>
      </c>
      <c r="B40" s="35" t="s">
        <v>2372</v>
      </c>
      <c r="C40" s="15"/>
      <c r="D40" s="16"/>
      <c r="E40" s="25"/>
      <c r="F40" s="26"/>
    </row>
    <row r="41" spans="1:10" ht="28.5" x14ac:dyDescent="0.2">
      <c r="A41" s="29" t="s">
        <v>2898</v>
      </c>
      <c r="B41" s="17" t="s">
        <v>2899</v>
      </c>
      <c r="C41" s="15" t="s">
        <v>1780</v>
      </c>
      <c r="D41" s="16">
        <f>2*5.6*8.9*1.2*1.2</f>
        <v>143.53919999999997</v>
      </c>
      <c r="E41" s="31">
        <v>0</v>
      </c>
      <c r="F41" s="28">
        <f>ROUND(D41*E41,2)</f>
        <v>0</v>
      </c>
    </row>
    <row r="42" spans="1:10" ht="28.5" x14ac:dyDescent="0.2">
      <c r="A42" s="29" t="s">
        <v>2900</v>
      </c>
      <c r="B42" s="17" t="s">
        <v>2901</v>
      </c>
      <c r="C42" s="15" t="s">
        <v>1780</v>
      </c>
      <c r="D42" s="16">
        <f>2*5.6*8.9*0.3*3*1.2</f>
        <v>107.65439999999998</v>
      </c>
      <c r="E42" s="31">
        <v>0</v>
      </c>
      <c r="F42" s="28">
        <f>ROUND(D42*E42,2)</f>
        <v>0</v>
      </c>
    </row>
    <row r="43" spans="1:10" ht="28.5" x14ac:dyDescent="0.2">
      <c r="A43" s="29" t="s">
        <v>2902</v>
      </c>
      <c r="B43" s="17" t="s">
        <v>2903</v>
      </c>
      <c r="C43" s="15" t="s">
        <v>1780</v>
      </c>
      <c r="D43" s="16">
        <f>2*5.6*8.9*1.2*1.2</f>
        <v>143.53919999999997</v>
      </c>
      <c r="E43" s="31">
        <v>0</v>
      </c>
      <c r="F43" s="28">
        <f>ROUND(D43*E43,2)</f>
        <v>0</v>
      </c>
    </row>
    <row r="44" spans="1:10" ht="15" thickBot="1" x14ac:dyDescent="0.25">
      <c r="A44" s="29" t="s">
        <v>2904</v>
      </c>
      <c r="B44" s="17" t="s">
        <v>2905</v>
      </c>
      <c r="C44" s="15" t="s">
        <v>1800</v>
      </c>
      <c r="D44" s="16">
        <f>2*0.5*4*2*1.2</f>
        <v>9.6</v>
      </c>
      <c r="E44" s="31">
        <v>0</v>
      </c>
      <c r="F44" s="28">
        <f>ROUND(D44*E44,2)</f>
        <v>0</v>
      </c>
    </row>
    <row r="45" spans="1:10" ht="18.75" thickBot="1" x14ac:dyDescent="0.3">
      <c r="A45" s="34"/>
      <c r="B45" s="33"/>
      <c r="C45" s="336" t="s">
        <v>2420</v>
      </c>
      <c r="D45" s="337"/>
      <c r="E45" s="338"/>
      <c r="F45" s="18">
        <f>SUM(F41:F44)</f>
        <v>0</v>
      </c>
      <c r="G45" s="8"/>
    </row>
    <row r="46" spans="1:10" ht="15" x14ac:dyDescent="0.2">
      <c r="A46" s="29" t="s">
        <v>2906</v>
      </c>
      <c r="B46" s="35" t="s">
        <v>2583</v>
      </c>
      <c r="C46" s="15"/>
      <c r="D46" s="16"/>
      <c r="E46" s="25"/>
      <c r="F46" s="26"/>
    </row>
    <row r="47" spans="1:10" ht="15" x14ac:dyDescent="0.2">
      <c r="A47" s="29"/>
      <c r="B47" s="17" t="s">
        <v>2907</v>
      </c>
      <c r="C47" s="15"/>
      <c r="D47" s="16"/>
      <c r="E47" s="25"/>
      <c r="F47" s="26"/>
    </row>
    <row r="48" spans="1:10" ht="85.5" x14ac:dyDescent="0.25">
      <c r="A48" s="29" t="s">
        <v>2908</v>
      </c>
      <c r="B48" s="17" t="s">
        <v>2909</v>
      </c>
      <c r="C48" s="15" t="s">
        <v>1773</v>
      </c>
      <c r="D48" s="212">
        <f>5400*1.2</f>
        <v>6480</v>
      </c>
      <c r="E48" s="31">
        <v>0</v>
      </c>
      <c r="F48" s="28">
        <f>ROUND(D48*E48,2)</f>
        <v>0</v>
      </c>
      <c r="I48" s="202"/>
    </row>
    <row r="49" spans="1:9" ht="71.25" x14ac:dyDescent="0.25">
      <c r="A49" s="29" t="s">
        <v>2910</v>
      </c>
      <c r="B49" s="17" t="s">
        <v>2911</v>
      </c>
      <c r="C49" s="15" t="s">
        <v>1773</v>
      </c>
      <c r="D49" s="212">
        <f>3250*1.2</f>
        <v>3900</v>
      </c>
      <c r="E49" s="31">
        <v>0</v>
      </c>
      <c r="F49" s="28">
        <f>ROUND(D49*E49,2)</f>
        <v>0</v>
      </c>
      <c r="I49" s="202"/>
    </row>
    <row r="50" spans="1:9" ht="15" thickBot="1" x14ac:dyDescent="0.25">
      <c r="A50" s="29" t="s">
        <v>2912</v>
      </c>
      <c r="B50" s="17" t="s">
        <v>2913</v>
      </c>
      <c r="C50" s="15" t="s">
        <v>1756</v>
      </c>
      <c r="D50" s="16">
        <f>2*5.6*8.9*0.2*1.2</f>
        <v>23.923199999999998</v>
      </c>
      <c r="E50" s="31">
        <v>0</v>
      </c>
      <c r="F50" s="28">
        <f>ROUND(D50*E50,2)</f>
        <v>0</v>
      </c>
    </row>
    <row r="51" spans="1:9" ht="32.25" customHeight="1" thickBot="1" x14ac:dyDescent="0.3">
      <c r="A51" s="34"/>
      <c r="B51" s="33"/>
      <c r="C51" s="336" t="s">
        <v>2599</v>
      </c>
      <c r="D51" s="337"/>
      <c r="E51" s="338"/>
      <c r="F51" s="18">
        <f>SUM(F48:F50)</f>
        <v>0</v>
      </c>
      <c r="G51" s="8"/>
    </row>
    <row r="52" spans="1:9" ht="15.75" thickBot="1" x14ac:dyDescent="0.25">
      <c r="A52" s="206"/>
      <c r="B52" s="207"/>
      <c r="C52" s="23"/>
      <c r="D52" s="24"/>
      <c r="E52" s="25"/>
      <c r="F52" s="26"/>
    </row>
    <row r="53" spans="1:9" ht="33.75" customHeight="1" thickBot="1" x14ac:dyDescent="0.3">
      <c r="A53" s="267"/>
      <c r="B53" s="269"/>
      <c r="C53" s="336" t="s">
        <v>2914</v>
      </c>
      <c r="D53" s="337"/>
      <c r="E53" s="338"/>
      <c r="F53" s="18">
        <f>F18+F32+F39+F45+F51</f>
        <v>0</v>
      </c>
      <c r="G53" s="8"/>
    </row>
    <row r="54" spans="1:9" x14ac:dyDescent="0.2">
      <c r="A54" s="275"/>
      <c r="B54" s="78"/>
      <c r="C54" s="189"/>
      <c r="D54" s="185"/>
      <c r="E54" s="186"/>
      <c r="F54" s="187"/>
    </row>
    <row r="55" spans="1:9" x14ac:dyDescent="0.2">
      <c r="A55" s="275"/>
      <c r="B55" s="78"/>
      <c r="C55" s="189"/>
      <c r="D55" s="185"/>
      <c r="E55" s="186"/>
      <c r="F55" s="187"/>
    </row>
    <row r="56" spans="1:9" x14ac:dyDescent="0.2">
      <c r="A56" s="275"/>
      <c r="B56" s="78"/>
      <c r="C56" s="189"/>
      <c r="D56" s="185"/>
      <c r="E56" s="186"/>
      <c r="F56" s="187"/>
    </row>
    <row r="57" spans="1:9" x14ac:dyDescent="0.2">
      <c r="A57" s="275"/>
      <c r="B57" s="78"/>
      <c r="C57" s="189"/>
      <c r="D57" s="185"/>
      <c r="E57" s="186"/>
      <c r="F57" s="187"/>
    </row>
    <row r="58" spans="1:9" x14ac:dyDescent="0.2">
      <c r="A58" s="275"/>
      <c r="B58" s="78"/>
      <c r="C58" s="189"/>
      <c r="D58" s="185"/>
      <c r="E58" s="186"/>
      <c r="F58" s="187"/>
    </row>
    <row r="59" spans="1:9" x14ac:dyDescent="0.2">
      <c r="A59" s="275"/>
      <c r="B59" s="78"/>
      <c r="C59" s="189"/>
      <c r="D59" s="185"/>
      <c r="E59" s="186"/>
      <c r="F59" s="187"/>
    </row>
    <row r="60" spans="1:9" x14ac:dyDescent="0.2">
      <c r="A60" s="275"/>
      <c r="B60" s="78"/>
      <c r="C60" s="189"/>
      <c r="D60" s="185"/>
      <c r="E60" s="186"/>
      <c r="F60" s="187"/>
    </row>
    <row r="61" spans="1:9" x14ac:dyDescent="0.2">
      <c r="A61" s="275"/>
      <c r="B61" s="78"/>
      <c r="C61" s="189"/>
      <c r="D61" s="185"/>
      <c r="E61" s="186"/>
      <c r="F61" s="187"/>
    </row>
    <row r="62" spans="1:9" x14ac:dyDescent="0.2">
      <c r="A62" s="275"/>
      <c r="B62" s="78"/>
      <c r="C62" s="189"/>
      <c r="D62" s="185"/>
      <c r="E62" s="186"/>
      <c r="F62" s="187"/>
    </row>
    <row r="63" spans="1:9" x14ac:dyDescent="0.2">
      <c r="A63" s="275"/>
      <c r="B63" s="78"/>
      <c r="C63" s="189"/>
      <c r="D63" s="185"/>
      <c r="E63" s="186"/>
      <c r="F63" s="187"/>
    </row>
    <row r="64" spans="1:9" x14ac:dyDescent="0.2">
      <c r="A64" s="275"/>
      <c r="B64" s="78"/>
      <c r="C64" s="189"/>
      <c r="D64" s="185"/>
      <c r="E64" s="186"/>
      <c r="F64" s="187"/>
    </row>
    <row r="65" spans="1:6" x14ac:dyDescent="0.2">
      <c r="A65" s="275"/>
      <c r="B65" s="78"/>
      <c r="C65" s="189"/>
      <c r="D65" s="185"/>
      <c r="E65" s="186"/>
      <c r="F65" s="187"/>
    </row>
    <row r="66" spans="1:6" x14ac:dyDescent="0.2">
      <c r="A66" s="275"/>
      <c r="B66" s="78"/>
      <c r="C66" s="189"/>
      <c r="D66" s="185"/>
      <c r="E66" s="186"/>
      <c r="F66" s="187"/>
    </row>
    <row r="67" spans="1:6" x14ac:dyDescent="0.2">
      <c r="A67" s="275"/>
      <c r="B67" s="78"/>
      <c r="C67" s="189"/>
      <c r="D67" s="185"/>
      <c r="E67" s="186"/>
      <c r="F67" s="187"/>
    </row>
    <row r="68" spans="1:6" x14ac:dyDescent="0.2">
      <c r="A68" s="275"/>
      <c r="B68" s="78"/>
      <c r="C68" s="189"/>
      <c r="D68" s="185"/>
      <c r="E68" s="186"/>
      <c r="F68" s="187"/>
    </row>
    <row r="69" spans="1:6" x14ac:dyDescent="0.2">
      <c r="A69" s="275"/>
      <c r="B69" s="78"/>
      <c r="C69" s="189"/>
      <c r="D69" s="185"/>
      <c r="E69" s="186"/>
      <c r="F69" s="187"/>
    </row>
    <row r="70" spans="1:6" x14ac:dyDescent="0.2">
      <c r="A70" s="275"/>
      <c r="B70" s="78"/>
      <c r="C70" s="189"/>
      <c r="D70" s="185"/>
      <c r="E70" s="186"/>
      <c r="F70" s="187"/>
    </row>
    <row r="71" spans="1:6" x14ac:dyDescent="0.2">
      <c r="A71" s="275"/>
      <c r="B71" s="78"/>
      <c r="C71" s="189"/>
      <c r="D71" s="185"/>
      <c r="E71" s="186"/>
      <c r="F71" s="187"/>
    </row>
    <row r="72" spans="1:6" x14ac:dyDescent="0.2">
      <c r="A72" s="275"/>
      <c r="B72" s="78"/>
      <c r="C72" s="189"/>
      <c r="D72" s="185"/>
      <c r="E72" s="186"/>
      <c r="F72" s="187"/>
    </row>
    <row r="73" spans="1:6" x14ac:dyDescent="0.2">
      <c r="A73" s="275"/>
      <c r="B73" s="78"/>
      <c r="C73" s="189"/>
      <c r="D73" s="185"/>
      <c r="E73" s="186"/>
      <c r="F73" s="187"/>
    </row>
    <row r="74" spans="1:6" x14ac:dyDescent="0.2">
      <c r="A74" s="275"/>
      <c r="B74" s="78"/>
      <c r="C74" s="189"/>
      <c r="D74" s="185"/>
      <c r="E74" s="186"/>
      <c r="F74" s="187"/>
    </row>
    <row r="75" spans="1:6" x14ac:dyDescent="0.2">
      <c r="A75" s="275"/>
      <c r="B75" s="78"/>
      <c r="C75" s="189"/>
      <c r="D75" s="185"/>
      <c r="E75" s="186"/>
      <c r="F75" s="187"/>
    </row>
    <row r="76" spans="1:6" x14ac:dyDescent="0.2">
      <c r="A76" s="275"/>
      <c r="B76" s="78"/>
      <c r="C76" s="189"/>
      <c r="D76" s="185"/>
      <c r="E76" s="186"/>
      <c r="F76" s="187"/>
    </row>
    <row r="77" spans="1:6" x14ac:dyDescent="0.2">
      <c r="A77" s="275"/>
      <c r="B77" s="78"/>
      <c r="C77" s="189"/>
      <c r="D77" s="185"/>
      <c r="E77" s="186"/>
      <c r="F77" s="187"/>
    </row>
    <row r="78" spans="1:6" x14ac:dyDescent="0.2">
      <c r="A78" s="275"/>
      <c r="B78" s="78"/>
      <c r="C78" s="189"/>
      <c r="D78" s="185"/>
      <c r="E78" s="186"/>
      <c r="F78" s="187"/>
    </row>
    <row r="79" spans="1:6" x14ac:dyDescent="0.2">
      <c r="A79" s="275"/>
      <c r="B79" s="78"/>
      <c r="C79" s="189"/>
      <c r="D79" s="185"/>
      <c r="E79" s="186"/>
      <c r="F79" s="187"/>
    </row>
    <row r="80" spans="1:6" x14ac:dyDescent="0.2">
      <c r="A80" s="275"/>
      <c r="B80" s="78"/>
      <c r="C80" s="189"/>
      <c r="D80" s="185"/>
      <c r="E80" s="186"/>
      <c r="F80" s="187"/>
    </row>
    <row r="81" spans="1:6" x14ac:dyDescent="0.2">
      <c r="A81" s="275"/>
      <c r="B81" s="78"/>
      <c r="C81" s="189"/>
      <c r="D81" s="185"/>
      <c r="E81" s="186"/>
      <c r="F81" s="187"/>
    </row>
    <row r="82" spans="1:6" x14ac:dyDescent="0.2">
      <c r="A82" s="275"/>
      <c r="B82" s="78"/>
      <c r="C82" s="189"/>
      <c r="D82" s="185"/>
      <c r="E82" s="186"/>
      <c r="F82" s="187"/>
    </row>
    <row r="83" spans="1:6" x14ac:dyDescent="0.2">
      <c r="A83" s="275"/>
      <c r="B83" s="78"/>
      <c r="C83" s="189"/>
      <c r="D83" s="185"/>
      <c r="E83" s="186"/>
      <c r="F83" s="187"/>
    </row>
    <row r="84" spans="1:6" x14ac:dyDescent="0.2">
      <c r="A84" s="275"/>
      <c r="B84" s="78"/>
      <c r="C84" s="189"/>
      <c r="D84" s="185"/>
      <c r="E84" s="186"/>
      <c r="F84" s="187"/>
    </row>
    <row r="85" spans="1:6" x14ac:dyDescent="0.2">
      <c r="A85" s="275"/>
      <c r="B85" s="78"/>
      <c r="C85" s="189"/>
      <c r="D85" s="185"/>
      <c r="E85" s="186"/>
      <c r="F85" s="187"/>
    </row>
    <row r="86" spans="1:6" x14ac:dyDescent="0.2">
      <c r="A86" s="275"/>
      <c r="B86" s="78"/>
      <c r="C86" s="189"/>
      <c r="D86" s="185"/>
      <c r="E86" s="186"/>
      <c r="F86" s="187"/>
    </row>
    <row r="87" spans="1:6" x14ac:dyDescent="0.2">
      <c r="A87" s="275"/>
      <c r="B87" s="78"/>
      <c r="C87" s="189"/>
      <c r="D87" s="185"/>
      <c r="E87" s="186"/>
      <c r="F87" s="187"/>
    </row>
    <row r="88" spans="1:6" x14ac:dyDescent="0.2">
      <c r="A88" s="275"/>
      <c r="B88" s="78"/>
      <c r="C88" s="189"/>
      <c r="D88" s="185"/>
      <c r="E88" s="186"/>
      <c r="F88" s="187"/>
    </row>
    <row r="89" spans="1:6" x14ac:dyDescent="0.2">
      <c r="A89" s="275"/>
      <c r="B89" s="78"/>
      <c r="C89" s="189"/>
      <c r="D89" s="185"/>
      <c r="E89" s="186"/>
      <c r="F89" s="187"/>
    </row>
    <row r="90" spans="1:6" x14ac:dyDescent="0.2">
      <c r="A90" s="275"/>
      <c r="B90" s="78"/>
      <c r="C90" s="189"/>
      <c r="D90" s="185"/>
      <c r="E90" s="186"/>
      <c r="F90" s="187"/>
    </row>
    <row r="91" spans="1:6" x14ac:dyDescent="0.2">
      <c r="A91" s="275"/>
      <c r="B91" s="78"/>
      <c r="C91" s="189"/>
      <c r="D91" s="185"/>
      <c r="E91" s="186"/>
      <c r="F91" s="187"/>
    </row>
    <row r="92" spans="1:6" x14ac:dyDescent="0.2">
      <c r="A92" s="275"/>
      <c r="B92" s="78"/>
      <c r="C92" s="189"/>
      <c r="D92" s="185"/>
      <c r="E92" s="186"/>
      <c r="F92" s="187"/>
    </row>
    <row r="93" spans="1:6" x14ac:dyDescent="0.2">
      <c r="A93" s="275"/>
      <c r="B93" s="78"/>
      <c r="C93" s="189"/>
      <c r="D93" s="185"/>
      <c r="E93" s="186"/>
      <c r="F93" s="187"/>
    </row>
    <row r="94" spans="1:6" x14ac:dyDescent="0.2">
      <c r="A94" s="275"/>
      <c r="B94" s="78"/>
      <c r="C94" s="189"/>
      <c r="D94" s="185"/>
      <c r="E94" s="186"/>
      <c r="F94" s="187"/>
    </row>
    <row r="95" spans="1:6" x14ac:dyDescent="0.2">
      <c r="A95" s="275"/>
      <c r="B95" s="78"/>
      <c r="C95" s="189"/>
      <c r="D95" s="185"/>
      <c r="E95" s="186"/>
      <c r="F95" s="187"/>
    </row>
    <row r="96" spans="1:6" x14ac:dyDescent="0.2">
      <c r="A96" s="275"/>
      <c r="B96" s="78"/>
      <c r="C96" s="189"/>
      <c r="D96" s="185"/>
      <c r="E96" s="186"/>
      <c r="F96" s="187"/>
    </row>
    <row r="97" spans="1:6" x14ac:dyDescent="0.2">
      <c r="A97" s="275"/>
      <c r="B97" s="78"/>
      <c r="C97" s="189"/>
      <c r="D97" s="185"/>
      <c r="E97" s="186"/>
      <c r="F97" s="187"/>
    </row>
    <row r="98" spans="1:6" x14ac:dyDescent="0.2">
      <c r="A98" s="275"/>
      <c r="B98" s="78"/>
      <c r="C98" s="189"/>
      <c r="D98" s="185"/>
      <c r="E98" s="186"/>
      <c r="F98" s="187"/>
    </row>
    <row r="99" spans="1:6" x14ac:dyDescent="0.2">
      <c r="A99" s="275"/>
      <c r="B99" s="78"/>
      <c r="C99" s="189"/>
      <c r="D99" s="185"/>
      <c r="E99" s="186"/>
      <c r="F99" s="187"/>
    </row>
    <row r="100" spans="1:6" x14ac:dyDescent="0.2">
      <c r="A100" s="275"/>
      <c r="B100" s="78"/>
      <c r="C100" s="189"/>
      <c r="D100" s="185"/>
      <c r="E100" s="186"/>
      <c r="F100" s="187"/>
    </row>
    <row r="101" spans="1:6" x14ac:dyDescent="0.2">
      <c r="A101" s="275"/>
      <c r="B101" s="78"/>
      <c r="C101" s="189"/>
      <c r="D101" s="185"/>
      <c r="E101" s="186"/>
      <c r="F101" s="187"/>
    </row>
    <row r="102" spans="1:6" x14ac:dyDescent="0.2">
      <c r="A102" s="275"/>
      <c r="B102" s="78"/>
      <c r="C102" s="189"/>
      <c r="D102" s="185"/>
      <c r="E102" s="186"/>
      <c r="F102" s="187"/>
    </row>
    <row r="103" spans="1:6" x14ac:dyDescent="0.2">
      <c r="A103" s="275"/>
      <c r="B103" s="78"/>
      <c r="C103" s="189"/>
      <c r="D103" s="185"/>
      <c r="E103" s="186"/>
      <c r="F103" s="187"/>
    </row>
    <row r="104" spans="1:6" x14ac:dyDescent="0.2">
      <c r="A104" s="275"/>
      <c r="B104" s="78"/>
      <c r="C104" s="189"/>
      <c r="D104" s="185"/>
      <c r="E104" s="186"/>
      <c r="F104" s="187"/>
    </row>
    <row r="105" spans="1:6" x14ac:dyDescent="0.2">
      <c r="A105" s="275"/>
      <c r="B105" s="78"/>
      <c r="C105" s="189"/>
      <c r="D105" s="185"/>
      <c r="E105" s="186"/>
      <c r="F105" s="187"/>
    </row>
    <row r="106" spans="1:6" x14ac:dyDescent="0.2">
      <c r="A106" s="275"/>
      <c r="B106" s="78"/>
      <c r="C106" s="189"/>
      <c r="D106" s="185"/>
      <c r="E106" s="186"/>
      <c r="F106" s="187"/>
    </row>
    <row r="107" spans="1:6" x14ac:dyDescent="0.2">
      <c r="A107" s="275"/>
      <c r="B107" s="78"/>
      <c r="C107" s="189"/>
      <c r="D107" s="185"/>
      <c r="E107" s="186"/>
      <c r="F107" s="187"/>
    </row>
    <row r="108" spans="1:6" x14ac:dyDescent="0.2">
      <c r="A108" s="275"/>
      <c r="B108" s="78"/>
      <c r="C108" s="189"/>
      <c r="D108" s="185"/>
      <c r="E108" s="186"/>
      <c r="F108" s="187"/>
    </row>
    <row r="109" spans="1:6" x14ac:dyDescent="0.2">
      <c r="A109" s="275"/>
      <c r="B109" s="78"/>
      <c r="C109" s="189"/>
      <c r="D109" s="185"/>
      <c r="E109" s="186"/>
      <c r="F109" s="187"/>
    </row>
    <row r="110" spans="1:6" x14ac:dyDescent="0.2">
      <c r="A110" s="275"/>
      <c r="B110" s="78"/>
      <c r="C110" s="189"/>
      <c r="D110" s="185"/>
      <c r="E110" s="186"/>
      <c r="F110" s="187"/>
    </row>
    <row r="111" spans="1:6" x14ac:dyDescent="0.2">
      <c r="A111" s="275"/>
      <c r="B111" s="78"/>
      <c r="C111" s="189"/>
      <c r="D111" s="185"/>
      <c r="E111" s="186"/>
      <c r="F111" s="187"/>
    </row>
    <row r="112" spans="1:6" x14ac:dyDescent="0.2">
      <c r="A112" s="275"/>
      <c r="B112" s="78"/>
      <c r="C112" s="189"/>
      <c r="D112" s="185"/>
      <c r="E112" s="186"/>
      <c r="F112" s="187"/>
    </row>
    <row r="113" spans="1:6" x14ac:dyDescent="0.2">
      <c r="A113" s="275"/>
      <c r="B113" s="78"/>
      <c r="C113" s="189"/>
      <c r="D113" s="185"/>
      <c r="E113" s="186"/>
      <c r="F113" s="187"/>
    </row>
    <row r="114" spans="1:6" x14ac:dyDescent="0.2">
      <c r="A114" s="275"/>
      <c r="B114" s="78"/>
      <c r="C114" s="189"/>
      <c r="D114" s="185"/>
      <c r="E114" s="186"/>
      <c r="F114" s="187"/>
    </row>
    <row r="115" spans="1:6" x14ac:dyDescent="0.2">
      <c r="A115" s="275"/>
      <c r="B115" s="78"/>
      <c r="C115" s="189"/>
      <c r="D115" s="185"/>
      <c r="E115" s="186"/>
      <c r="F115" s="187"/>
    </row>
    <row r="116" spans="1:6" x14ac:dyDescent="0.2">
      <c r="A116" s="275"/>
      <c r="B116" s="78"/>
      <c r="C116" s="189"/>
      <c r="D116" s="185"/>
      <c r="E116" s="186"/>
      <c r="F116" s="187"/>
    </row>
    <row r="117" spans="1:6" x14ac:dyDescent="0.2">
      <c r="A117" s="275"/>
      <c r="B117" s="78"/>
      <c r="C117" s="189"/>
      <c r="D117" s="185"/>
      <c r="E117" s="186"/>
      <c r="F117" s="187"/>
    </row>
    <row r="118" spans="1:6" x14ac:dyDescent="0.2">
      <c r="A118" s="275"/>
      <c r="B118" s="78"/>
      <c r="C118" s="189"/>
      <c r="D118" s="185"/>
      <c r="E118" s="186"/>
      <c r="F118" s="187"/>
    </row>
    <row r="119" spans="1:6" x14ac:dyDescent="0.2">
      <c r="A119" s="275"/>
      <c r="B119" s="78"/>
      <c r="C119" s="189"/>
      <c r="D119" s="185"/>
      <c r="E119" s="186"/>
      <c r="F119" s="187"/>
    </row>
    <row r="120" spans="1:6" x14ac:dyDescent="0.2">
      <c r="A120" s="275"/>
      <c r="B120" s="78"/>
      <c r="C120" s="189"/>
      <c r="D120" s="185"/>
      <c r="E120" s="186"/>
      <c r="F120" s="187"/>
    </row>
    <row r="121" spans="1:6" x14ac:dyDescent="0.2">
      <c r="A121" s="275"/>
      <c r="B121" s="78"/>
      <c r="C121" s="189"/>
      <c r="D121" s="185"/>
      <c r="E121" s="186"/>
      <c r="F121" s="187"/>
    </row>
    <row r="122" spans="1:6" x14ac:dyDescent="0.2">
      <c r="A122" s="275"/>
      <c r="B122" s="78"/>
      <c r="C122" s="189"/>
      <c r="D122" s="185"/>
      <c r="E122" s="186"/>
      <c r="F122" s="187"/>
    </row>
    <row r="123" spans="1:6" x14ac:dyDescent="0.2">
      <c r="A123" s="275"/>
      <c r="B123" s="78"/>
      <c r="C123" s="189"/>
      <c r="D123" s="185"/>
      <c r="E123" s="186"/>
      <c r="F123" s="187"/>
    </row>
    <row r="124" spans="1:6" x14ac:dyDescent="0.2">
      <c r="A124" s="275"/>
      <c r="B124" s="78"/>
      <c r="C124" s="189"/>
      <c r="D124" s="185"/>
      <c r="E124" s="186"/>
      <c r="F124" s="187"/>
    </row>
    <row r="125" spans="1:6" x14ac:dyDescent="0.2">
      <c r="A125" s="275"/>
      <c r="B125" s="78"/>
      <c r="C125" s="189"/>
      <c r="D125" s="185"/>
      <c r="E125" s="186"/>
      <c r="F125" s="187"/>
    </row>
    <row r="126" spans="1:6" x14ac:dyDescent="0.2">
      <c r="A126" s="275"/>
      <c r="B126" s="78"/>
      <c r="C126" s="189"/>
      <c r="D126" s="185"/>
      <c r="E126" s="186"/>
      <c r="F126" s="187"/>
    </row>
    <row r="127" spans="1:6" x14ac:dyDescent="0.2">
      <c r="A127" s="275"/>
      <c r="B127" s="78"/>
      <c r="C127" s="189"/>
      <c r="D127" s="185"/>
      <c r="E127" s="186"/>
      <c r="F127" s="187"/>
    </row>
    <row r="128" spans="1:6" x14ac:dyDescent="0.2">
      <c r="A128" s="275"/>
      <c r="B128" s="78"/>
      <c r="C128" s="189"/>
      <c r="D128" s="185"/>
      <c r="E128" s="186"/>
      <c r="F128" s="187"/>
    </row>
    <row r="129" spans="1:6" x14ac:dyDescent="0.2">
      <c r="A129" s="275"/>
      <c r="B129" s="78"/>
      <c r="C129" s="189"/>
      <c r="D129" s="185"/>
      <c r="E129" s="186"/>
      <c r="F129" s="187"/>
    </row>
    <row r="130" spans="1:6" x14ac:dyDescent="0.2">
      <c r="A130" s="275"/>
      <c r="B130" s="78"/>
      <c r="C130" s="189"/>
      <c r="D130" s="185"/>
      <c r="E130" s="186"/>
      <c r="F130" s="187"/>
    </row>
    <row r="131" spans="1:6" x14ac:dyDescent="0.2">
      <c r="A131" s="275"/>
      <c r="B131" s="78"/>
      <c r="C131" s="189"/>
      <c r="D131" s="185"/>
      <c r="E131" s="186"/>
      <c r="F131" s="187"/>
    </row>
    <row r="132" spans="1:6" x14ac:dyDescent="0.2">
      <c r="A132" s="275"/>
      <c r="B132" s="78"/>
      <c r="C132" s="189"/>
      <c r="D132" s="185"/>
      <c r="E132" s="186"/>
      <c r="F132" s="187"/>
    </row>
    <row r="133" spans="1:6" x14ac:dyDescent="0.2">
      <c r="A133" s="275"/>
      <c r="B133" s="78"/>
      <c r="C133" s="189"/>
      <c r="D133" s="185"/>
      <c r="E133" s="186"/>
      <c r="F133" s="187"/>
    </row>
    <row r="134" spans="1:6" x14ac:dyDescent="0.2">
      <c r="A134" s="275"/>
      <c r="B134" s="78"/>
      <c r="C134" s="189"/>
      <c r="D134" s="185"/>
      <c r="E134" s="186"/>
      <c r="F134" s="187"/>
    </row>
    <row r="135" spans="1:6" x14ac:dyDescent="0.2">
      <c r="A135" s="275"/>
      <c r="B135" s="78"/>
      <c r="C135" s="189"/>
      <c r="D135" s="185"/>
      <c r="E135" s="186"/>
      <c r="F135" s="187"/>
    </row>
    <row r="136" spans="1:6" x14ac:dyDescent="0.2">
      <c r="A136" s="275"/>
      <c r="B136" s="78"/>
      <c r="C136" s="189"/>
      <c r="D136" s="185"/>
      <c r="E136" s="186"/>
      <c r="F136" s="187"/>
    </row>
    <row r="137" spans="1:6" x14ac:dyDescent="0.2">
      <c r="A137" s="275"/>
      <c r="B137" s="78"/>
      <c r="C137" s="189"/>
      <c r="D137" s="185"/>
      <c r="E137" s="186"/>
      <c r="F137" s="187"/>
    </row>
    <row r="138" spans="1:6" x14ac:dyDescent="0.2">
      <c r="A138" s="275"/>
      <c r="B138" s="78"/>
      <c r="C138" s="189"/>
      <c r="D138" s="185"/>
      <c r="E138" s="186"/>
      <c r="F138" s="187"/>
    </row>
    <row r="139" spans="1:6" x14ac:dyDescent="0.2">
      <c r="A139" s="275"/>
      <c r="B139" s="78"/>
      <c r="C139" s="189"/>
      <c r="D139" s="185"/>
      <c r="E139" s="186"/>
      <c r="F139" s="187"/>
    </row>
    <row r="140" spans="1:6" x14ac:dyDescent="0.2">
      <c r="A140" s="275"/>
      <c r="B140" s="78"/>
      <c r="C140" s="189"/>
      <c r="D140" s="185"/>
      <c r="E140" s="186"/>
      <c r="F140" s="187"/>
    </row>
    <row r="141" spans="1:6" x14ac:dyDescent="0.2">
      <c r="A141" s="275"/>
      <c r="B141" s="78"/>
      <c r="C141" s="189"/>
      <c r="D141" s="185"/>
      <c r="E141" s="186"/>
      <c r="F141" s="187"/>
    </row>
    <row r="142" spans="1:6" x14ac:dyDescent="0.2">
      <c r="A142" s="275"/>
      <c r="B142" s="78"/>
      <c r="C142" s="189"/>
      <c r="D142" s="185"/>
      <c r="E142" s="186"/>
      <c r="F142" s="187"/>
    </row>
    <row r="143" spans="1:6" x14ac:dyDescent="0.2">
      <c r="A143" s="275"/>
      <c r="B143" s="78"/>
      <c r="C143" s="189"/>
      <c r="D143" s="185"/>
      <c r="E143" s="186"/>
      <c r="F143" s="187"/>
    </row>
    <row r="144" spans="1:6" x14ac:dyDescent="0.2">
      <c r="A144" s="275"/>
      <c r="B144" s="78"/>
      <c r="C144" s="189"/>
      <c r="D144" s="185"/>
      <c r="E144" s="186"/>
      <c r="F144" s="187"/>
    </row>
    <row r="145" spans="1:6" x14ac:dyDescent="0.2">
      <c r="A145" s="275"/>
      <c r="B145" s="78"/>
      <c r="C145" s="189"/>
      <c r="D145" s="185"/>
      <c r="E145" s="186"/>
      <c r="F145" s="187"/>
    </row>
    <row r="146" spans="1:6" x14ac:dyDescent="0.2">
      <c r="A146" s="275"/>
      <c r="B146" s="78"/>
      <c r="C146" s="189"/>
      <c r="D146" s="185"/>
      <c r="E146" s="186"/>
      <c r="F146" s="187"/>
    </row>
    <row r="147" spans="1:6" x14ac:dyDescent="0.2">
      <c r="A147" s="275"/>
      <c r="B147" s="78"/>
      <c r="C147" s="189"/>
      <c r="D147" s="185"/>
      <c r="E147" s="186"/>
      <c r="F147" s="187"/>
    </row>
    <row r="148" spans="1:6" x14ac:dyDescent="0.2">
      <c r="A148" s="275"/>
      <c r="B148" s="78"/>
      <c r="C148" s="189"/>
      <c r="D148" s="185"/>
      <c r="E148" s="186"/>
      <c r="F148" s="187"/>
    </row>
    <row r="149" spans="1:6" x14ac:dyDescent="0.2">
      <c r="A149" s="275"/>
      <c r="B149" s="78"/>
      <c r="C149" s="189"/>
      <c r="D149" s="185"/>
      <c r="E149" s="186"/>
      <c r="F149" s="187"/>
    </row>
    <row r="150" spans="1:6" x14ac:dyDescent="0.2">
      <c r="A150" s="275"/>
      <c r="B150" s="78"/>
      <c r="C150" s="189"/>
      <c r="D150" s="185"/>
      <c r="E150" s="186"/>
      <c r="F150" s="187"/>
    </row>
    <row r="151" spans="1:6" x14ac:dyDescent="0.2">
      <c r="A151" s="275"/>
      <c r="B151" s="78"/>
      <c r="C151" s="189"/>
      <c r="D151" s="185"/>
      <c r="E151" s="186"/>
      <c r="F151" s="187"/>
    </row>
    <row r="152" spans="1:6" x14ac:dyDescent="0.2">
      <c r="A152" s="275"/>
      <c r="B152" s="78"/>
      <c r="C152" s="189"/>
      <c r="D152" s="185"/>
      <c r="E152" s="186"/>
      <c r="F152" s="187"/>
    </row>
    <row r="153" spans="1:6" x14ac:dyDescent="0.2">
      <c r="A153" s="275"/>
      <c r="B153" s="78"/>
      <c r="C153" s="189"/>
      <c r="D153" s="185"/>
      <c r="E153" s="186"/>
      <c r="F153" s="187"/>
    </row>
    <row r="154" spans="1:6" x14ac:dyDescent="0.2">
      <c r="A154" s="275"/>
      <c r="B154" s="78"/>
      <c r="C154" s="189"/>
      <c r="D154" s="185"/>
      <c r="E154" s="186"/>
      <c r="F154" s="187"/>
    </row>
    <row r="155" spans="1:6" x14ac:dyDescent="0.2">
      <c r="A155" s="275"/>
      <c r="B155" s="78"/>
      <c r="C155" s="189"/>
      <c r="D155" s="185"/>
      <c r="E155" s="186"/>
      <c r="F155" s="187"/>
    </row>
    <row r="156" spans="1:6" x14ac:dyDescent="0.2">
      <c r="A156" s="275"/>
      <c r="B156" s="78"/>
      <c r="C156" s="189"/>
      <c r="D156" s="185"/>
      <c r="E156" s="186"/>
      <c r="F156" s="187"/>
    </row>
    <row r="157" spans="1:6" x14ac:dyDescent="0.2">
      <c r="A157" s="275"/>
      <c r="B157" s="78"/>
      <c r="C157" s="189"/>
      <c r="D157" s="185"/>
      <c r="E157" s="186"/>
      <c r="F157" s="187"/>
    </row>
    <row r="158" spans="1:6" x14ac:dyDescent="0.2">
      <c r="A158" s="275"/>
      <c r="B158" s="78"/>
      <c r="C158" s="189"/>
      <c r="D158" s="185"/>
      <c r="E158" s="186"/>
      <c r="F158" s="187"/>
    </row>
    <row r="159" spans="1:6" x14ac:dyDescent="0.2">
      <c r="A159" s="275"/>
      <c r="B159" s="78"/>
      <c r="C159" s="189"/>
      <c r="D159" s="185"/>
      <c r="E159" s="186"/>
      <c r="F159" s="187"/>
    </row>
    <row r="160" spans="1:6" x14ac:dyDescent="0.2">
      <c r="A160" s="275"/>
      <c r="B160" s="78"/>
      <c r="C160" s="189"/>
      <c r="D160" s="185"/>
      <c r="E160" s="186"/>
      <c r="F160" s="187"/>
    </row>
    <row r="161" spans="1:6" x14ac:dyDescent="0.2">
      <c r="A161" s="275"/>
      <c r="B161" s="78"/>
      <c r="C161" s="189"/>
      <c r="D161" s="185"/>
      <c r="E161" s="186"/>
      <c r="F161" s="187"/>
    </row>
    <row r="162" spans="1:6" x14ac:dyDescent="0.2">
      <c r="A162" s="275"/>
      <c r="B162" s="78"/>
      <c r="C162" s="189"/>
      <c r="D162" s="185"/>
      <c r="E162" s="186"/>
      <c r="F162" s="187"/>
    </row>
    <row r="163" spans="1:6" x14ac:dyDescent="0.2">
      <c r="A163" s="275"/>
      <c r="B163" s="78"/>
      <c r="C163" s="189"/>
      <c r="D163" s="185"/>
      <c r="E163" s="186"/>
      <c r="F163" s="187"/>
    </row>
    <row r="164" spans="1:6" x14ac:dyDescent="0.2">
      <c r="A164" s="275"/>
      <c r="B164" s="78"/>
      <c r="C164" s="189"/>
      <c r="D164" s="185"/>
      <c r="E164" s="186"/>
      <c r="F164" s="187"/>
    </row>
    <row r="165" spans="1:6" x14ac:dyDescent="0.2">
      <c r="A165" s="275"/>
      <c r="B165" s="78"/>
      <c r="C165" s="189"/>
      <c r="D165" s="185"/>
      <c r="E165" s="186"/>
      <c r="F165" s="187"/>
    </row>
    <row r="166" spans="1:6" x14ac:dyDescent="0.2">
      <c r="A166" s="275"/>
      <c r="B166" s="78"/>
      <c r="C166" s="189"/>
      <c r="D166" s="185"/>
      <c r="E166" s="186"/>
      <c r="F166" s="187"/>
    </row>
    <row r="167" spans="1:6" x14ac:dyDescent="0.2">
      <c r="A167" s="275"/>
      <c r="B167" s="78"/>
      <c r="C167" s="189"/>
      <c r="D167" s="185"/>
      <c r="E167" s="186"/>
      <c r="F167" s="187"/>
    </row>
    <row r="168" spans="1:6" x14ac:dyDescent="0.2">
      <c r="A168" s="275"/>
      <c r="B168" s="78"/>
      <c r="C168" s="189"/>
      <c r="D168" s="185"/>
      <c r="E168" s="186"/>
      <c r="F168" s="187"/>
    </row>
    <row r="169" spans="1:6" x14ac:dyDescent="0.2">
      <c r="A169" s="275"/>
      <c r="B169" s="78"/>
      <c r="C169" s="189"/>
      <c r="D169" s="185"/>
      <c r="E169" s="186"/>
      <c r="F169" s="187"/>
    </row>
    <row r="170" spans="1:6" x14ac:dyDescent="0.2">
      <c r="A170" s="275"/>
      <c r="B170" s="78"/>
      <c r="C170" s="189"/>
      <c r="D170" s="185"/>
      <c r="E170" s="186"/>
      <c r="F170" s="187"/>
    </row>
    <row r="171" spans="1:6" x14ac:dyDescent="0.2">
      <c r="A171" s="275"/>
      <c r="B171" s="78"/>
      <c r="C171" s="189"/>
      <c r="D171" s="185"/>
      <c r="E171" s="186"/>
      <c r="F171" s="187"/>
    </row>
    <row r="172" spans="1:6" x14ac:dyDescent="0.2">
      <c r="A172" s="275"/>
      <c r="B172" s="78"/>
      <c r="C172" s="189"/>
      <c r="D172" s="185"/>
      <c r="E172" s="186"/>
      <c r="F172" s="187"/>
    </row>
    <row r="173" spans="1:6" x14ac:dyDescent="0.2">
      <c r="A173" s="275"/>
      <c r="B173" s="78"/>
      <c r="C173" s="189"/>
      <c r="D173" s="185"/>
      <c r="E173" s="186"/>
      <c r="F173" s="187"/>
    </row>
    <row r="174" spans="1:6" x14ac:dyDescent="0.2">
      <c r="A174" s="275"/>
      <c r="B174" s="78"/>
      <c r="C174" s="189"/>
      <c r="D174" s="185"/>
      <c r="E174" s="186"/>
      <c r="F174" s="187"/>
    </row>
    <row r="175" spans="1:6" x14ac:dyDescent="0.2">
      <c r="A175" s="275"/>
      <c r="B175" s="78"/>
      <c r="C175" s="189"/>
      <c r="D175" s="185"/>
      <c r="E175" s="186"/>
      <c r="F175" s="187"/>
    </row>
    <row r="176" spans="1:6" x14ac:dyDescent="0.2">
      <c r="A176" s="275"/>
      <c r="B176" s="78"/>
      <c r="C176" s="189"/>
      <c r="D176" s="185"/>
      <c r="E176" s="186"/>
      <c r="F176" s="187"/>
    </row>
    <row r="177" spans="1:6" x14ac:dyDescent="0.2">
      <c r="A177" s="275"/>
      <c r="B177" s="78"/>
      <c r="C177" s="189"/>
      <c r="D177" s="185"/>
      <c r="E177" s="186"/>
      <c r="F177" s="187"/>
    </row>
    <row r="178" spans="1:6" x14ac:dyDescent="0.2">
      <c r="A178" s="275"/>
      <c r="B178" s="78"/>
      <c r="C178" s="189"/>
      <c r="D178" s="185"/>
      <c r="E178" s="186"/>
      <c r="F178" s="187"/>
    </row>
    <row r="179" spans="1:6" x14ac:dyDescent="0.2">
      <c r="A179" s="275"/>
      <c r="B179" s="78"/>
      <c r="C179" s="189"/>
      <c r="D179" s="185"/>
      <c r="E179" s="186"/>
      <c r="F179" s="187"/>
    </row>
    <row r="180" spans="1:6" x14ac:dyDescent="0.2">
      <c r="A180" s="275"/>
      <c r="B180" s="78"/>
      <c r="C180" s="189"/>
      <c r="D180" s="185"/>
      <c r="E180" s="186"/>
      <c r="F180" s="187"/>
    </row>
    <row r="181" spans="1:6" x14ac:dyDescent="0.2">
      <c r="A181" s="275"/>
      <c r="B181" s="78"/>
      <c r="C181" s="189"/>
      <c r="D181" s="185"/>
      <c r="E181" s="186"/>
      <c r="F181" s="187"/>
    </row>
    <row r="182" spans="1:6" x14ac:dyDescent="0.2">
      <c r="A182" s="275"/>
      <c r="B182" s="78"/>
      <c r="C182" s="189"/>
      <c r="D182" s="185"/>
      <c r="E182" s="186"/>
      <c r="F182" s="187"/>
    </row>
    <row r="183" spans="1:6" x14ac:dyDescent="0.2">
      <c r="A183" s="275"/>
      <c r="B183" s="78"/>
      <c r="C183" s="189"/>
      <c r="D183" s="185"/>
      <c r="E183" s="186"/>
      <c r="F183" s="187"/>
    </row>
    <row r="184" spans="1:6" x14ac:dyDescent="0.2">
      <c r="A184" s="275"/>
      <c r="B184" s="78"/>
      <c r="C184" s="189"/>
      <c r="D184" s="185"/>
      <c r="E184" s="186"/>
      <c r="F184" s="187"/>
    </row>
    <row r="185" spans="1:6" x14ac:dyDescent="0.2">
      <c r="A185" s="275"/>
      <c r="B185" s="78"/>
      <c r="C185" s="189"/>
      <c r="D185" s="185"/>
      <c r="E185" s="186"/>
      <c r="F185" s="187"/>
    </row>
    <row r="186" spans="1:6" x14ac:dyDescent="0.2">
      <c r="A186" s="275"/>
      <c r="B186" s="78"/>
      <c r="C186" s="189"/>
      <c r="D186" s="185"/>
      <c r="E186" s="186"/>
      <c r="F186" s="187"/>
    </row>
    <row r="187" spans="1:6" x14ac:dyDescent="0.2">
      <c r="A187" s="275"/>
      <c r="B187" s="78"/>
      <c r="C187" s="189"/>
      <c r="D187" s="185"/>
      <c r="E187" s="186"/>
      <c r="F187" s="187"/>
    </row>
    <row r="188" spans="1:6" x14ac:dyDescent="0.2">
      <c r="A188" s="275"/>
      <c r="B188" s="78"/>
      <c r="C188" s="189"/>
      <c r="D188" s="185"/>
      <c r="E188" s="186"/>
      <c r="F188" s="187"/>
    </row>
    <row r="189" spans="1:6" x14ac:dyDescent="0.2">
      <c r="A189" s="275"/>
      <c r="B189" s="78"/>
      <c r="C189" s="189"/>
      <c r="D189" s="185"/>
      <c r="E189" s="186"/>
      <c r="F189" s="187"/>
    </row>
    <row r="190" spans="1:6" x14ac:dyDescent="0.2">
      <c r="A190" s="275"/>
      <c r="B190" s="78"/>
      <c r="C190" s="189"/>
      <c r="D190" s="185"/>
      <c r="E190" s="186"/>
      <c r="F190" s="187"/>
    </row>
    <row r="191" spans="1:6" x14ac:dyDescent="0.2">
      <c r="A191" s="275"/>
      <c r="B191" s="78"/>
      <c r="C191" s="189"/>
      <c r="D191" s="185"/>
      <c r="E191" s="186"/>
      <c r="F191" s="187"/>
    </row>
    <row r="192" spans="1:6" x14ac:dyDescent="0.2">
      <c r="A192" s="275"/>
      <c r="B192" s="78"/>
      <c r="C192" s="189"/>
      <c r="D192" s="185"/>
      <c r="E192" s="186"/>
      <c r="F192" s="187"/>
    </row>
    <row r="193" spans="1:6" x14ac:dyDescent="0.2">
      <c r="A193" s="275"/>
      <c r="B193" s="78"/>
      <c r="C193" s="189"/>
      <c r="D193" s="185"/>
      <c r="E193" s="186"/>
      <c r="F193" s="187"/>
    </row>
    <row r="194" spans="1:6" x14ac:dyDescent="0.2">
      <c r="A194" s="275"/>
      <c r="B194" s="78"/>
      <c r="C194" s="189"/>
      <c r="D194" s="185"/>
      <c r="E194" s="186"/>
      <c r="F194" s="187"/>
    </row>
    <row r="195" spans="1:6" x14ac:dyDescent="0.2">
      <c r="A195" s="275"/>
      <c r="B195" s="78"/>
      <c r="C195" s="189"/>
      <c r="D195" s="185"/>
      <c r="E195" s="186"/>
      <c r="F195" s="187"/>
    </row>
    <row r="196" spans="1:6" x14ac:dyDescent="0.2">
      <c r="A196" s="275"/>
      <c r="B196" s="78"/>
      <c r="C196" s="189"/>
      <c r="D196" s="185"/>
      <c r="E196" s="186"/>
      <c r="F196" s="187"/>
    </row>
    <row r="197" spans="1:6" x14ac:dyDescent="0.2">
      <c r="A197" s="275"/>
      <c r="B197" s="78"/>
      <c r="C197" s="189"/>
      <c r="D197" s="185"/>
      <c r="E197" s="186"/>
      <c r="F197" s="187"/>
    </row>
    <row r="198" spans="1:6" x14ac:dyDescent="0.2">
      <c r="A198" s="275"/>
      <c r="B198" s="78"/>
      <c r="C198" s="189"/>
      <c r="D198" s="185"/>
      <c r="E198" s="186"/>
      <c r="F198" s="187"/>
    </row>
    <row r="199" spans="1:6" x14ac:dyDescent="0.2">
      <c r="A199" s="275"/>
      <c r="B199" s="78"/>
      <c r="C199" s="189"/>
      <c r="D199" s="185"/>
      <c r="E199" s="186"/>
      <c r="F199" s="187"/>
    </row>
    <row r="200" spans="1:6" x14ac:dyDescent="0.2">
      <c r="A200" s="275"/>
      <c r="B200" s="78"/>
      <c r="C200" s="189"/>
      <c r="D200" s="185"/>
      <c r="E200" s="186"/>
      <c r="F200" s="187"/>
    </row>
    <row r="201" spans="1:6" x14ac:dyDescent="0.2">
      <c r="A201" s="275"/>
      <c r="B201" s="78"/>
      <c r="C201" s="189"/>
      <c r="D201" s="185"/>
      <c r="E201" s="186"/>
      <c r="F201" s="187"/>
    </row>
    <row r="202" spans="1:6" x14ac:dyDescent="0.2">
      <c r="A202" s="275"/>
      <c r="B202" s="78"/>
      <c r="C202" s="189"/>
      <c r="D202" s="185"/>
      <c r="E202" s="186"/>
      <c r="F202" s="187"/>
    </row>
    <row r="203" spans="1:6" x14ac:dyDescent="0.2">
      <c r="A203" s="275"/>
      <c r="B203" s="78"/>
      <c r="C203" s="189"/>
      <c r="D203" s="185"/>
      <c r="E203" s="186"/>
      <c r="F203" s="187"/>
    </row>
    <row r="204" spans="1:6" x14ac:dyDescent="0.2">
      <c r="A204" s="275"/>
      <c r="B204" s="78"/>
      <c r="C204" s="189"/>
      <c r="D204" s="185"/>
      <c r="E204" s="186"/>
      <c r="F204" s="187"/>
    </row>
    <row r="205" spans="1:6" x14ac:dyDescent="0.2">
      <c r="A205" s="275"/>
      <c r="B205" s="78"/>
      <c r="C205" s="189"/>
      <c r="D205" s="185"/>
      <c r="E205" s="186"/>
      <c r="F205" s="187"/>
    </row>
    <row r="206" spans="1:6" x14ac:dyDescent="0.2">
      <c r="A206" s="275"/>
      <c r="B206" s="78"/>
      <c r="C206" s="189"/>
      <c r="D206" s="185"/>
      <c r="E206" s="186"/>
      <c r="F206" s="187"/>
    </row>
    <row r="207" spans="1:6" x14ac:dyDescent="0.2">
      <c r="A207" s="275"/>
      <c r="B207" s="78"/>
      <c r="C207" s="189"/>
      <c r="D207" s="185"/>
      <c r="E207" s="186"/>
      <c r="F207" s="187"/>
    </row>
    <row r="208" spans="1:6" x14ac:dyDescent="0.2">
      <c r="A208" s="275"/>
      <c r="B208" s="78"/>
      <c r="C208" s="189"/>
      <c r="D208" s="185"/>
      <c r="E208" s="186"/>
      <c r="F208" s="187"/>
    </row>
    <row r="209" spans="1:6" x14ac:dyDescent="0.2">
      <c r="A209" s="275"/>
      <c r="B209" s="78"/>
      <c r="C209" s="189"/>
      <c r="D209" s="185"/>
      <c r="E209" s="186"/>
      <c r="F209" s="187"/>
    </row>
    <row r="210" spans="1:6" x14ac:dyDescent="0.2">
      <c r="A210" s="275"/>
      <c r="B210" s="78"/>
      <c r="C210" s="189"/>
      <c r="D210" s="185"/>
      <c r="E210" s="186"/>
      <c r="F210" s="187"/>
    </row>
    <row r="211" spans="1:6" x14ac:dyDescent="0.2">
      <c r="A211" s="275"/>
      <c r="B211" s="78"/>
      <c r="C211" s="189"/>
      <c r="D211" s="185"/>
      <c r="E211" s="186"/>
      <c r="F211" s="187"/>
    </row>
    <row r="212" spans="1:6" x14ac:dyDescent="0.2">
      <c r="A212" s="275"/>
      <c r="B212" s="78"/>
      <c r="C212" s="189"/>
      <c r="D212" s="185"/>
      <c r="E212" s="186"/>
      <c r="F212" s="187"/>
    </row>
    <row r="213" spans="1:6" x14ac:dyDescent="0.2">
      <c r="A213" s="275"/>
      <c r="B213" s="78"/>
      <c r="C213" s="189"/>
      <c r="D213" s="185"/>
      <c r="E213" s="186"/>
      <c r="F213" s="187"/>
    </row>
    <row r="214" spans="1:6" x14ac:dyDescent="0.2">
      <c r="A214" s="275"/>
      <c r="B214" s="78"/>
      <c r="C214" s="189"/>
      <c r="D214" s="185"/>
      <c r="E214" s="186"/>
      <c r="F214" s="187"/>
    </row>
    <row r="215" spans="1:6" x14ac:dyDescent="0.2">
      <c r="A215" s="275"/>
      <c r="B215" s="78"/>
      <c r="C215" s="189"/>
      <c r="D215" s="185"/>
      <c r="E215" s="186"/>
      <c r="F215" s="187"/>
    </row>
    <row r="216" spans="1:6" x14ac:dyDescent="0.2">
      <c r="A216" s="275"/>
      <c r="B216" s="78"/>
      <c r="C216" s="189"/>
      <c r="D216" s="185"/>
      <c r="E216" s="186"/>
      <c r="F216" s="187"/>
    </row>
    <row r="217" spans="1:6" x14ac:dyDescent="0.2">
      <c r="A217" s="275"/>
      <c r="B217" s="78"/>
      <c r="C217" s="189"/>
      <c r="D217" s="185"/>
      <c r="E217" s="186"/>
      <c r="F217" s="187"/>
    </row>
    <row r="218" spans="1:6" x14ac:dyDescent="0.2">
      <c r="A218" s="275"/>
      <c r="B218" s="78"/>
      <c r="C218" s="189"/>
      <c r="D218" s="185"/>
      <c r="E218" s="186"/>
      <c r="F218" s="187"/>
    </row>
    <row r="219" spans="1:6" x14ac:dyDescent="0.2">
      <c r="A219" s="275"/>
      <c r="B219" s="78"/>
      <c r="C219" s="189"/>
      <c r="D219" s="185"/>
      <c r="E219" s="186"/>
      <c r="F219" s="187"/>
    </row>
    <row r="220" spans="1:6" x14ac:dyDescent="0.2">
      <c r="A220" s="275"/>
      <c r="B220" s="78"/>
      <c r="C220" s="189"/>
      <c r="D220" s="185"/>
      <c r="E220" s="186"/>
      <c r="F220" s="187"/>
    </row>
    <row r="221" spans="1:6" x14ac:dyDescent="0.2">
      <c r="A221" s="275"/>
      <c r="B221" s="78"/>
      <c r="C221" s="189"/>
      <c r="D221" s="185"/>
      <c r="E221" s="186"/>
      <c r="F221" s="187"/>
    </row>
    <row r="222" spans="1:6" x14ac:dyDescent="0.2">
      <c r="A222" s="275"/>
      <c r="B222" s="78"/>
      <c r="C222" s="189"/>
      <c r="D222" s="185"/>
      <c r="E222" s="186"/>
      <c r="F222" s="187"/>
    </row>
    <row r="223" spans="1:6" x14ac:dyDescent="0.2">
      <c r="A223" s="275"/>
      <c r="B223" s="78"/>
      <c r="C223" s="189"/>
      <c r="D223" s="185"/>
      <c r="E223" s="186"/>
      <c r="F223" s="187"/>
    </row>
    <row r="224" spans="1:6" x14ac:dyDescent="0.2">
      <c r="A224" s="275"/>
      <c r="B224" s="78"/>
      <c r="C224" s="189"/>
      <c r="D224" s="185"/>
      <c r="E224" s="186"/>
      <c r="F224" s="187"/>
    </row>
    <row r="225" spans="1:6" x14ac:dyDescent="0.2">
      <c r="A225" s="275"/>
      <c r="B225" s="78"/>
      <c r="C225" s="189"/>
      <c r="D225" s="185"/>
      <c r="E225" s="186"/>
      <c r="F225" s="187"/>
    </row>
    <row r="226" spans="1:6" x14ac:dyDescent="0.2">
      <c r="A226" s="275"/>
      <c r="B226" s="78"/>
      <c r="C226" s="189"/>
      <c r="D226" s="185"/>
      <c r="E226" s="186"/>
      <c r="F226" s="187"/>
    </row>
    <row r="227" spans="1:6" x14ac:dyDescent="0.2">
      <c r="A227" s="275"/>
      <c r="B227" s="78"/>
      <c r="C227" s="189"/>
      <c r="D227" s="185"/>
      <c r="E227" s="186"/>
      <c r="F227" s="187"/>
    </row>
    <row r="228" spans="1:6" x14ac:dyDescent="0.2">
      <c r="A228" s="275"/>
      <c r="B228" s="78"/>
      <c r="C228" s="189"/>
      <c r="D228" s="185"/>
      <c r="E228" s="186"/>
      <c r="F228" s="187"/>
    </row>
    <row r="229" spans="1:6" x14ac:dyDescent="0.2">
      <c r="A229" s="275"/>
      <c r="B229" s="78"/>
      <c r="C229" s="189"/>
      <c r="D229" s="185"/>
      <c r="E229" s="186"/>
      <c r="F229" s="187"/>
    </row>
    <row r="230" spans="1:6" x14ac:dyDescent="0.2">
      <c r="A230" s="275"/>
      <c r="B230" s="78"/>
      <c r="C230" s="189"/>
      <c r="D230" s="185"/>
      <c r="E230" s="186"/>
      <c r="F230" s="187"/>
    </row>
    <row r="231" spans="1:6" x14ac:dyDescent="0.2">
      <c r="A231" s="275"/>
      <c r="B231" s="78"/>
      <c r="C231" s="189"/>
      <c r="D231" s="185"/>
      <c r="E231" s="186"/>
      <c r="F231" s="187"/>
    </row>
    <row r="232" spans="1:6" x14ac:dyDescent="0.2">
      <c r="A232" s="275"/>
      <c r="B232" s="78"/>
      <c r="C232" s="189"/>
      <c r="D232" s="185"/>
      <c r="E232" s="186"/>
      <c r="F232" s="187"/>
    </row>
    <row r="233" spans="1:6" x14ac:dyDescent="0.2">
      <c r="A233" s="275"/>
      <c r="B233" s="78"/>
      <c r="C233" s="189"/>
      <c r="D233" s="185"/>
      <c r="E233" s="186"/>
      <c r="F233" s="187"/>
    </row>
    <row r="234" spans="1:6" x14ac:dyDescent="0.2">
      <c r="A234" s="275"/>
      <c r="B234" s="78"/>
      <c r="C234" s="189"/>
      <c r="D234" s="185"/>
      <c r="E234" s="186"/>
      <c r="F234" s="187"/>
    </row>
    <row r="235" spans="1:6" x14ac:dyDescent="0.2">
      <c r="A235" s="275"/>
      <c r="B235" s="78"/>
      <c r="C235" s="189"/>
      <c r="D235" s="185"/>
      <c r="E235" s="186"/>
      <c r="F235" s="187"/>
    </row>
    <row r="236" spans="1:6" x14ac:dyDescent="0.2">
      <c r="A236" s="275"/>
      <c r="B236" s="78"/>
      <c r="C236" s="189"/>
      <c r="D236" s="185"/>
      <c r="E236" s="186"/>
      <c r="F236" s="187"/>
    </row>
    <row r="237" spans="1:6" x14ac:dyDescent="0.2">
      <c r="A237" s="275"/>
      <c r="B237" s="78"/>
      <c r="C237" s="189"/>
      <c r="D237" s="185"/>
      <c r="E237" s="186"/>
      <c r="F237" s="187"/>
    </row>
    <row r="238" spans="1:6" x14ac:dyDescent="0.2">
      <c r="A238" s="275"/>
      <c r="B238" s="78"/>
      <c r="C238" s="189"/>
      <c r="D238" s="185"/>
      <c r="E238" s="186"/>
      <c r="F238" s="187"/>
    </row>
    <row r="239" spans="1:6" x14ac:dyDescent="0.2">
      <c r="A239" s="275"/>
      <c r="B239" s="78"/>
      <c r="C239" s="189"/>
      <c r="D239" s="185"/>
      <c r="E239" s="186"/>
      <c r="F239" s="187"/>
    </row>
    <row r="240" spans="1:6" x14ac:dyDescent="0.2">
      <c r="A240" s="275"/>
      <c r="B240" s="78"/>
      <c r="C240" s="189"/>
      <c r="D240" s="185"/>
      <c r="E240" s="186"/>
      <c r="F240" s="187"/>
    </row>
    <row r="241" spans="1:6" x14ac:dyDescent="0.2">
      <c r="A241" s="275"/>
      <c r="B241" s="78"/>
      <c r="C241" s="189"/>
      <c r="D241" s="185"/>
      <c r="E241" s="186"/>
      <c r="F241" s="187"/>
    </row>
    <row r="242" spans="1:6" x14ac:dyDescent="0.2">
      <c r="A242" s="275"/>
      <c r="B242" s="78"/>
      <c r="C242" s="189"/>
      <c r="D242" s="185"/>
      <c r="E242" s="186"/>
      <c r="F242" s="187"/>
    </row>
    <row r="243" spans="1:6" x14ac:dyDescent="0.2">
      <c r="A243" s="275"/>
      <c r="B243" s="78"/>
      <c r="C243" s="189"/>
      <c r="D243" s="185"/>
      <c r="E243" s="186"/>
      <c r="F243" s="187"/>
    </row>
    <row r="244" spans="1:6" x14ac:dyDescent="0.2">
      <c r="A244" s="275"/>
      <c r="B244" s="78"/>
      <c r="C244" s="189"/>
      <c r="D244" s="185"/>
      <c r="E244" s="186"/>
      <c r="F244" s="187"/>
    </row>
    <row r="245" spans="1:6" x14ac:dyDescent="0.2">
      <c r="A245" s="275"/>
      <c r="B245" s="78"/>
      <c r="C245" s="189"/>
      <c r="D245" s="185"/>
      <c r="E245" s="186"/>
      <c r="F245" s="187"/>
    </row>
    <row r="246" spans="1:6" x14ac:dyDescent="0.2">
      <c r="A246" s="275"/>
      <c r="B246" s="78"/>
      <c r="C246" s="189"/>
      <c r="D246" s="185"/>
      <c r="E246" s="186"/>
      <c r="F246" s="187"/>
    </row>
    <row r="247" spans="1:6" x14ac:dyDescent="0.2">
      <c r="A247" s="275"/>
      <c r="B247" s="78"/>
      <c r="C247" s="189"/>
      <c r="D247" s="185"/>
      <c r="E247" s="186"/>
      <c r="F247" s="187"/>
    </row>
    <row r="248" spans="1:6" x14ac:dyDescent="0.2">
      <c r="A248" s="275"/>
      <c r="B248" s="78"/>
      <c r="C248" s="189"/>
      <c r="D248" s="185"/>
      <c r="E248" s="186"/>
      <c r="F248" s="187"/>
    </row>
    <row r="249" spans="1:6" x14ac:dyDescent="0.2">
      <c r="A249" s="275"/>
      <c r="B249" s="78"/>
      <c r="C249" s="189"/>
      <c r="D249" s="185"/>
      <c r="E249" s="186"/>
      <c r="F249" s="187"/>
    </row>
    <row r="250" spans="1:6" x14ac:dyDescent="0.2">
      <c r="A250" s="275"/>
      <c r="B250" s="78"/>
      <c r="C250" s="189"/>
      <c r="D250" s="185"/>
      <c r="E250" s="186"/>
      <c r="F250" s="187"/>
    </row>
    <row r="251" spans="1:6" x14ac:dyDescent="0.2">
      <c r="A251" s="275"/>
      <c r="B251" s="78"/>
      <c r="C251" s="189"/>
      <c r="D251" s="185"/>
      <c r="E251" s="186"/>
      <c r="F251" s="187"/>
    </row>
    <row r="252" spans="1:6" x14ac:dyDescent="0.2">
      <c r="A252" s="275"/>
      <c r="B252" s="78"/>
      <c r="C252" s="189"/>
      <c r="D252" s="185"/>
      <c r="E252" s="186"/>
      <c r="F252" s="187"/>
    </row>
    <row r="253" spans="1:6" x14ac:dyDescent="0.2">
      <c r="A253" s="275"/>
      <c r="B253" s="78"/>
      <c r="C253" s="189"/>
      <c r="D253" s="185"/>
      <c r="E253" s="186"/>
      <c r="F253" s="187"/>
    </row>
    <row r="254" spans="1:6" x14ac:dyDescent="0.2">
      <c r="A254" s="275"/>
      <c r="B254" s="78"/>
      <c r="C254" s="189"/>
      <c r="D254" s="185"/>
      <c r="E254" s="186"/>
      <c r="F254" s="187"/>
    </row>
    <row r="255" spans="1:6" x14ac:dyDescent="0.2">
      <c r="A255" s="275"/>
      <c r="B255" s="78"/>
      <c r="C255" s="189"/>
      <c r="D255" s="185"/>
      <c r="E255" s="186"/>
      <c r="F255" s="187"/>
    </row>
    <row r="256" spans="1:6" x14ac:dyDescent="0.2">
      <c r="A256" s="275"/>
      <c r="B256" s="78"/>
      <c r="C256" s="189"/>
      <c r="D256" s="185"/>
      <c r="E256" s="186"/>
      <c r="F256" s="187"/>
    </row>
    <row r="257" spans="1:6" x14ac:dyDescent="0.2">
      <c r="A257" s="275"/>
      <c r="B257" s="78"/>
      <c r="C257" s="189"/>
      <c r="D257" s="185"/>
      <c r="E257" s="186"/>
      <c r="F257" s="187"/>
    </row>
    <row r="258" spans="1:6" x14ac:dyDescent="0.2">
      <c r="A258" s="275"/>
      <c r="B258" s="78"/>
      <c r="C258" s="189"/>
      <c r="D258" s="185"/>
      <c r="E258" s="186"/>
      <c r="F258" s="187"/>
    </row>
    <row r="259" spans="1:6" x14ac:dyDescent="0.2">
      <c r="A259" s="275"/>
      <c r="B259" s="78"/>
      <c r="C259" s="189"/>
      <c r="D259" s="185"/>
      <c r="E259" s="186"/>
      <c r="F259" s="187"/>
    </row>
    <row r="260" spans="1:6" x14ac:dyDescent="0.2">
      <c r="A260" s="275"/>
      <c r="B260" s="78"/>
      <c r="C260" s="189"/>
      <c r="D260" s="185"/>
      <c r="E260" s="186"/>
      <c r="F260" s="187"/>
    </row>
    <row r="261" spans="1:6" x14ac:dyDescent="0.2">
      <c r="A261" s="275"/>
      <c r="B261" s="78"/>
      <c r="C261" s="189"/>
      <c r="D261" s="185"/>
      <c r="E261" s="186"/>
      <c r="F261" s="187"/>
    </row>
    <row r="262" spans="1:6" x14ac:dyDescent="0.2">
      <c r="A262" s="275"/>
      <c r="B262" s="78"/>
      <c r="C262" s="189"/>
      <c r="D262" s="185"/>
      <c r="E262" s="186"/>
      <c r="F262" s="187"/>
    </row>
    <row r="263" spans="1:6" x14ac:dyDescent="0.2">
      <c r="A263" s="275"/>
      <c r="B263" s="78"/>
      <c r="C263" s="189"/>
      <c r="D263" s="185"/>
      <c r="E263" s="186"/>
      <c r="F263" s="187"/>
    </row>
    <row r="264" spans="1:6" x14ac:dyDescent="0.2">
      <c r="A264" s="275"/>
      <c r="B264" s="78"/>
      <c r="C264" s="189"/>
      <c r="D264" s="185"/>
      <c r="E264" s="186"/>
      <c r="F264" s="187"/>
    </row>
    <row r="265" spans="1:6" x14ac:dyDescent="0.2">
      <c r="A265" s="275"/>
      <c r="B265" s="78"/>
      <c r="C265" s="189"/>
      <c r="D265" s="185"/>
      <c r="E265" s="186"/>
      <c r="F265" s="187"/>
    </row>
    <row r="266" spans="1:6" x14ac:dyDescent="0.2">
      <c r="A266" s="275"/>
      <c r="B266" s="78"/>
      <c r="C266" s="189"/>
      <c r="D266" s="185"/>
      <c r="E266" s="186"/>
      <c r="F266" s="187"/>
    </row>
    <row r="267" spans="1:6" x14ac:dyDescent="0.2">
      <c r="A267" s="275"/>
      <c r="B267" s="78"/>
      <c r="C267" s="189"/>
      <c r="D267" s="185"/>
      <c r="E267" s="186"/>
      <c r="F267" s="187"/>
    </row>
    <row r="268" spans="1:6" x14ac:dyDescent="0.2">
      <c r="A268" s="275"/>
      <c r="B268" s="78"/>
      <c r="C268" s="189"/>
      <c r="D268" s="185"/>
      <c r="E268" s="186"/>
      <c r="F268" s="187"/>
    </row>
    <row r="269" spans="1:6" x14ac:dyDescent="0.2">
      <c r="A269" s="275"/>
      <c r="B269" s="78"/>
      <c r="C269" s="189"/>
      <c r="D269" s="185"/>
      <c r="E269" s="186"/>
      <c r="F269" s="187"/>
    </row>
    <row r="270" spans="1:6" x14ac:dyDescent="0.2">
      <c r="A270" s="275"/>
      <c r="B270" s="78"/>
      <c r="C270" s="189"/>
      <c r="D270" s="185"/>
      <c r="E270" s="186"/>
      <c r="F270" s="187"/>
    </row>
    <row r="271" spans="1:6" x14ac:dyDescent="0.2">
      <c r="A271" s="275"/>
      <c r="B271" s="78"/>
      <c r="C271" s="189"/>
      <c r="D271" s="185"/>
      <c r="E271" s="186"/>
      <c r="F271" s="187"/>
    </row>
    <row r="272" spans="1:6" x14ac:dyDescent="0.2">
      <c r="A272" s="275"/>
      <c r="B272" s="78"/>
      <c r="C272" s="189"/>
      <c r="D272" s="185"/>
      <c r="E272" s="186"/>
      <c r="F272" s="187"/>
    </row>
    <row r="273" spans="1:6" x14ac:dyDescent="0.2">
      <c r="A273" s="275"/>
      <c r="B273" s="78"/>
      <c r="C273" s="189"/>
      <c r="D273" s="185"/>
      <c r="E273" s="186"/>
      <c r="F273" s="187"/>
    </row>
    <row r="274" spans="1:6" x14ac:dyDescent="0.2">
      <c r="A274" s="275"/>
      <c r="B274" s="78"/>
      <c r="C274" s="189"/>
      <c r="D274" s="185"/>
      <c r="E274" s="186"/>
      <c r="F274" s="187"/>
    </row>
    <row r="275" spans="1:6" x14ac:dyDescent="0.2">
      <c r="A275" s="275"/>
      <c r="B275" s="78"/>
      <c r="C275" s="189"/>
      <c r="D275" s="185"/>
      <c r="E275" s="186"/>
      <c r="F275" s="187"/>
    </row>
    <row r="276" spans="1:6" x14ac:dyDescent="0.2">
      <c r="A276" s="275"/>
      <c r="B276" s="78"/>
      <c r="C276" s="189"/>
      <c r="D276" s="185"/>
      <c r="E276" s="186"/>
      <c r="F276" s="187"/>
    </row>
    <row r="277" spans="1:6" x14ac:dyDescent="0.2">
      <c r="A277" s="275"/>
      <c r="B277" s="78"/>
      <c r="C277" s="189"/>
      <c r="D277" s="185"/>
      <c r="E277" s="186"/>
      <c r="F277" s="187"/>
    </row>
    <row r="278" spans="1:6" x14ac:dyDescent="0.2">
      <c r="A278" s="275"/>
      <c r="B278" s="78"/>
      <c r="C278" s="189"/>
      <c r="D278" s="185"/>
      <c r="E278" s="186"/>
      <c r="F278" s="187"/>
    </row>
    <row r="279" spans="1:6" x14ac:dyDescent="0.2">
      <c r="A279" s="275"/>
      <c r="B279" s="78"/>
      <c r="C279" s="189"/>
      <c r="D279" s="185"/>
      <c r="E279" s="186"/>
      <c r="F279" s="187"/>
    </row>
    <row r="280" spans="1:6" x14ac:dyDescent="0.2">
      <c r="A280" s="275"/>
      <c r="B280" s="78"/>
      <c r="C280" s="189"/>
      <c r="D280" s="185"/>
      <c r="E280" s="186"/>
      <c r="F280" s="187"/>
    </row>
    <row r="281" spans="1:6" x14ac:dyDescent="0.2">
      <c r="A281" s="275"/>
      <c r="B281" s="78"/>
      <c r="C281" s="189"/>
      <c r="D281" s="185"/>
      <c r="E281" s="186"/>
      <c r="F281" s="187"/>
    </row>
    <row r="282" spans="1:6" x14ac:dyDescent="0.2">
      <c r="A282" s="275"/>
      <c r="B282" s="78"/>
      <c r="C282" s="189"/>
      <c r="D282" s="185"/>
      <c r="E282" s="186"/>
      <c r="F282" s="187"/>
    </row>
    <row r="283" spans="1:6" x14ac:dyDescent="0.2">
      <c r="A283" s="275"/>
      <c r="B283" s="78"/>
      <c r="C283" s="189"/>
      <c r="D283" s="185"/>
      <c r="E283" s="186"/>
      <c r="F283" s="187"/>
    </row>
    <row r="284" spans="1:6" x14ac:dyDescent="0.2">
      <c r="A284" s="275"/>
      <c r="B284" s="78"/>
      <c r="C284" s="189"/>
      <c r="D284" s="185"/>
      <c r="E284" s="186"/>
      <c r="F284" s="187"/>
    </row>
    <row r="285" spans="1:6" x14ac:dyDescent="0.2">
      <c r="A285" s="275"/>
      <c r="B285" s="78"/>
      <c r="C285" s="189"/>
      <c r="D285" s="185"/>
      <c r="E285" s="186"/>
      <c r="F285" s="187"/>
    </row>
    <row r="286" spans="1:6" x14ac:dyDescent="0.2">
      <c r="A286" s="275"/>
      <c r="B286" s="78"/>
      <c r="C286" s="189"/>
      <c r="D286" s="185"/>
      <c r="E286" s="186"/>
      <c r="F286" s="187"/>
    </row>
    <row r="287" spans="1:6" x14ac:dyDescent="0.2">
      <c r="A287" s="275"/>
      <c r="B287" s="78"/>
      <c r="C287" s="189"/>
      <c r="D287" s="185"/>
      <c r="E287" s="186"/>
      <c r="F287" s="187"/>
    </row>
    <row r="288" spans="1:6" x14ac:dyDescent="0.2">
      <c r="A288" s="275"/>
      <c r="B288" s="78"/>
      <c r="C288" s="189"/>
      <c r="D288" s="185"/>
      <c r="E288" s="186"/>
      <c r="F288" s="187"/>
    </row>
    <row r="289" spans="1:6" x14ac:dyDescent="0.2">
      <c r="A289" s="275"/>
      <c r="B289" s="78"/>
      <c r="C289" s="189"/>
      <c r="D289" s="185"/>
      <c r="E289" s="186"/>
      <c r="F289" s="187"/>
    </row>
    <row r="290" spans="1:6" x14ac:dyDescent="0.2">
      <c r="A290" s="275"/>
      <c r="B290" s="78"/>
      <c r="C290" s="189"/>
      <c r="D290" s="185"/>
      <c r="E290" s="186"/>
      <c r="F290" s="187"/>
    </row>
    <row r="291" spans="1:6" x14ac:dyDescent="0.2">
      <c r="A291" s="275"/>
      <c r="B291" s="78"/>
      <c r="C291" s="189"/>
      <c r="D291" s="185"/>
      <c r="E291" s="186"/>
      <c r="F291" s="187"/>
    </row>
    <row r="292" spans="1:6" x14ac:dyDescent="0.2">
      <c r="A292" s="275"/>
      <c r="B292" s="78"/>
      <c r="C292" s="189"/>
      <c r="D292" s="185"/>
      <c r="E292" s="186"/>
      <c r="F292" s="187"/>
    </row>
    <row r="293" spans="1:6" x14ac:dyDescent="0.2">
      <c r="A293" s="275"/>
      <c r="B293" s="78"/>
      <c r="C293" s="189"/>
      <c r="D293" s="185"/>
      <c r="E293" s="186"/>
      <c r="F293" s="187"/>
    </row>
    <row r="294" spans="1:6" x14ac:dyDescent="0.2">
      <c r="A294" s="275"/>
      <c r="B294" s="78"/>
      <c r="C294" s="189"/>
      <c r="D294" s="185"/>
      <c r="E294" s="186"/>
      <c r="F294" s="187"/>
    </row>
    <row r="295" spans="1:6" x14ac:dyDescent="0.2">
      <c r="A295" s="275"/>
      <c r="B295" s="78"/>
      <c r="C295" s="189"/>
      <c r="D295" s="185"/>
      <c r="E295" s="186"/>
      <c r="F295" s="187"/>
    </row>
    <row r="296" spans="1:6" x14ac:dyDescent="0.2">
      <c r="A296" s="275"/>
      <c r="B296" s="78"/>
      <c r="C296" s="189"/>
      <c r="D296" s="185"/>
      <c r="E296" s="186"/>
      <c r="F296" s="187"/>
    </row>
    <row r="297" spans="1:6" x14ac:dyDescent="0.2">
      <c r="A297" s="275"/>
      <c r="B297" s="78"/>
      <c r="C297" s="189"/>
      <c r="D297" s="185"/>
      <c r="E297" s="186"/>
      <c r="F297" s="187"/>
    </row>
    <row r="298" spans="1:6" x14ac:dyDescent="0.2">
      <c r="A298" s="275"/>
      <c r="B298" s="78"/>
      <c r="C298" s="189"/>
      <c r="D298" s="185"/>
      <c r="E298" s="186"/>
      <c r="F298" s="187"/>
    </row>
    <row r="299" spans="1:6" x14ac:dyDescent="0.2">
      <c r="A299" s="275"/>
      <c r="B299" s="78"/>
      <c r="C299" s="189"/>
      <c r="D299" s="185"/>
      <c r="E299" s="186"/>
      <c r="F299" s="187"/>
    </row>
    <row r="300" spans="1:6" x14ac:dyDescent="0.2">
      <c r="A300" s="275"/>
      <c r="B300" s="78"/>
      <c r="C300" s="189"/>
      <c r="D300" s="185"/>
      <c r="E300" s="186"/>
      <c r="F300" s="187"/>
    </row>
    <row r="301" spans="1:6" x14ac:dyDescent="0.2">
      <c r="A301" s="275"/>
      <c r="B301" s="78"/>
      <c r="C301" s="189"/>
      <c r="D301" s="185"/>
      <c r="E301" s="186"/>
      <c r="F301" s="187"/>
    </row>
    <row r="302" spans="1:6" x14ac:dyDescent="0.2">
      <c r="A302" s="275"/>
      <c r="B302" s="78"/>
      <c r="C302" s="189"/>
      <c r="D302" s="185"/>
      <c r="E302" s="186"/>
      <c r="F302" s="187"/>
    </row>
    <row r="303" spans="1:6" x14ac:dyDescent="0.2">
      <c r="A303" s="275"/>
      <c r="B303" s="78"/>
      <c r="C303" s="189"/>
      <c r="D303" s="185"/>
      <c r="E303" s="186"/>
      <c r="F303" s="187"/>
    </row>
    <row r="304" spans="1:6" x14ac:dyDescent="0.2">
      <c r="A304" s="275"/>
      <c r="B304" s="78"/>
      <c r="C304" s="189"/>
      <c r="D304" s="185"/>
      <c r="E304" s="186"/>
      <c r="F304" s="187"/>
    </row>
    <row r="305" spans="1:6" x14ac:dyDescent="0.2">
      <c r="A305" s="275"/>
      <c r="B305" s="78"/>
      <c r="C305" s="189"/>
      <c r="D305" s="185"/>
      <c r="E305" s="186"/>
      <c r="F305" s="187"/>
    </row>
    <row r="306" spans="1:6" x14ac:dyDescent="0.2">
      <c r="A306" s="275"/>
      <c r="B306" s="78"/>
      <c r="C306" s="189"/>
      <c r="D306" s="185"/>
      <c r="E306" s="186"/>
      <c r="F306" s="187"/>
    </row>
    <row r="307" spans="1:6" x14ac:dyDescent="0.2">
      <c r="A307" s="275"/>
      <c r="B307" s="78"/>
      <c r="C307" s="189"/>
      <c r="D307" s="185"/>
      <c r="E307" s="186"/>
      <c r="F307" s="187"/>
    </row>
    <row r="308" spans="1:6" x14ac:dyDescent="0.2">
      <c r="A308" s="275"/>
      <c r="B308" s="78"/>
      <c r="C308" s="189"/>
      <c r="D308" s="185"/>
      <c r="E308" s="186"/>
      <c r="F308" s="187"/>
    </row>
    <row r="309" spans="1:6" x14ac:dyDescent="0.2">
      <c r="A309" s="275"/>
      <c r="B309" s="78"/>
      <c r="C309" s="189"/>
      <c r="D309" s="185"/>
      <c r="E309" s="186"/>
      <c r="F309" s="187"/>
    </row>
    <row r="310" spans="1:6" x14ac:dyDescent="0.2">
      <c r="A310" s="275"/>
      <c r="B310" s="78"/>
      <c r="C310" s="189"/>
      <c r="D310" s="185"/>
      <c r="E310" s="186"/>
      <c r="F310" s="187"/>
    </row>
    <row r="311" spans="1:6" x14ac:dyDescent="0.2">
      <c r="A311" s="275"/>
      <c r="B311" s="78"/>
      <c r="C311" s="189"/>
      <c r="D311" s="185"/>
      <c r="E311" s="186"/>
      <c r="F311" s="187"/>
    </row>
    <row r="312" spans="1:6" x14ac:dyDescent="0.2">
      <c r="A312" s="275"/>
      <c r="B312" s="78"/>
      <c r="C312" s="189"/>
      <c r="D312" s="185"/>
      <c r="E312" s="186"/>
      <c r="F312" s="187"/>
    </row>
    <row r="313" spans="1:6" x14ac:dyDescent="0.2">
      <c r="A313" s="275"/>
      <c r="B313" s="78"/>
      <c r="C313" s="189"/>
      <c r="D313" s="185"/>
      <c r="E313" s="186"/>
      <c r="F313" s="187"/>
    </row>
    <row r="314" spans="1:6" x14ac:dyDescent="0.2">
      <c r="A314" s="275"/>
      <c r="B314" s="78"/>
      <c r="C314" s="189"/>
      <c r="D314" s="185"/>
      <c r="E314" s="186"/>
      <c r="F314" s="187"/>
    </row>
    <row r="315" spans="1:6" x14ac:dyDescent="0.2">
      <c r="A315" s="275"/>
      <c r="B315" s="78"/>
      <c r="C315" s="189"/>
      <c r="D315" s="185"/>
      <c r="E315" s="186"/>
      <c r="F315" s="187"/>
    </row>
    <row r="316" spans="1:6" x14ac:dyDescent="0.2">
      <c r="A316" s="275"/>
      <c r="B316" s="78"/>
      <c r="C316" s="189"/>
      <c r="D316" s="185"/>
      <c r="E316" s="186"/>
      <c r="F316" s="187"/>
    </row>
    <row r="317" spans="1:6" x14ac:dyDescent="0.2">
      <c r="A317" s="275"/>
      <c r="B317" s="78"/>
      <c r="C317" s="189"/>
      <c r="D317" s="185"/>
      <c r="E317" s="186"/>
      <c r="F317" s="187"/>
    </row>
    <row r="318" spans="1:6" x14ac:dyDescent="0.2">
      <c r="A318" s="275"/>
      <c r="B318" s="78"/>
      <c r="C318" s="189"/>
      <c r="D318" s="185"/>
      <c r="E318" s="186"/>
      <c r="F318" s="187"/>
    </row>
    <row r="319" spans="1:6" x14ac:dyDescent="0.2">
      <c r="A319" s="275"/>
      <c r="B319" s="78"/>
      <c r="C319" s="189"/>
      <c r="D319" s="185"/>
      <c r="E319" s="186"/>
      <c r="F319" s="187"/>
    </row>
    <row r="320" spans="1:6" x14ac:dyDescent="0.2">
      <c r="A320" s="275"/>
      <c r="B320" s="78"/>
      <c r="C320" s="189"/>
      <c r="D320" s="185"/>
      <c r="E320" s="186"/>
      <c r="F320" s="187"/>
    </row>
    <row r="321" spans="1:6" x14ac:dyDescent="0.2">
      <c r="A321" s="275"/>
      <c r="B321" s="78"/>
      <c r="C321" s="189"/>
      <c r="D321" s="185"/>
      <c r="E321" s="186"/>
      <c r="F321" s="187"/>
    </row>
    <row r="322" spans="1:6" x14ac:dyDescent="0.2">
      <c r="A322" s="275"/>
      <c r="B322" s="78"/>
      <c r="C322" s="189"/>
      <c r="D322" s="185"/>
      <c r="E322" s="186"/>
      <c r="F322" s="187"/>
    </row>
    <row r="323" spans="1:6" x14ac:dyDescent="0.2">
      <c r="A323" s="275"/>
      <c r="B323" s="78"/>
      <c r="C323" s="189"/>
      <c r="D323" s="185"/>
      <c r="E323" s="186"/>
      <c r="F323" s="187"/>
    </row>
    <row r="324" spans="1:6" x14ac:dyDescent="0.2">
      <c r="A324" s="275"/>
      <c r="B324" s="78"/>
      <c r="C324" s="189"/>
      <c r="D324" s="185"/>
      <c r="E324" s="186"/>
      <c r="F324" s="187"/>
    </row>
    <row r="325" spans="1:6" x14ac:dyDescent="0.2">
      <c r="A325" s="275"/>
      <c r="B325" s="78"/>
      <c r="C325" s="189"/>
      <c r="D325" s="185"/>
      <c r="E325" s="186"/>
      <c r="F325" s="187"/>
    </row>
    <row r="326" spans="1:6" x14ac:dyDescent="0.2">
      <c r="A326" s="275"/>
      <c r="B326" s="78"/>
      <c r="C326" s="189"/>
      <c r="D326" s="185"/>
      <c r="E326" s="186"/>
      <c r="F326" s="187"/>
    </row>
    <row r="327" spans="1:6" x14ac:dyDescent="0.2">
      <c r="A327" s="275"/>
      <c r="B327" s="78"/>
      <c r="C327" s="189"/>
      <c r="D327" s="185"/>
      <c r="E327" s="186"/>
      <c r="F327" s="187"/>
    </row>
    <row r="328" spans="1:6" x14ac:dyDescent="0.2">
      <c r="A328" s="275"/>
      <c r="B328" s="78"/>
      <c r="C328" s="189"/>
      <c r="D328" s="185"/>
      <c r="E328" s="186"/>
      <c r="F328" s="187"/>
    </row>
    <row r="329" spans="1:6" x14ac:dyDescent="0.2">
      <c r="A329" s="275"/>
      <c r="B329" s="78"/>
      <c r="C329" s="189"/>
      <c r="D329" s="185"/>
      <c r="E329" s="186"/>
      <c r="F329" s="187"/>
    </row>
    <row r="330" spans="1:6" x14ac:dyDescent="0.2">
      <c r="A330" s="275"/>
      <c r="B330" s="78"/>
      <c r="C330" s="189"/>
      <c r="D330" s="185"/>
      <c r="E330" s="186"/>
      <c r="F330" s="187"/>
    </row>
    <row r="331" spans="1:6" x14ac:dyDescent="0.2">
      <c r="A331" s="275"/>
      <c r="B331" s="78"/>
      <c r="C331" s="189"/>
      <c r="D331" s="185"/>
      <c r="E331" s="186"/>
      <c r="F331" s="187"/>
    </row>
    <row r="332" spans="1:6" x14ac:dyDescent="0.2">
      <c r="A332" s="275"/>
      <c r="B332" s="78"/>
      <c r="C332" s="189"/>
      <c r="D332" s="185"/>
      <c r="E332" s="186"/>
      <c r="F332" s="187"/>
    </row>
    <row r="333" spans="1:6" x14ac:dyDescent="0.2">
      <c r="A333" s="275"/>
      <c r="B333" s="78"/>
      <c r="C333" s="189"/>
      <c r="D333" s="185"/>
      <c r="E333" s="186"/>
      <c r="F333" s="187"/>
    </row>
    <row r="334" spans="1:6" x14ac:dyDescent="0.2">
      <c r="A334" s="275"/>
      <c r="B334" s="78"/>
      <c r="C334" s="189"/>
      <c r="D334" s="185"/>
      <c r="E334" s="186"/>
      <c r="F334" s="187"/>
    </row>
    <row r="335" spans="1:6" x14ac:dyDescent="0.2">
      <c r="A335" s="275"/>
      <c r="B335" s="78"/>
      <c r="C335" s="189"/>
      <c r="D335" s="185"/>
      <c r="E335" s="186"/>
      <c r="F335" s="187"/>
    </row>
    <row r="336" spans="1:6" x14ac:dyDescent="0.2">
      <c r="A336" s="275"/>
      <c r="B336" s="78"/>
      <c r="C336" s="189"/>
      <c r="D336" s="185"/>
      <c r="E336" s="186"/>
      <c r="F336" s="187"/>
    </row>
    <row r="337" spans="1:6" x14ac:dyDescent="0.2">
      <c r="A337" s="275"/>
      <c r="B337" s="78"/>
      <c r="C337" s="189"/>
      <c r="D337" s="185"/>
      <c r="E337" s="186"/>
      <c r="F337" s="187"/>
    </row>
    <row r="338" spans="1:6" x14ac:dyDescent="0.2">
      <c r="A338" s="275"/>
      <c r="B338" s="78"/>
      <c r="C338" s="189"/>
      <c r="D338" s="185"/>
      <c r="E338" s="186"/>
      <c r="F338" s="187"/>
    </row>
    <row r="339" spans="1:6" x14ac:dyDescent="0.2">
      <c r="A339" s="275"/>
      <c r="B339" s="78"/>
      <c r="C339" s="189"/>
      <c r="D339" s="185"/>
      <c r="E339" s="186"/>
      <c r="F339" s="187"/>
    </row>
    <row r="340" spans="1:6" x14ac:dyDescent="0.2">
      <c r="A340" s="275"/>
      <c r="B340" s="78"/>
      <c r="C340" s="189"/>
      <c r="D340" s="185"/>
      <c r="E340" s="186"/>
      <c r="F340" s="187"/>
    </row>
    <row r="341" spans="1:6" x14ac:dyDescent="0.2">
      <c r="A341" s="275"/>
      <c r="B341" s="78"/>
      <c r="C341" s="189"/>
      <c r="D341" s="185"/>
      <c r="E341" s="186"/>
      <c r="F341" s="187"/>
    </row>
    <row r="342" spans="1:6" x14ac:dyDescent="0.2">
      <c r="A342" s="275"/>
      <c r="B342" s="78"/>
      <c r="C342" s="189"/>
      <c r="D342" s="185"/>
      <c r="E342" s="186"/>
      <c r="F342" s="187"/>
    </row>
    <row r="343" spans="1:6" x14ac:dyDescent="0.2">
      <c r="A343" s="275"/>
      <c r="B343" s="78"/>
      <c r="C343" s="189"/>
      <c r="D343" s="185"/>
      <c r="E343" s="186"/>
      <c r="F343" s="187"/>
    </row>
    <row r="344" spans="1:6" x14ac:dyDescent="0.2">
      <c r="A344" s="275"/>
      <c r="B344" s="78"/>
      <c r="C344" s="189"/>
      <c r="D344" s="185"/>
      <c r="E344" s="186"/>
      <c r="F344" s="187"/>
    </row>
    <row r="345" spans="1:6" x14ac:dyDescent="0.2">
      <c r="A345" s="275"/>
      <c r="B345" s="78"/>
      <c r="C345" s="189"/>
      <c r="D345" s="185"/>
      <c r="E345" s="186"/>
      <c r="F345" s="187"/>
    </row>
    <row r="346" spans="1:6" x14ac:dyDescent="0.2">
      <c r="A346" s="275"/>
      <c r="B346" s="78"/>
      <c r="C346" s="189"/>
      <c r="D346" s="185"/>
      <c r="E346" s="186"/>
      <c r="F346" s="187"/>
    </row>
    <row r="347" spans="1:6" x14ac:dyDescent="0.2">
      <c r="A347" s="275"/>
      <c r="B347" s="78"/>
      <c r="C347" s="189"/>
      <c r="D347" s="185"/>
      <c r="E347" s="186"/>
      <c r="F347" s="187"/>
    </row>
    <row r="348" spans="1:6" x14ac:dyDescent="0.2">
      <c r="A348" s="275"/>
      <c r="B348" s="78"/>
      <c r="C348" s="189"/>
      <c r="D348" s="185"/>
      <c r="E348" s="186"/>
      <c r="F348" s="187"/>
    </row>
    <row r="349" spans="1:6" x14ac:dyDescent="0.2">
      <c r="A349" s="275"/>
      <c r="B349" s="78"/>
      <c r="C349" s="189"/>
      <c r="D349" s="185"/>
      <c r="E349" s="186"/>
      <c r="F349" s="187"/>
    </row>
    <row r="350" spans="1:6" x14ac:dyDescent="0.2">
      <c r="A350" s="275"/>
      <c r="B350" s="78"/>
      <c r="C350" s="189"/>
      <c r="D350" s="185"/>
      <c r="E350" s="186"/>
      <c r="F350" s="187"/>
    </row>
    <row r="351" spans="1:6" x14ac:dyDescent="0.2">
      <c r="A351" s="275"/>
      <c r="B351" s="78"/>
      <c r="C351" s="189"/>
      <c r="D351" s="185"/>
      <c r="E351" s="186"/>
      <c r="F351" s="187"/>
    </row>
    <row r="352" spans="1:6" x14ac:dyDescent="0.2">
      <c r="A352" s="275"/>
      <c r="B352" s="78"/>
      <c r="C352" s="189"/>
      <c r="D352" s="185"/>
      <c r="E352" s="186"/>
      <c r="F352" s="187"/>
    </row>
    <row r="353" spans="1:6" x14ac:dyDescent="0.2">
      <c r="A353" s="275"/>
      <c r="B353" s="78"/>
      <c r="C353" s="189"/>
      <c r="D353" s="185"/>
      <c r="E353" s="186"/>
      <c r="F353" s="187"/>
    </row>
    <row r="354" spans="1:6" x14ac:dyDescent="0.2">
      <c r="A354" s="275"/>
      <c r="B354" s="78"/>
      <c r="C354" s="189"/>
      <c r="D354" s="185"/>
      <c r="E354" s="186"/>
      <c r="F354" s="187"/>
    </row>
    <row r="355" spans="1:6" x14ac:dyDescent="0.2">
      <c r="A355" s="275"/>
      <c r="B355" s="78"/>
      <c r="C355" s="189"/>
      <c r="D355" s="185"/>
      <c r="E355" s="186"/>
      <c r="F355" s="187"/>
    </row>
    <row r="356" spans="1:6" x14ac:dyDescent="0.2">
      <c r="A356" s="275"/>
      <c r="B356" s="78"/>
      <c r="C356" s="189"/>
      <c r="D356" s="185"/>
      <c r="E356" s="186"/>
      <c r="F356" s="187"/>
    </row>
    <row r="357" spans="1:6" x14ac:dyDescent="0.2">
      <c r="A357" s="275"/>
      <c r="B357" s="78"/>
      <c r="C357" s="189"/>
      <c r="D357" s="185"/>
      <c r="E357" s="186"/>
      <c r="F357" s="187"/>
    </row>
    <row r="358" spans="1:6" x14ac:dyDescent="0.2">
      <c r="A358" s="275"/>
      <c r="B358" s="78"/>
      <c r="C358" s="189"/>
      <c r="D358" s="185"/>
      <c r="E358" s="186"/>
      <c r="F358" s="187"/>
    </row>
    <row r="359" spans="1:6" x14ac:dyDescent="0.2">
      <c r="A359" s="275"/>
      <c r="B359" s="78"/>
      <c r="C359" s="189"/>
      <c r="D359" s="185"/>
      <c r="E359" s="186"/>
      <c r="F359" s="187"/>
    </row>
    <row r="360" spans="1:6" x14ac:dyDescent="0.2">
      <c r="A360" s="275"/>
      <c r="B360" s="78"/>
      <c r="C360" s="189"/>
      <c r="D360" s="185"/>
      <c r="E360" s="186"/>
      <c r="F360" s="187"/>
    </row>
    <row r="361" spans="1:6" x14ac:dyDescent="0.2">
      <c r="A361" s="275"/>
      <c r="B361" s="78"/>
      <c r="C361" s="189"/>
      <c r="D361" s="185"/>
      <c r="E361" s="186"/>
      <c r="F361" s="187"/>
    </row>
    <row r="362" spans="1:6" x14ac:dyDescent="0.2">
      <c r="A362" s="275"/>
      <c r="B362" s="78"/>
      <c r="C362" s="189"/>
      <c r="D362" s="185"/>
      <c r="E362" s="186"/>
      <c r="F362" s="187"/>
    </row>
    <row r="363" spans="1:6" x14ac:dyDescent="0.2">
      <c r="A363" s="275"/>
      <c r="B363" s="78"/>
      <c r="C363" s="189"/>
      <c r="D363" s="185"/>
      <c r="E363" s="186"/>
      <c r="F363" s="187"/>
    </row>
    <row r="364" spans="1:6" x14ac:dyDescent="0.2">
      <c r="A364" s="275"/>
      <c r="B364" s="78"/>
      <c r="C364" s="189"/>
      <c r="D364" s="185"/>
      <c r="E364" s="186"/>
      <c r="F364" s="187"/>
    </row>
    <row r="365" spans="1:6" x14ac:dyDescent="0.2">
      <c r="A365" s="275"/>
      <c r="B365" s="78"/>
      <c r="C365" s="189"/>
      <c r="D365" s="185"/>
      <c r="E365" s="186"/>
      <c r="F365" s="187"/>
    </row>
    <row r="366" spans="1:6" x14ac:dyDescent="0.2">
      <c r="A366" s="275"/>
      <c r="B366" s="78"/>
      <c r="C366" s="189"/>
      <c r="D366" s="185"/>
      <c r="E366" s="186"/>
      <c r="F366" s="187"/>
    </row>
    <row r="367" spans="1:6" x14ac:dyDescent="0.2">
      <c r="A367" s="275"/>
      <c r="B367" s="78"/>
      <c r="C367" s="189"/>
      <c r="D367" s="185"/>
      <c r="E367" s="186"/>
      <c r="F367" s="187"/>
    </row>
    <row r="368" spans="1:6" x14ac:dyDescent="0.2">
      <c r="A368" s="275"/>
      <c r="B368" s="78"/>
      <c r="C368" s="189"/>
      <c r="D368" s="185"/>
      <c r="E368" s="186"/>
      <c r="F368" s="187"/>
    </row>
    <row r="369" spans="1:6" x14ac:dyDescent="0.2">
      <c r="A369" s="275"/>
      <c r="B369" s="78"/>
      <c r="C369" s="189"/>
      <c r="D369" s="185"/>
      <c r="E369" s="186"/>
      <c r="F369" s="187"/>
    </row>
    <row r="370" spans="1:6" x14ac:dyDescent="0.2">
      <c r="A370" s="275"/>
      <c r="B370" s="78"/>
      <c r="C370" s="189"/>
      <c r="D370" s="185"/>
      <c r="E370" s="186"/>
      <c r="F370" s="187"/>
    </row>
    <row r="371" spans="1:6" x14ac:dyDescent="0.2">
      <c r="A371" s="275"/>
      <c r="B371" s="78"/>
      <c r="C371" s="189"/>
      <c r="D371" s="185"/>
      <c r="E371" s="186"/>
      <c r="F371" s="187"/>
    </row>
    <row r="372" spans="1:6" x14ac:dyDescent="0.2">
      <c r="A372" s="275"/>
      <c r="B372" s="78"/>
      <c r="C372" s="189"/>
      <c r="D372" s="185"/>
      <c r="E372" s="186"/>
      <c r="F372" s="187"/>
    </row>
    <row r="373" spans="1:6" x14ac:dyDescent="0.2">
      <c r="A373" s="275"/>
      <c r="B373" s="78"/>
      <c r="C373" s="189"/>
      <c r="D373" s="185"/>
      <c r="E373" s="186"/>
      <c r="F373" s="187"/>
    </row>
    <row r="374" spans="1:6" x14ac:dyDescent="0.2">
      <c r="A374" s="275"/>
      <c r="B374" s="78"/>
      <c r="C374" s="189"/>
      <c r="D374" s="185"/>
      <c r="E374" s="186"/>
      <c r="F374" s="187"/>
    </row>
    <row r="375" spans="1:6" x14ac:dyDescent="0.2">
      <c r="A375" s="275"/>
      <c r="B375" s="78"/>
      <c r="C375" s="189"/>
      <c r="D375" s="185"/>
      <c r="E375" s="186"/>
      <c r="F375" s="187"/>
    </row>
    <row r="376" spans="1:6" x14ac:dyDescent="0.2">
      <c r="A376" s="275"/>
      <c r="B376" s="78"/>
      <c r="C376" s="189"/>
      <c r="D376" s="185"/>
      <c r="E376" s="186"/>
      <c r="F376" s="187"/>
    </row>
    <row r="377" spans="1:6" x14ac:dyDescent="0.2">
      <c r="A377" s="275"/>
      <c r="B377" s="78"/>
      <c r="C377" s="189"/>
      <c r="D377" s="185"/>
      <c r="E377" s="186"/>
      <c r="F377" s="187"/>
    </row>
    <row r="378" spans="1:6" x14ac:dyDescent="0.2">
      <c r="A378" s="275"/>
      <c r="B378" s="78"/>
      <c r="C378" s="189"/>
      <c r="D378" s="185"/>
      <c r="E378" s="186"/>
      <c r="F378" s="187"/>
    </row>
    <row r="379" spans="1:6" x14ac:dyDescent="0.2">
      <c r="A379" s="275"/>
      <c r="B379" s="78"/>
      <c r="C379" s="189"/>
      <c r="D379" s="185"/>
      <c r="E379" s="186"/>
      <c r="F379" s="187"/>
    </row>
    <row r="380" spans="1:6" x14ac:dyDescent="0.2">
      <c r="A380" s="275"/>
      <c r="B380" s="78"/>
      <c r="C380" s="189"/>
      <c r="D380" s="185"/>
      <c r="E380" s="186"/>
      <c r="F380" s="187"/>
    </row>
    <row r="381" spans="1:6" x14ac:dyDescent="0.2">
      <c r="A381" s="275"/>
      <c r="B381" s="78"/>
      <c r="C381" s="189"/>
      <c r="D381" s="185"/>
      <c r="E381" s="186"/>
      <c r="F381" s="187"/>
    </row>
    <row r="382" spans="1:6" x14ac:dyDescent="0.2">
      <c r="A382" s="275"/>
      <c r="B382" s="78"/>
      <c r="C382" s="189"/>
      <c r="D382" s="185"/>
      <c r="E382" s="186"/>
      <c r="F382" s="187"/>
    </row>
    <row r="383" spans="1:6" x14ac:dyDescent="0.2">
      <c r="A383" s="275"/>
      <c r="B383" s="78"/>
      <c r="C383" s="189"/>
      <c r="D383" s="185"/>
      <c r="E383" s="186"/>
      <c r="F383" s="187"/>
    </row>
    <row r="384" spans="1:6" x14ac:dyDescent="0.2">
      <c r="A384" s="275"/>
      <c r="B384" s="78"/>
      <c r="C384" s="189"/>
      <c r="D384" s="185"/>
      <c r="E384" s="186"/>
      <c r="F384" s="187"/>
    </row>
    <row r="385" spans="1:6" x14ac:dyDescent="0.2">
      <c r="A385" s="275"/>
      <c r="B385" s="78"/>
      <c r="C385" s="189"/>
      <c r="D385" s="185"/>
      <c r="E385" s="186"/>
      <c r="F385" s="187"/>
    </row>
    <row r="386" spans="1:6" x14ac:dyDescent="0.2">
      <c r="A386" s="275"/>
      <c r="B386" s="78"/>
      <c r="C386" s="189"/>
      <c r="D386" s="185"/>
      <c r="E386" s="186"/>
      <c r="F386" s="187"/>
    </row>
    <row r="387" spans="1:6" x14ac:dyDescent="0.2">
      <c r="A387" s="275"/>
      <c r="B387" s="78"/>
      <c r="C387" s="189"/>
      <c r="D387" s="185"/>
      <c r="E387" s="186"/>
      <c r="F387" s="187"/>
    </row>
    <row r="388" spans="1:6" x14ac:dyDescent="0.2">
      <c r="A388" s="275"/>
      <c r="B388" s="78"/>
      <c r="C388" s="189"/>
      <c r="D388" s="185"/>
      <c r="E388" s="186"/>
      <c r="F388" s="187"/>
    </row>
    <row r="389" spans="1:6" x14ac:dyDescent="0.2">
      <c r="A389" s="275"/>
      <c r="B389" s="78"/>
      <c r="C389" s="189"/>
      <c r="D389" s="185"/>
      <c r="E389" s="186"/>
      <c r="F389" s="187"/>
    </row>
    <row r="390" spans="1:6" x14ac:dyDescent="0.2">
      <c r="A390" s="275"/>
      <c r="B390" s="78"/>
      <c r="C390" s="189"/>
      <c r="D390" s="185"/>
      <c r="E390" s="186"/>
      <c r="F390" s="187"/>
    </row>
    <row r="391" spans="1:6" x14ac:dyDescent="0.2">
      <c r="A391" s="275"/>
      <c r="B391" s="78"/>
      <c r="C391" s="189"/>
      <c r="D391" s="185"/>
      <c r="E391" s="186"/>
      <c r="F391" s="187"/>
    </row>
    <row r="392" spans="1:6" x14ac:dyDescent="0.2">
      <c r="A392" s="275"/>
      <c r="B392" s="78"/>
      <c r="C392" s="189"/>
      <c r="D392" s="185"/>
      <c r="E392" s="186"/>
      <c r="F392" s="187"/>
    </row>
    <row r="393" spans="1:6" x14ac:dyDescent="0.2">
      <c r="A393" s="275"/>
      <c r="B393" s="78"/>
      <c r="C393" s="189"/>
      <c r="D393" s="185"/>
      <c r="E393" s="186"/>
      <c r="F393" s="187"/>
    </row>
    <row r="394" spans="1:6" x14ac:dyDescent="0.2">
      <c r="A394" s="275"/>
      <c r="B394" s="78"/>
      <c r="C394" s="189"/>
      <c r="D394" s="185"/>
      <c r="E394" s="186"/>
      <c r="F394" s="187"/>
    </row>
    <row r="395" spans="1:6" x14ac:dyDescent="0.2">
      <c r="A395" s="275"/>
      <c r="B395" s="78"/>
      <c r="C395" s="189"/>
      <c r="D395" s="185"/>
      <c r="E395" s="186"/>
      <c r="F395" s="187"/>
    </row>
    <row r="396" spans="1:6" x14ac:dyDescent="0.2">
      <c r="A396" s="275"/>
      <c r="B396" s="78"/>
      <c r="C396" s="189"/>
      <c r="D396" s="185"/>
      <c r="E396" s="186"/>
      <c r="F396" s="187"/>
    </row>
    <row r="397" spans="1:6" x14ac:dyDescent="0.2">
      <c r="A397" s="275"/>
      <c r="B397" s="78"/>
      <c r="C397" s="189"/>
      <c r="D397" s="185"/>
      <c r="E397" s="186"/>
      <c r="F397" s="187"/>
    </row>
    <row r="398" spans="1:6" x14ac:dyDescent="0.2">
      <c r="A398" s="275"/>
      <c r="B398" s="78"/>
      <c r="C398" s="189"/>
      <c r="D398" s="185"/>
      <c r="E398" s="186"/>
      <c r="F398" s="187"/>
    </row>
    <row r="399" spans="1:6" x14ac:dyDescent="0.2">
      <c r="A399" s="275"/>
      <c r="B399" s="78"/>
      <c r="C399" s="189"/>
      <c r="D399" s="185"/>
      <c r="E399" s="186"/>
      <c r="F399" s="187"/>
    </row>
    <row r="400" spans="1:6" x14ac:dyDescent="0.2">
      <c r="A400" s="275"/>
      <c r="B400" s="78"/>
      <c r="C400" s="189"/>
      <c r="D400" s="185"/>
      <c r="E400" s="186"/>
      <c r="F400" s="187"/>
    </row>
    <row r="401" spans="1:6" x14ac:dyDescent="0.2">
      <c r="A401" s="275"/>
      <c r="B401" s="78"/>
      <c r="C401" s="189"/>
      <c r="D401" s="185"/>
      <c r="E401" s="186"/>
      <c r="F401" s="187"/>
    </row>
    <row r="402" spans="1:6" x14ac:dyDescent="0.2">
      <c r="A402" s="275"/>
      <c r="B402" s="78"/>
      <c r="C402" s="189"/>
      <c r="D402" s="185"/>
      <c r="E402" s="186"/>
      <c r="F402" s="187"/>
    </row>
    <row r="403" spans="1:6" x14ac:dyDescent="0.2">
      <c r="A403" s="275"/>
      <c r="B403" s="78"/>
      <c r="C403" s="189"/>
      <c r="D403" s="185"/>
      <c r="E403" s="186"/>
      <c r="F403" s="187"/>
    </row>
    <row r="404" spans="1:6" x14ac:dyDescent="0.2">
      <c r="A404" s="275"/>
      <c r="B404" s="78"/>
      <c r="C404" s="189"/>
      <c r="D404" s="185"/>
      <c r="E404" s="186"/>
      <c r="F404" s="187"/>
    </row>
    <row r="405" spans="1:6" x14ac:dyDescent="0.2">
      <c r="A405" s="275"/>
      <c r="B405" s="78"/>
      <c r="C405" s="189"/>
      <c r="D405" s="185"/>
      <c r="E405" s="186"/>
      <c r="F405" s="187"/>
    </row>
    <row r="406" spans="1:6" x14ac:dyDescent="0.2">
      <c r="A406" s="275"/>
      <c r="B406" s="78"/>
      <c r="C406" s="189"/>
      <c r="D406" s="185"/>
      <c r="E406" s="186"/>
      <c r="F406" s="187"/>
    </row>
    <row r="407" spans="1:6" x14ac:dyDescent="0.2">
      <c r="A407" s="275"/>
      <c r="B407" s="78"/>
      <c r="C407" s="189"/>
      <c r="D407" s="185"/>
      <c r="E407" s="186"/>
      <c r="F407" s="187"/>
    </row>
    <row r="408" spans="1:6" x14ac:dyDescent="0.2">
      <c r="A408" s="275"/>
      <c r="B408" s="78"/>
      <c r="C408" s="189"/>
      <c r="D408" s="185"/>
      <c r="E408" s="186"/>
      <c r="F408" s="187"/>
    </row>
    <row r="409" spans="1:6" x14ac:dyDescent="0.2">
      <c r="A409" s="275"/>
      <c r="B409" s="78"/>
      <c r="C409" s="189"/>
      <c r="D409" s="185"/>
      <c r="E409" s="186"/>
      <c r="F409" s="187"/>
    </row>
    <row r="410" spans="1:6" x14ac:dyDescent="0.2">
      <c r="A410" s="275"/>
      <c r="B410" s="78"/>
      <c r="C410" s="189"/>
      <c r="D410" s="185"/>
      <c r="E410" s="186"/>
      <c r="F410" s="187"/>
    </row>
    <row r="411" spans="1:6" x14ac:dyDescent="0.2">
      <c r="A411" s="275"/>
      <c r="B411" s="78"/>
      <c r="C411" s="189"/>
      <c r="D411" s="185"/>
      <c r="E411" s="186"/>
      <c r="F411" s="187"/>
    </row>
    <row r="412" spans="1:6" x14ac:dyDescent="0.2">
      <c r="A412" s="275"/>
      <c r="B412" s="78"/>
      <c r="C412" s="189"/>
      <c r="D412" s="185"/>
      <c r="E412" s="186"/>
      <c r="F412" s="187"/>
    </row>
    <row r="413" spans="1:6" x14ac:dyDescent="0.2">
      <c r="A413" s="275"/>
      <c r="B413" s="78"/>
      <c r="C413" s="189"/>
      <c r="D413" s="185"/>
      <c r="E413" s="186"/>
      <c r="F413" s="187"/>
    </row>
    <row r="414" spans="1:6" x14ac:dyDescent="0.2">
      <c r="A414" s="275"/>
      <c r="B414" s="78"/>
      <c r="C414" s="189"/>
      <c r="D414" s="185"/>
      <c r="E414" s="186"/>
      <c r="F414" s="187"/>
    </row>
    <row r="415" spans="1:6" x14ac:dyDescent="0.2">
      <c r="A415" s="275"/>
      <c r="B415" s="78"/>
      <c r="C415" s="189"/>
      <c r="D415" s="185"/>
      <c r="E415" s="186"/>
      <c r="F415" s="187"/>
    </row>
    <row r="416" spans="1:6" x14ac:dyDescent="0.2">
      <c r="A416" s="275"/>
      <c r="B416" s="78"/>
      <c r="C416" s="189"/>
      <c r="D416" s="185"/>
      <c r="E416" s="186"/>
      <c r="F416" s="187"/>
    </row>
    <row r="417" spans="1:6" x14ac:dyDescent="0.2">
      <c r="A417" s="275"/>
      <c r="B417" s="78"/>
      <c r="C417" s="189"/>
      <c r="D417" s="185"/>
      <c r="E417" s="186"/>
      <c r="F417" s="187"/>
    </row>
    <row r="418" spans="1:6" x14ac:dyDescent="0.2">
      <c r="A418" s="275"/>
      <c r="B418" s="78"/>
      <c r="C418" s="189"/>
      <c r="D418" s="185"/>
      <c r="E418" s="186"/>
      <c r="F418" s="187"/>
    </row>
    <row r="419" spans="1:6" x14ac:dyDescent="0.2">
      <c r="A419" s="275"/>
      <c r="B419" s="78"/>
      <c r="C419" s="189"/>
      <c r="D419" s="185"/>
      <c r="E419" s="186"/>
      <c r="F419" s="187"/>
    </row>
    <row r="420" spans="1:6" x14ac:dyDescent="0.2">
      <c r="A420" s="275"/>
      <c r="B420" s="78"/>
      <c r="C420" s="189"/>
      <c r="D420" s="185"/>
      <c r="E420" s="186"/>
      <c r="F420" s="187"/>
    </row>
    <row r="421" spans="1:6" x14ac:dyDescent="0.2">
      <c r="A421" s="275"/>
      <c r="B421" s="78"/>
      <c r="C421" s="189"/>
      <c r="D421" s="185"/>
      <c r="E421" s="186"/>
      <c r="F421" s="187"/>
    </row>
    <row r="422" spans="1:6" x14ac:dyDescent="0.2">
      <c r="A422" s="275"/>
      <c r="B422" s="78"/>
      <c r="C422" s="189"/>
      <c r="D422" s="185"/>
      <c r="E422" s="186"/>
      <c r="F422" s="187"/>
    </row>
    <row r="423" spans="1:6" x14ac:dyDescent="0.2">
      <c r="A423" s="275"/>
      <c r="B423" s="78"/>
      <c r="C423" s="189"/>
      <c r="D423" s="185"/>
      <c r="E423" s="186"/>
      <c r="F423" s="187"/>
    </row>
    <row r="424" spans="1:6" x14ac:dyDescent="0.2">
      <c r="A424" s="275"/>
      <c r="B424" s="78"/>
      <c r="C424" s="189"/>
      <c r="D424" s="185"/>
      <c r="E424" s="186"/>
      <c r="F424" s="187"/>
    </row>
    <row r="425" spans="1:6" x14ac:dyDescent="0.2">
      <c r="A425" s="275"/>
      <c r="B425" s="78"/>
      <c r="C425" s="189"/>
      <c r="D425" s="185"/>
      <c r="E425" s="186"/>
      <c r="F425" s="187"/>
    </row>
    <row r="426" spans="1:6" x14ac:dyDescent="0.2">
      <c r="A426" s="275"/>
      <c r="B426" s="78"/>
      <c r="C426" s="189"/>
      <c r="D426" s="185"/>
      <c r="E426" s="186"/>
      <c r="F426" s="187"/>
    </row>
    <row r="427" spans="1:6" x14ac:dyDescent="0.2">
      <c r="A427" s="275"/>
      <c r="B427" s="78"/>
      <c r="C427" s="189"/>
      <c r="D427" s="185"/>
      <c r="E427" s="186"/>
      <c r="F427" s="187"/>
    </row>
    <row r="428" spans="1:6" x14ac:dyDescent="0.2">
      <c r="A428" s="275"/>
      <c r="B428" s="78"/>
      <c r="C428" s="189"/>
      <c r="D428" s="185"/>
      <c r="E428" s="186"/>
      <c r="F428" s="187"/>
    </row>
    <row r="429" spans="1:6" x14ac:dyDescent="0.2">
      <c r="A429" s="275"/>
      <c r="B429" s="78"/>
      <c r="C429" s="189"/>
      <c r="D429" s="185"/>
      <c r="E429" s="186"/>
      <c r="F429" s="187"/>
    </row>
    <row r="430" spans="1:6" x14ac:dyDescent="0.2">
      <c r="A430" s="275"/>
      <c r="B430" s="78"/>
      <c r="C430" s="189"/>
      <c r="D430" s="185"/>
      <c r="E430" s="186"/>
      <c r="F430" s="187"/>
    </row>
    <row r="431" spans="1:6" x14ac:dyDescent="0.2">
      <c r="A431" s="275"/>
      <c r="B431" s="78"/>
      <c r="C431" s="189"/>
      <c r="D431" s="185"/>
      <c r="E431" s="186"/>
      <c r="F431" s="187"/>
    </row>
    <row r="432" spans="1:6" x14ac:dyDescent="0.2">
      <c r="A432" s="275"/>
      <c r="B432" s="78"/>
      <c r="C432" s="189"/>
      <c r="D432" s="185"/>
      <c r="E432" s="186"/>
      <c r="F432" s="187"/>
    </row>
    <row r="433" spans="1:6" x14ac:dyDescent="0.2">
      <c r="A433" s="275"/>
      <c r="B433" s="78"/>
      <c r="C433" s="189"/>
      <c r="D433" s="185"/>
      <c r="E433" s="186"/>
      <c r="F433" s="187"/>
    </row>
    <row r="434" spans="1:6" x14ac:dyDescent="0.2">
      <c r="A434" s="275"/>
      <c r="B434" s="78"/>
      <c r="C434" s="189"/>
      <c r="D434" s="185"/>
      <c r="E434" s="186"/>
      <c r="F434" s="187"/>
    </row>
    <row r="435" spans="1:6" x14ac:dyDescent="0.2">
      <c r="A435" s="275"/>
      <c r="B435" s="78"/>
      <c r="C435" s="189"/>
      <c r="D435" s="185"/>
      <c r="E435" s="186"/>
      <c r="F435" s="187"/>
    </row>
    <row r="436" spans="1:6" x14ac:dyDescent="0.2">
      <c r="A436" s="275"/>
      <c r="B436" s="78"/>
      <c r="C436" s="189"/>
      <c r="D436" s="185"/>
      <c r="E436" s="186"/>
      <c r="F436" s="187"/>
    </row>
    <row r="437" spans="1:6" x14ac:dyDescent="0.2">
      <c r="A437" s="275"/>
      <c r="B437" s="78"/>
      <c r="C437" s="189"/>
      <c r="D437" s="185"/>
      <c r="E437" s="186"/>
      <c r="F437" s="187"/>
    </row>
    <row r="438" spans="1:6" x14ac:dyDescent="0.2">
      <c r="A438" s="275"/>
      <c r="B438" s="78"/>
      <c r="C438" s="189"/>
      <c r="D438" s="185"/>
      <c r="E438" s="186"/>
      <c r="F438" s="187"/>
    </row>
    <row r="439" spans="1:6" x14ac:dyDescent="0.2">
      <c r="A439" s="275"/>
      <c r="B439" s="78"/>
      <c r="C439" s="189"/>
      <c r="D439" s="185"/>
      <c r="E439" s="186"/>
      <c r="F439" s="187"/>
    </row>
    <row r="440" spans="1:6" x14ac:dyDescent="0.2">
      <c r="A440" s="275"/>
      <c r="B440" s="78"/>
      <c r="C440" s="189"/>
      <c r="D440" s="185"/>
      <c r="E440" s="186"/>
      <c r="F440" s="187"/>
    </row>
    <row r="441" spans="1:6" x14ac:dyDescent="0.2">
      <c r="A441" s="275"/>
      <c r="B441" s="78"/>
      <c r="C441" s="189"/>
      <c r="D441" s="185"/>
      <c r="E441" s="186"/>
      <c r="F441" s="187"/>
    </row>
    <row r="442" spans="1:6" x14ac:dyDescent="0.2">
      <c r="A442" s="275"/>
      <c r="B442" s="78"/>
      <c r="C442" s="189"/>
      <c r="D442" s="185"/>
      <c r="E442" s="186"/>
      <c r="F442" s="187"/>
    </row>
    <row r="443" spans="1:6" x14ac:dyDescent="0.2">
      <c r="A443" s="275"/>
      <c r="B443" s="78"/>
      <c r="C443" s="189"/>
      <c r="D443" s="185"/>
      <c r="E443" s="186"/>
      <c r="F443" s="187"/>
    </row>
    <row r="444" spans="1:6" x14ac:dyDescent="0.2">
      <c r="A444" s="275"/>
      <c r="B444" s="78"/>
      <c r="C444" s="189"/>
      <c r="D444" s="185"/>
      <c r="E444" s="186"/>
      <c r="F444" s="187"/>
    </row>
    <row r="445" spans="1:6" x14ac:dyDescent="0.2">
      <c r="A445" s="275"/>
      <c r="B445" s="78"/>
      <c r="C445" s="189"/>
      <c r="D445" s="185"/>
      <c r="E445" s="186"/>
      <c r="F445" s="187"/>
    </row>
    <row r="446" spans="1:6" x14ac:dyDescent="0.2">
      <c r="A446" s="275"/>
      <c r="B446" s="78"/>
      <c r="C446" s="189"/>
      <c r="D446" s="185"/>
      <c r="E446" s="186"/>
      <c r="F446" s="187"/>
    </row>
    <row r="447" spans="1:6" x14ac:dyDescent="0.2">
      <c r="A447" s="275"/>
      <c r="B447" s="78"/>
      <c r="C447" s="189"/>
      <c r="D447" s="185"/>
      <c r="E447" s="186"/>
      <c r="F447" s="187"/>
    </row>
    <row r="448" spans="1:6" x14ac:dyDescent="0.2">
      <c r="A448" s="275"/>
      <c r="B448" s="78"/>
      <c r="C448" s="189"/>
      <c r="D448" s="185"/>
      <c r="E448" s="186"/>
      <c r="F448" s="187"/>
    </row>
    <row r="449" spans="1:6" x14ac:dyDescent="0.2">
      <c r="A449" s="275"/>
      <c r="B449" s="78"/>
      <c r="C449" s="189"/>
      <c r="D449" s="185"/>
      <c r="E449" s="186"/>
      <c r="F449" s="187"/>
    </row>
    <row r="450" spans="1:6" x14ac:dyDescent="0.2">
      <c r="A450" s="275"/>
      <c r="B450" s="78"/>
      <c r="C450" s="189"/>
      <c r="D450" s="185"/>
      <c r="E450" s="186"/>
      <c r="F450" s="187"/>
    </row>
    <row r="451" spans="1:6" x14ac:dyDescent="0.2">
      <c r="A451" s="275"/>
      <c r="B451" s="78"/>
      <c r="C451" s="189"/>
      <c r="D451" s="185"/>
      <c r="E451" s="186"/>
      <c r="F451" s="187"/>
    </row>
    <row r="452" spans="1:6" x14ac:dyDescent="0.2">
      <c r="A452" s="275"/>
      <c r="B452" s="78"/>
      <c r="C452" s="189"/>
      <c r="D452" s="185"/>
      <c r="E452" s="186"/>
      <c r="F452" s="187"/>
    </row>
    <row r="453" spans="1:6" x14ac:dyDescent="0.2">
      <c r="A453" s="275"/>
      <c r="B453" s="78"/>
      <c r="C453" s="189"/>
      <c r="D453" s="185"/>
      <c r="E453" s="186"/>
      <c r="F453" s="187"/>
    </row>
    <row r="454" spans="1:6" x14ac:dyDescent="0.2">
      <c r="A454" s="275"/>
      <c r="B454" s="78"/>
      <c r="C454" s="189"/>
      <c r="D454" s="185"/>
      <c r="E454" s="186"/>
      <c r="F454" s="187"/>
    </row>
    <row r="455" spans="1:6" x14ac:dyDescent="0.2">
      <c r="A455" s="275"/>
      <c r="B455" s="78"/>
      <c r="C455" s="189"/>
      <c r="D455" s="185"/>
      <c r="E455" s="186"/>
      <c r="F455" s="187"/>
    </row>
    <row r="456" spans="1:6" x14ac:dyDescent="0.2">
      <c r="A456" s="275"/>
      <c r="B456" s="78"/>
      <c r="C456" s="189"/>
      <c r="D456" s="185"/>
      <c r="E456" s="186"/>
      <c r="F456" s="187"/>
    </row>
    <row r="457" spans="1:6" x14ac:dyDescent="0.2">
      <c r="A457" s="275"/>
      <c r="B457" s="78"/>
      <c r="C457" s="189"/>
      <c r="D457" s="185"/>
      <c r="E457" s="186"/>
      <c r="F457" s="187"/>
    </row>
    <row r="458" spans="1:6" x14ac:dyDescent="0.2">
      <c r="A458" s="275"/>
      <c r="B458" s="78"/>
      <c r="C458" s="189"/>
      <c r="D458" s="185"/>
      <c r="E458" s="186"/>
      <c r="F458" s="187"/>
    </row>
    <row r="459" spans="1:6" x14ac:dyDescent="0.2">
      <c r="A459" s="275"/>
      <c r="B459" s="78"/>
      <c r="C459" s="189"/>
      <c r="D459" s="185"/>
      <c r="E459" s="186"/>
      <c r="F459" s="187"/>
    </row>
    <row r="460" spans="1:6" x14ac:dyDescent="0.2">
      <c r="A460" s="275"/>
      <c r="B460" s="78"/>
      <c r="C460" s="189"/>
      <c r="D460" s="185"/>
      <c r="E460" s="186"/>
      <c r="F460" s="187"/>
    </row>
    <row r="461" spans="1:6" x14ac:dyDescent="0.2">
      <c r="A461" s="275"/>
      <c r="B461" s="78"/>
      <c r="C461" s="189"/>
      <c r="D461" s="185"/>
      <c r="E461" s="186"/>
      <c r="F461" s="187"/>
    </row>
    <row r="462" spans="1:6" x14ac:dyDescent="0.2">
      <c r="A462" s="275"/>
      <c r="B462" s="78"/>
      <c r="C462" s="189"/>
      <c r="D462" s="185"/>
      <c r="E462" s="186"/>
      <c r="F462" s="187"/>
    </row>
    <row r="463" spans="1:6" x14ac:dyDescent="0.2">
      <c r="A463" s="275"/>
      <c r="B463" s="78"/>
      <c r="C463" s="189"/>
      <c r="D463" s="185"/>
      <c r="E463" s="186"/>
      <c r="F463" s="187"/>
    </row>
    <row r="464" spans="1:6" x14ac:dyDescent="0.2">
      <c r="A464" s="275"/>
      <c r="B464" s="78"/>
      <c r="C464" s="189"/>
      <c r="D464" s="185"/>
      <c r="E464" s="186"/>
      <c r="F464" s="187"/>
    </row>
    <row r="465" spans="1:6" x14ac:dyDescent="0.2">
      <c r="A465" s="275"/>
      <c r="B465" s="78"/>
      <c r="C465" s="189"/>
      <c r="D465" s="185"/>
      <c r="E465" s="186"/>
      <c r="F465" s="187"/>
    </row>
    <row r="466" spans="1:6" x14ac:dyDescent="0.2">
      <c r="A466" s="275"/>
      <c r="B466" s="78"/>
      <c r="C466" s="189"/>
      <c r="D466" s="185"/>
      <c r="E466" s="186"/>
      <c r="F466" s="187"/>
    </row>
    <row r="467" spans="1:6" x14ac:dyDescent="0.2">
      <c r="A467" s="275"/>
      <c r="B467" s="78"/>
      <c r="C467" s="189"/>
      <c r="D467" s="185"/>
      <c r="E467" s="186"/>
      <c r="F467" s="187"/>
    </row>
    <row r="468" spans="1:6" x14ac:dyDescent="0.2">
      <c r="A468" s="275"/>
      <c r="B468" s="78"/>
      <c r="C468" s="189"/>
      <c r="D468" s="185"/>
      <c r="E468" s="186"/>
      <c r="F468" s="187"/>
    </row>
    <row r="469" spans="1:6" x14ac:dyDescent="0.2">
      <c r="A469" s="275"/>
      <c r="B469" s="78"/>
      <c r="C469" s="189"/>
      <c r="D469" s="185"/>
      <c r="E469" s="186"/>
      <c r="F469" s="187"/>
    </row>
    <row r="470" spans="1:6" x14ac:dyDescent="0.2">
      <c r="A470" s="275"/>
      <c r="B470" s="78"/>
      <c r="C470" s="189"/>
      <c r="D470" s="185"/>
      <c r="E470" s="186"/>
      <c r="F470" s="187"/>
    </row>
    <row r="471" spans="1:6" x14ac:dyDescent="0.2">
      <c r="A471" s="275"/>
      <c r="B471" s="78"/>
      <c r="C471" s="189"/>
      <c r="D471" s="185"/>
      <c r="E471" s="186"/>
      <c r="F471" s="187"/>
    </row>
    <row r="472" spans="1:6" x14ac:dyDescent="0.2">
      <c r="A472" s="275"/>
      <c r="B472" s="78"/>
      <c r="C472" s="189"/>
      <c r="D472" s="185"/>
      <c r="E472" s="186"/>
      <c r="F472" s="187"/>
    </row>
    <row r="473" spans="1:6" x14ac:dyDescent="0.2">
      <c r="A473" s="275"/>
      <c r="B473" s="78"/>
      <c r="C473" s="189"/>
      <c r="D473" s="185"/>
      <c r="E473" s="186"/>
      <c r="F473" s="187"/>
    </row>
    <row r="474" spans="1:6" x14ac:dyDescent="0.2">
      <c r="A474" s="275"/>
      <c r="B474" s="78"/>
      <c r="C474" s="189"/>
      <c r="D474" s="185"/>
      <c r="E474" s="186"/>
      <c r="F474" s="187"/>
    </row>
    <row r="475" spans="1:6" x14ac:dyDescent="0.2">
      <c r="A475" s="275"/>
      <c r="B475" s="78"/>
      <c r="C475" s="189"/>
      <c r="D475" s="185"/>
      <c r="E475" s="186"/>
      <c r="F475" s="187"/>
    </row>
    <row r="476" spans="1:6" x14ac:dyDescent="0.2">
      <c r="A476" s="275"/>
      <c r="B476" s="78"/>
      <c r="C476" s="189"/>
      <c r="D476" s="185"/>
      <c r="E476" s="186"/>
      <c r="F476" s="187"/>
    </row>
    <row r="477" spans="1:6" x14ac:dyDescent="0.2">
      <c r="A477" s="275"/>
      <c r="B477" s="78"/>
      <c r="C477" s="189"/>
      <c r="D477" s="185"/>
      <c r="E477" s="186"/>
      <c r="F477" s="187"/>
    </row>
    <row r="478" spans="1:6" x14ac:dyDescent="0.2">
      <c r="A478" s="275"/>
      <c r="B478" s="78"/>
      <c r="C478" s="189"/>
      <c r="D478" s="185"/>
      <c r="E478" s="186"/>
      <c r="F478" s="187"/>
    </row>
    <row r="479" spans="1:6" x14ac:dyDescent="0.2">
      <c r="A479" s="275"/>
      <c r="B479" s="78"/>
      <c r="C479" s="189"/>
      <c r="D479" s="185"/>
      <c r="E479" s="186"/>
      <c r="F479" s="187"/>
    </row>
    <row r="480" spans="1:6" x14ac:dyDescent="0.2">
      <c r="A480" s="275"/>
      <c r="B480" s="78"/>
      <c r="C480" s="189"/>
      <c r="D480" s="185"/>
      <c r="E480" s="186"/>
      <c r="F480" s="187"/>
    </row>
    <row r="481" spans="1:6" x14ac:dyDescent="0.2">
      <c r="A481" s="275"/>
      <c r="B481" s="78"/>
      <c r="C481" s="189"/>
      <c r="D481" s="185"/>
      <c r="E481" s="186"/>
      <c r="F481" s="187"/>
    </row>
    <row r="482" spans="1:6" x14ac:dyDescent="0.2">
      <c r="A482" s="275"/>
      <c r="B482" s="78"/>
      <c r="C482" s="189"/>
      <c r="D482" s="185"/>
      <c r="E482" s="186"/>
      <c r="F482" s="187"/>
    </row>
    <row r="483" spans="1:6" x14ac:dyDescent="0.2">
      <c r="A483" s="275"/>
      <c r="B483" s="78"/>
      <c r="C483" s="189"/>
      <c r="D483" s="185"/>
      <c r="E483" s="186"/>
      <c r="F483" s="187"/>
    </row>
    <row r="484" spans="1:6" x14ac:dyDescent="0.2">
      <c r="A484" s="275"/>
      <c r="B484" s="78"/>
      <c r="C484" s="189"/>
      <c r="D484" s="185"/>
      <c r="E484" s="186"/>
      <c r="F484" s="187"/>
    </row>
    <row r="485" spans="1:6" x14ac:dyDescent="0.2">
      <c r="A485" s="275"/>
      <c r="B485" s="78"/>
      <c r="C485" s="189"/>
      <c r="D485" s="185"/>
      <c r="E485" s="186"/>
      <c r="F485" s="187"/>
    </row>
    <row r="486" spans="1:6" x14ac:dyDescent="0.2">
      <c r="A486" s="275"/>
      <c r="B486" s="78"/>
      <c r="C486" s="189"/>
      <c r="D486" s="185"/>
      <c r="E486" s="186"/>
      <c r="F486" s="187"/>
    </row>
    <row r="487" spans="1:6" x14ac:dyDescent="0.2">
      <c r="A487" s="275"/>
      <c r="B487" s="78"/>
      <c r="C487" s="189"/>
      <c r="D487" s="185"/>
      <c r="E487" s="186"/>
      <c r="F487" s="187"/>
    </row>
    <row r="488" spans="1:6" x14ac:dyDescent="0.2">
      <c r="A488" s="275"/>
      <c r="B488" s="78"/>
      <c r="C488" s="189"/>
      <c r="D488" s="185"/>
      <c r="E488" s="186"/>
      <c r="F488" s="187"/>
    </row>
    <row r="489" spans="1:6" x14ac:dyDescent="0.2">
      <c r="A489" s="275"/>
      <c r="B489" s="78"/>
      <c r="C489" s="189"/>
      <c r="D489" s="185"/>
      <c r="E489" s="186"/>
      <c r="F489" s="187"/>
    </row>
    <row r="490" spans="1:6" x14ac:dyDescent="0.2">
      <c r="A490" s="275"/>
      <c r="B490" s="78"/>
      <c r="C490" s="189"/>
      <c r="D490" s="185"/>
      <c r="E490" s="186"/>
      <c r="F490" s="187"/>
    </row>
    <row r="491" spans="1:6" x14ac:dyDescent="0.2">
      <c r="A491" s="275"/>
      <c r="B491" s="78"/>
      <c r="C491" s="189"/>
      <c r="D491" s="185"/>
      <c r="E491" s="186"/>
      <c r="F491" s="187"/>
    </row>
    <row r="492" spans="1:6" x14ac:dyDescent="0.2">
      <c r="A492" s="275"/>
      <c r="B492" s="78"/>
      <c r="C492" s="189"/>
      <c r="D492" s="185"/>
      <c r="E492" s="186"/>
      <c r="F492" s="187"/>
    </row>
    <row r="493" spans="1:6" x14ac:dyDescent="0.2">
      <c r="A493" s="275"/>
      <c r="B493" s="78"/>
      <c r="C493" s="189"/>
      <c r="D493" s="185"/>
      <c r="E493" s="186"/>
      <c r="F493" s="187"/>
    </row>
    <row r="494" spans="1:6" x14ac:dyDescent="0.2">
      <c r="A494" s="275"/>
      <c r="B494" s="78"/>
      <c r="C494" s="189"/>
      <c r="D494" s="185"/>
      <c r="E494" s="186"/>
      <c r="F494" s="187"/>
    </row>
    <row r="495" spans="1:6" x14ac:dyDescent="0.2">
      <c r="A495" s="275"/>
      <c r="B495" s="78"/>
      <c r="C495" s="189"/>
      <c r="D495" s="185"/>
      <c r="E495" s="186"/>
      <c r="F495" s="187"/>
    </row>
    <row r="496" spans="1:6" x14ac:dyDescent="0.2">
      <c r="A496" s="275"/>
      <c r="B496" s="78"/>
      <c r="C496" s="189"/>
      <c r="D496" s="185"/>
      <c r="E496" s="186"/>
      <c r="F496" s="187"/>
    </row>
    <row r="497" spans="1:6" x14ac:dyDescent="0.2">
      <c r="A497" s="275"/>
      <c r="B497" s="78"/>
      <c r="C497" s="189"/>
      <c r="D497" s="185"/>
      <c r="E497" s="186"/>
      <c r="F497" s="187"/>
    </row>
    <row r="498" spans="1:6" x14ac:dyDescent="0.2">
      <c r="A498" s="275"/>
      <c r="B498" s="78"/>
      <c r="C498" s="189"/>
      <c r="D498" s="185"/>
      <c r="E498" s="186"/>
      <c r="F498" s="187"/>
    </row>
    <row r="499" spans="1:6" x14ac:dyDescent="0.2">
      <c r="A499" s="275"/>
      <c r="B499" s="78"/>
      <c r="C499" s="189"/>
      <c r="D499" s="185"/>
      <c r="E499" s="186"/>
      <c r="F499" s="187"/>
    </row>
    <row r="500" spans="1:6" x14ac:dyDescent="0.2">
      <c r="A500" s="275"/>
      <c r="B500" s="78"/>
      <c r="C500" s="189"/>
      <c r="D500" s="185"/>
      <c r="E500" s="186"/>
      <c r="F500" s="187"/>
    </row>
    <row r="501" spans="1:6" x14ac:dyDescent="0.2">
      <c r="A501" s="275"/>
      <c r="B501" s="78"/>
      <c r="C501" s="189"/>
      <c r="D501" s="185"/>
      <c r="E501" s="186"/>
      <c r="F501" s="187"/>
    </row>
    <row r="502" spans="1:6" x14ac:dyDescent="0.2">
      <c r="A502" s="275"/>
      <c r="B502" s="78"/>
      <c r="C502" s="189"/>
      <c r="D502" s="185"/>
      <c r="E502" s="186"/>
      <c r="F502" s="187"/>
    </row>
    <row r="503" spans="1:6" x14ac:dyDescent="0.2">
      <c r="A503" s="275"/>
      <c r="B503" s="78"/>
      <c r="C503" s="189"/>
      <c r="D503" s="185"/>
      <c r="E503" s="186"/>
      <c r="F503" s="187"/>
    </row>
    <row r="504" spans="1:6" x14ac:dyDescent="0.2">
      <c r="A504" s="275"/>
      <c r="B504" s="78"/>
      <c r="C504" s="189"/>
      <c r="D504" s="185"/>
      <c r="E504" s="186"/>
      <c r="F504" s="187"/>
    </row>
    <row r="505" spans="1:6" x14ac:dyDescent="0.2">
      <c r="A505" s="275"/>
      <c r="B505" s="78"/>
      <c r="C505" s="189"/>
      <c r="D505" s="185"/>
      <c r="E505" s="186"/>
      <c r="F505" s="187"/>
    </row>
    <row r="506" spans="1:6" x14ac:dyDescent="0.2">
      <c r="A506" s="275"/>
      <c r="B506" s="78"/>
      <c r="C506" s="189"/>
      <c r="D506" s="185"/>
      <c r="E506" s="186"/>
      <c r="F506" s="187"/>
    </row>
    <row r="507" spans="1:6" x14ac:dyDescent="0.2">
      <c r="A507" s="275"/>
      <c r="B507" s="78"/>
      <c r="C507" s="189"/>
      <c r="D507" s="185"/>
      <c r="E507" s="186"/>
      <c r="F507" s="187"/>
    </row>
    <row r="508" spans="1:6" x14ac:dyDescent="0.2">
      <c r="A508" s="275"/>
      <c r="B508" s="78"/>
      <c r="C508" s="189"/>
      <c r="D508" s="185"/>
      <c r="E508" s="186"/>
      <c r="F508" s="187"/>
    </row>
    <row r="509" spans="1:6" x14ac:dyDescent="0.2">
      <c r="A509" s="275"/>
      <c r="B509" s="78"/>
      <c r="C509" s="189"/>
      <c r="D509" s="185"/>
      <c r="E509" s="186"/>
      <c r="F509" s="187"/>
    </row>
    <row r="510" spans="1:6" x14ac:dyDescent="0.2">
      <c r="A510" s="275"/>
      <c r="B510" s="78"/>
      <c r="C510" s="189"/>
      <c r="D510" s="185"/>
      <c r="E510" s="186"/>
      <c r="F510" s="187"/>
    </row>
    <row r="511" spans="1:6" x14ac:dyDescent="0.2">
      <c r="A511" s="275"/>
      <c r="B511" s="78"/>
      <c r="C511" s="189"/>
      <c r="D511" s="185"/>
      <c r="E511" s="186"/>
      <c r="F511" s="187"/>
    </row>
    <row r="512" spans="1:6" x14ac:dyDescent="0.2">
      <c r="A512" s="275"/>
      <c r="B512" s="78"/>
      <c r="C512" s="189"/>
      <c r="D512" s="185"/>
      <c r="E512" s="186"/>
      <c r="F512" s="187"/>
    </row>
    <row r="513" spans="1:6" x14ac:dyDescent="0.2">
      <c r="A513" s="275"/>
      <c r="B513" s="78"/>
      <c r="C513" s="189"/>
      <c r="D513" s="185"/>
      <c r="E513" s="186"/>
      <c r="F513" s="187"/>
    </row>
    <row r="514" spans="1:6" x14ac:dyDescent="0.2">
      <c r="A514" s="275"/>
      <c r="B514" s="78"/>
      <c r="C514" s="189"/>
      <c r="D514" s="185"/>
      <c r="E514" s="186"/>
      <c r="F514" s="187"/>
    </row>
    <row r="515" spans="1:6" x14ac:dyDescent="0.2">
      <c r="A515" s="275"/>
      <c r="B515" s="78"/>
      <c r="C515" s="189"/>
      <c r="D515" s="185"/>
      <c r="E515" s="186"/>
      <c r="F515" s="187"/>
    </row>
    <row r="516" spans="1:6" x14ac:dyDescent="0.2">
      <c r="A516" s="275"/>
      <c r="B516" s="78"/>
      <c r="C516" s="189"/>
      <c r="D516" s="185"/>
      <c r="E516" s="186"/>
      <c r="F516" s="187"/>
    </row>
    <row r="517" spans="1:6" x14ac:dyDescent="0.2">
      <c r="A517" s="275"/>
      <c r="B517" s="78"/>
      <c r="C517" s="189"/>
      <c r="D517" s="185"/>
      <c r="E517" s="186"/>
      <c r="F517" s="187"/>
    </row>
    <row r="518" spans="1:6" x14ac:dyDescent="0.2">
      <c r="A518" s="275"/>
      <c r="B518" s="78"/>
      <c r="C518" s="189"/>
      <c r="D518" s="185"/>
      <c r="E518" s="186"/>
      <c r="F518" s="187"/>
    </row>
    <row r="519" spans="1:6" x14ac:dyDescent="0.2">
      <c r="A519" s="275"/>
      <c r="B519" s="78"/>
      <c r="C519" s="189"/>
      <c r="D519" s="185"/>
      <c r="E519" s="186"/>
      <c r="F519" s="187"/>
    </row>
    <row r="520" spans="1:6" x14ac:dyDescent="0.2">
      <c r="A520" s="275"/>
      <c r="B520" s="78"/>
      <c r="C520" s="189"/>
      <c r="D520" s="185"/>
      <c r="E520" s="186"/>
      <c r="F520" s="187"/>
    </row>
    <row r="521" spans="1:6" x14ac:dyDescent="0.2">
      <c r="A521" s="275"/>
      <c r="B521" s="78"/>
      <c r="C521" s="189"/>
      <c r="D521" s="185"/>
      <c r="E521" s="186"/>
      <c r="F521" s="187"/>
    </row>
    <row r="522" spans="1:6" x14ac:dyDescent="0.2">
      <c r="A522" s="275"/>
      <c r="B522" s="78"/>
      <c r="C522" s="189"/>
      <c r="D522" s="185"/>
      <c r="E522" s="186"/>
      <c r="F522" s="187"/>
    </row>
    <row r="523" spans="1:6" x14ac:dyDescent="0.2">
      <c r="A523" s="275"/>
      <c r="B523" s="78"/>
      <c r="C523" s="189"/>
      <c r="D523" s="185"/>
      <c r="E523" s="186"/>
      <c r="F523" s="187"/>
    </row>
    <row r="524" spans="1:6" x14ac:dyDescent="0.2">
      <c r="A524" s="275"/>
      <c r="B524" s="78"/>
      <c r="C524" s="189"/>
      <c r="D524" s="185"/>
      <c r="E524" s="186"/>
      <c r="F524" s="187"/>
    </row>
    <row r="525" spans="1:6" x14ac:dyDescent="0.2">
      <c r="A525" s="275"/>
      <c r="B525" s="78"/>
      <c r="C525" s="189"/>
      <c r="D525" s="185"/>
      <c r="E525" s="186"/>
      <c r="F525" s="187"/>
    </row>
    <row r="526" spans="1:6" x14ac:dyDescent="0.2">
      <c r="A526" s="275"/>
      <c r="B526" s="78"/>
      <c r="C526" s="189"/>
      <c r="D526" s="185"/>
      <c r="E526" s="186"/>
      <c r="F526" s="187"/>
    </row>
    <row r="527" spans="1:6" x14ac:dyDescent="0.2">
      <c r="A527" s="275"/>
      <c r="B527" s="78"/>
      <c r="C527" s="189"/>
      <c r="D527" s="185"/>
      <c r="E527" s="186"/>
      <c r="F527" s="187"/>
    </row>
    <row r="528" spans="1:6" x14ac:dyDescent="0.2">
      <c r="A528" s="275"/>
      <c r="B528" s="78"/>
      <c r="C528" s="189"/>
      <c r="D528" s="185"/>
      <c r="E528" s="186"/>
      <c r="F528" s="187"/>
    </row>
    <row r="529" spans="1:6" x14ac:dyDescent="0.2">
      <c r="A529" s="275"/>
      <c r="B529" s="78"/>
      <c r="C529" s="189"/>
      <c r="D529" s="185"/>
      <c r="E529" s="186"/>
      <c r="F529" s="187"/>
    </row>
    <row r="530" spans="1:6" x14ac:dyDescent="0.2">
      <c r="A530" s="275"/>
      <c r="B530" s="78"/>
      <c r="C530" s="189"/>
      <c r="D530" s="185"/>
      <c r="E530" s="186"/>
      <c r="F530" s="187"/>
    </row>
    <row r="531" spans="1:6" x14ac:dyDescent="0.2">
      <c r="A531" s="275"/>
      <c r="B531" s="78"/>
      <c r="C531" s="189"/>
      <c r="D531" s="185"/>
      <c r="E531" s="186"/>
      <c r="F531" s="187"/>
    </row>
    <row r="532" spans="1:6" x14ac:dyDescent="0.2">
      <c r="A532" s="275"/>
      <c r="B532" s="78"/>
      <c r="C532" s="189"/>
      <c r="D532" s="185"/>
      <c r="E532" s="186"/>
      <c r="F532" s="187"/>
    </row>
    <row r="533" spans="1:6" x14ac:dyDescent="0.2">
      <c r="A533" s="275"/>
      <c r="B533" s="78"/>
      <c r="C533" s="189"/>
      <c r="D533" s="185"/>
      <c r="E533" s="186"/>
      <c r="F533" s="187"/>
    </row>
    <row r="534" spans="1:6" x14ac:dyDescent="0.2">
      <c r="A534" s="275"/>
      <c r="B534" s="78"/>
      <c r="C534" s="189"/>
      <c r="D534" s="185"/>
      <c r="E534" s="186"/>
      <c r="F534" s="187"/>
    </row>
    <row r="535" spans="1:6" x14ac:dyDescent="0.2">
      <c r="A535" s="275"/>
      <c r="B535" s="78"/>
      <c r="C535" s="189"/>
      <c r="D535" s="185"/>
      <c r="E535" s="186"/>
      <c r="F535" s="187"/>
    </row>
    <row r="536" spans="1:6" x14ac:dyDescent="0.2">
      <c r="A536" s="275"/>
      <c r="B536" s="78"/>
      <c r="C536" s="189"/>
      <c r="D536" s="185"/>
      <c r="E536" s="186"/>
      <c r="F536" s="187"/>
    </row>
    <row r="537" spans="1:6" x14ac:dyDescent="0.2">
      <c r="A537" s="275"/>
      <c r="B537" s="78"/>
      <c r="C537" s="189"/>
      <c r="D537" s="185"/>
      <c r="E537" s="186"/>
      <c r="F537" s="187"/>
    </row>
    <row r="538" spans="1:6" x14ac:dyDescent="0.2">
      <c r="A538" s="275"/>
      <c r="B538" s="78"/>
      <c r="C538" s="189"/>
      <c r="D538" s="185"/>
      <c r="E538" s="186"/>
      <c r="F538" s="187"/>
    </row>
    <row r="539" spans="1:6" x14ac:dyDescent="0.2">
      <c r="A539" s="275"/>
      <c r="B539" s="78"/>
      <c r="C539" s="189"/>
      <c r="D539" s="185"/>
      <c r="E539" s="186"/>
      <c r="F539" s="187"/>
    </row>
    <row r="540" spans="1:6" x14ac:dyDescent="0.2">
      <c r="A540" s="275"/>
      <c r="B540" s="78"/>
      <c r="C540" s="189"/>
      <c r="D540" s="185"/>
      <c r="E540" s="186"/>
      <c r="F540" s="187"/>
    </row>
    <row r="541" spans="1:6" x14ac:dyDescent="0.2">
      <c r="A541" s="275"/>
      <c r="B541" s="78"/>
      <c r="C541" s="189"/>
      <c r="D541" s="185"/>
      <c r="E541" s="186"/>
      <c r="F541" s="187"/>
    </row>
    <row r="542" spans="1:6" x14ac:dyDescent="0.2">
      <c r="A542" s="275"/>
      <c r="B542" s="78"/>
      <c r="C542" s="189"/>
      <c r="D542" s="185"/>
      <c r="E542" s="186"/>
      <c r="F542" s="187"/>
    </row>
    <row r="543" spans="1:6" x14ac:dyDescent="0.2">
      <c r="A543" s="275"/>
      <c r="B543" s="78"/>
      <c r="C543" s="189"/>
      <c r="D543" s="185"/>
      <c r="E543" s="186"/>
      <c r="F543" s="187"/>
    </row>
    <row r="544" spans="1:6" x14ac:dyDescent="0.2">
      <c r="A544" s="275"/>
      <c r="B544" s="78"/>
      <c r="C544" s="189"/>
      <c r="D544" s="185"/>
      <c r="E544" s="186"/>
      <c r="F544" s="187"/>
    </row>
    <row r="545" spans="1:6" x14ac:dyDescent="0.2">
      <c r="A545" s="275"/>
      <c r="B545" s="78"/>
      <c r="C545" s="189"/>
      <c r="D545" s="185"/>
      <c r="E545" s="186"/>
      <c r="F545" s="187"/>
    </row>
    <row r="546" spans="1:6" x14ac:dyDescent="0.2">
      <c r="A546" s="275"/>
      <c r="B546" s="78"/>
      <c r="C546" s="189"/>
      <c r="D546" s="185"/>
      <c r="E546" s="186"/>
      <c r="F546" s="187"/>
    </row>
    <row r="547" spans="1:6" x14ac:dyDescent="0.2">
      <c r="A547" s="275"/>
      <c r="B547" s="78"/>
      <c r="C547" s="189"/>
      <c r="D547" s="185"/>
      <c r="E547" s="186"/>
      <c r="F547" s="187"/>
    </row>
    <row r="548" spans="1:6" x14ac:dyDescent="0.2">
      <c r="A548" s="275"/>
      <c r="B548" s="78"/>
      <c r="C548" s="189"/>
      <c r="D548" s="185"/>
      <c r="E548" s="186"/>
      <c r="F548" s="187"/>
    </row>
    <row r="549" spans="1:6" x14ac:dyDescent="0.2">
      <c r="A549" s="275"/>
      <c r="B549" s="78"/>
      <c r="C549" s="189"/>
      <c r="D549" s="185"/>
      <c r="E549" s="186"/>
      <c r="F549" s="187"/>
    </row>
    <row r="550" spans="1:6" x14ac:dyDescent="0.2">
      <c r="A550" s="275"/>
      <c r="B550" s="78"/>
      <c r="C550" s="189"/>
      <c r="D550" s="185"/>
      <c r="E550" s="186"/>
      <c r="F550" s="187"/>
    </row>
    <row r="551" spans="1:6" x14ac:dyDescent="0.2">
      <c r="A551" s="275"/>
      <c r="B551" s="78"/>
      <c r="C551" s="189"/>
      <c r="D551" s="185"/>
      <c r="E551" s="186"/>
      <c r="F551" s="187"/>
    </row>
    <row r="552" spans="1:6" x14ac:dyDescent="0.2">
      <c r="A552" s="275"/>
      <c r="B552" s="78"/>
      <c r="C552" s="189"/>
      <c r="D552" s="185"/>
      <c r="E552" s="186"/>
      <c r="F552" s="187"/>
    </row>
    <row r="553" spans="1:6" x14ac:dyDescent="0.2">
      <c r="A553" s="275"/>
      <c r="B553" s="78"/>
      <c r="C553" s="189"/>
      <c r="D553" s="185"/>
      <c r="E553" s="186"/>
      <c r="F553" s="187"/>
    </row>
    <row r="554" spans="1:6" x14ac:dyDescent="0.2">
      <c r="A554" s="275"/>
      <c r="B554" s="78"/>
      <c r="C554" s="189"/>
      <c r="D554" s="185"/>
      <c r="E554" s="186"/>
      <c r="F554" s="187"/>
    </row>
    <row r="555" spans="1:6" x14ac:dyDescent="0.2">
      <c r="A555" s="275"/>
      <c r="B555" s="78"/>
      <c r="C555" s="189"/>
      <c r="D555" s="185"/>
      <c r="E555" s="186"/>
      <c r="F555" s="187"/>
    </row>
    <row r="556" spans="1:6" x14ac:dyDescent="0.2">
      <c r="A556" s="275"/>
      <c r="B556" s="78"/>
      <c r="C556" s="189"/>
      <c r="D556" s="185"/>
      <c r="E556" s="186"/>
      <c r="F556" s="187"/>
    </row>
    <row r="557" spans="1:6" x14ac:dyDescent="0.2">
      <c r="A557" s="275"/>
      <c r="B557" s="78"/>
      <c r="C557" s="189"/>
      <c r="D557" s="185"/>
      <c r="E557" s="186"/>
      <c r="F557" s="187"/>
    </row>
    <row r="558" spans="1:6" x14ac:dyDescent="0.2">
      <c r="A558" s="275"/>
      <c r="B558" s="78"/>
      <c r="C558" s="189"/>
      <c r="D558" s="185"/>
      <c r="E558" s="186"/>
      <c r="F558" s="187"/>
    </row>
    <row r="559" spans="1:6" x14ac:dyDescent="0.2">
      <c r="A559" s="275"/>
      <c r="B559" s="78"/>
      <c r="C559" s="189"/>
      <c r="D559" s="185"/>
      <c r="E559" s="186"/>
      <c r="F559" s="187"/>
    </row>
    <row r="560" spans="1:6" x14ac:dyDescent="0.2">
      <c r="A560" s="275"/>
      <c r="B560" s="78"/>
      <c r="C560" s="189"/>
      <c r="D560" s="185"/>
      <c r="E560" s="186"/>
      <c r="F560" s="187"/>
    </row>
    <row r="561" spans="1:6" x14ac:dyDescent="0.2">
      <c r="A561" s="275"/>
      <c r="B561" s="78"/>
      <c r="C561" s="189"/>
      <c r="D561" s="185"/>
      <c r="E561" s="186"/>
      <c r="F561" s="187"/>
    </row>
    <row r="562" spans="1:6" x14ac:dyDescent="0.2">
      <c r="A562" s="275"/>
      <c r="B562" s="78"/>
      <c r="C562" s="189"/>
      <c r="D562" s="185"/>
      <c r="E562" s="186"/>
      <c r="F562" s="187"/>
    </row>
    <row r="563" spans="1:6" x14ac:dyDescent="0.2">
      <c r="A563" s="275"/>
      <c r="B563" s="78"/>
      <c r="C563" s="189"/>
      <c r="D563" s="185"/>
      <c r="E563" s="186"/>
      <c r="F563" s="187"/>
    </row>
    <row r="564" spans="1:6" x14ac:dyDescent="0.2">
      <c r="A564" s="275"/>
      <c r="B564" s="78"/>
      <c r="C564" s="189"/>
      <c r="D564" s="185"/>
      <c r="E564" s="186"/>
      <c r="F564" s="187"/>
    </row>
    <row r="565" spans="1:6" x14ac:dyDescent="0.2">
      <c r="A565" s="275"/>
      <c r="B565" s="78"/>
      <c r="C565" s="189"/>
      <c r="D565" s="185"/>
      <c r="E565" s="186"/>
      <c r="F565" s="187"/>
    </row>
    <row r="566" spans="1:6" x14ac:dyDescent="0.2">
      <c r="A566" s="275"/>
      <c r="B566" s="78"/>
      <c r="C566" s="189"/>
      <c r="D566" s="185"/>
      <c r="E566" s="186"/>
      <c r="F566" s="187"/>
    </row>
    <row r="567" spans="1:6" x14ac:dyDescent="0.2">
      <c r="A567" s="275"/>
      <c r="B567" s="78"/>
      <c r="C567" s="189"/>
      <c r="D567" s="185"/>
      <c r="E567" s="186"/>
      <c r="F567" s="187"/>
    </row>
    <row r="568" spans="1:6" x14ac:dyDescent="0.2">
      <c r="A568" s="275"/>
      <c r="B568" s="78"/>
      <c r="C568" s="189"/>
      <c r="D568" s="185"/>
      <c r="E568" s="186"/>
      <c r="F568" s="187"/>
    </row>
    <row r="569" spans="1:6" x14ac:dyDescent="0.2">
      <c r="A569" s="275"/>
      <c r="B569" s="78"/>
      <c r="C569" s="189"/>
      <c r="D569" s="185"/>
      <c r="E569" s="186"/>
      <c r="F569" s="187"/>
    </row>
    <row r="570" spans="1:6" x14ac:dyDescent="0.2">
      <c r="A570" s="275"/>
      <c r="B570" s="78"/>
      <c r="C570" s="189"/>
      <c r="D570" s="185"/>
      <c r="E570" s="186"/>
      <c r="F570" s="187"/>
    </row>
    <row r="571" spans="1:6" x14ac:dyDescent="0.2">
      <c r="A571" s="275"/>
      <c r="B571" s="78"/>
      <c r="C571" s="189"/>
      <c r="D571" s="185"/>
      <c r="E571" s="186"/>
      <c r="F571" s="187"/>
    </row>
    <row r="572" spans="1:6" x14ac:dyDescent="0.2">
      <c r="A572" s="275"/>
      <c r="B572" s="78"/>
      <c r="C572" s="189"/>
      <c r="D572" s="185"/>
      <c r="E572" s="186"/>
      <c r="F572" s="187"/>
    </row>
    <row r="573" spans="1:6" x14ac:dyDescent="0.2">
      <c r="A573" s="275"/>
      <c r="B573" s="78"/>
      <c r="C573" s="189"/>
      <c r="D573" s="185"/>
      <c r="E573" s="186"/>
      <c r="F573" s="187"/>
    </row>
    <row r="574" spans="1:6" x14ac:dyDescent="0.2">
      <c r="A574" s="275"/>
      <c r="B574" s="78"/>
      <c r="C574" s="189"/>
      <c r="D574" s="185"/>
      <c r="E574" s="186"/>
      <c r="F574" s="187"/>
    </row>
    <row r="575" spans="1:6" x14ac:dyDescent="0.2">
      <c r="A575" s="275"/>
      <c r="B575" s="78"/>
      <c r="C575" s="189"/>
      <c r="D575" s="185"/>
      <c r="E575" s="186"/>
      <c r="F575" s="187"/>
    </row>
    <row r="576" spans="1:6" x14ac:dyDescent="0.2">
      <c r="A576" s="275"/>
      <c r="B576" s="78"/>
      <c r="C576" s="189"/>
      <c r="D576" s="185"/>
      <c r="E576" s="186"/>
      <c r="F576" s="187"/>
    </row>
    <row r="577" spans="1:6" x14ac:dyDescent="0.2">
      <c r="A577" s="275"/>
      <c r="B577" s="78"/>
      <c r="C577" s="189"/>
      <c r="D577" s="185"/>
      <c r="E577" s="186"/>
      <c r="F577" s="187"/>
    </row>
    <row r="578" spans="1:6" x14ac:dyDescent="0.2">
      <c r="A578" s="275"/>
      <c r="B578" s="78"/>
      <c r="C578" s="189"/>
      <c r="D578" s="185"/>
      <c r="E578" s="186"/>
      <c r="F578" s="187"/>
    </row>
    <row r="579" spans="1:6" x14ac:dyDescent="0.2">
      <c r="A579" s="275"/>
      <c r="B579" s="78"/>
      <c r="C579" s="189"/>
      <c r="D579" s="185"/>
      <c r="E579" s="186"/>
      <c r="F579" s="187"/>
    </row>
    <row r="580" spans="1:6" x14ac:dyDescent="0.2">
      <c r="A580" s="275"/>
      <c r="B580" s="78"/>
      <c r="C580" s="189"/>
      <c r="D580" s="185"/>
      <c r="E580" s="186"/>
      <c r="F580" s="187"/>
    </row>
    <row r="581" spans="1:6" x14ac:dyDescent="0.2">
      <c r="A581" s="275"/>
      <c r="B581" s="78"/>
      <c r="C581" s="189"/>
      <c r="D581" s="185"/>
      <c r="E581" s="186"/>
      <c r="F581" s="187"/>
    </row>
    <row r="582" spans="1:6" x14ac:dyDescent="0.2">
      <c r="A582" s="275"/>
      <c r="B582" s="78"/>
      <c r="C582" s="189"/>
      <c r="D582" s="185"/>
      <c r="E582" s="186"/>
      <c r="F582" s="187"/>
    </row>
    <row r="583" spans="1:6" x14ac:dyDescent="0.2">
      <c r="A583" s="275"/>
      <c r="B583" s="78"/>
      <c r="C583" s="189"/>
      <c r="D583" s="185"/>
      <c r="E583" s="186"/>
      <c r="F583" s="187"/>
    </row>
    <row r="584" spans="1:6" x14ac:dyDescent="0.2">
      <c r="A584" s="275"/>
      <c r="B584" s="78"/>
      <c r="C584" s="189"/>
      <c r="D584" s="185"/>
      <c r="E584" s="186"/>
      <c r="F584" s="187"/>
    </row>
    <row r="585" spans="1:6" x14ac:dyDescent="0.2">
      <c r="A585" s="275"/>
      <c r="B585" s="78"/>
      <c r="C585" s="189"/>
      <c r="D585" s="185"/>
      <c r="E585" s="186"/>
      <c r="F585" s="187"/>
    </row>
    <row r="586" spans="1:6" x14ac:dyDescent="0.2">
      <c r="A586" s="275"/>
      <c r="B586" s="78"/>
      <c r="C586" s="189"/>
      <c r="D586" s="185"/>
      <c r="E586" s="186"/>
      <c r="F586" s="187"/>
    </row>
    <row r="587" spans="1:6" x14ac:dyDescent="0.2">
      <c r="A587" s="275"/>
      <c r="B587" s="78"/>
      <c r="C587" s="189"/>
      <c r="D587" s="185"/>
      <c r="E587" s="186"/>
      <c r="F587" s="187"/>
    </row>
    <row r="588" spans="1:6" x14ac:dyDescent="0.2">
      <c r="A588" s="275"/>
      <c r="B588" s="78"/>
      <c r="C588" s="189"/>
      <c r="D588" s="185"/>
      <c r="E588" s="186"/>
      <c r="F588" s="187"/>
    </row>
    <row r="589" spans="1:6" x14ac:dyDescent="0.2">
      <c r="A589" s="275"/>
      <c r="B589" s="78"/>
      <c r="C589" s="189"/>
      <c r="D589" s="185"/>
      <c r="E589" s="186"/>
      <c r="F589" s="187"/>
    </row>
    <row r="590" spans="1:6" x14ac:dyDescent="0.2">
      <c r="A590" s="275"/>
      <c r="B590" s="78"/>
      <c r="C590" s="189"/>
      <c r="D590" s="185"/>
      <c r="E590" s="186"/>
      <c r="F590" s="187"/>
    </row>
    <row r="591" spans="1:6" x14ac:dyDescent="0.2">
      <c r="A591" s="275"/>
      <c r="B591" s="78"/>
      <c r="C591" s="189"/>
      <c r="D591" s="185"/>
      <c r="E591" s="186"/>
      <c r="F591" s="187"/>
    </row>
    <row r="592" spans="1:6" x14ac:dyDescent="0.2">
      <c r="A592" s="275"/>
      <c r="B592" s="78"/>
      <c r="C592" s="189"/>
      <c r="D592" s="185"/>
      <c r="E592" s="186"/>
      <c r="F592" s="187"/>
    </row>
    <row r="593" spans="1:6" x14ac:dyDescent="0.2">
      <c r="A593" s="275"/>
      <c r="B593" s="78"/>
      <c r="C593" s="189"/>
      <c r="D593" s="185"/>
      <c r="E593" s="186"/>
      <c r="F593" s="187"/>
    </row>
    <row r="594" spans="1:6" x14ac:dyDescent="0.2">
      <c r="A594" s="275"/>
      <c r="B594" s="78"/>
      <c r="C594" s="189"/>
      <c r="D594" s="185"/>
      <c r="E594" s="186"/>
      <c r="F594" s="187"/>
    </row>
    <row r="595" spans="1:6" x14ac:dyDescent="0.2">
      <c r="A595" s="275"/>
      <c r="B595" s="78"/>
      <c r="C595" s="189"/>
      <c r="D595" s="185"/>
      <c r="E595" s="186"/>
      <c r="F595" s="187"/>
    </row>
    <row r="596" spans="1:6" x14ac:dyDescent="0.2">
      <c r="A596" s="275"/>
      <c r="B596" s="78"/>
      <c r="C596" s="189"/>
      <c r="D596" s="185"/>
      <c r="E596" s="186"/>
      <c r="F596" s="187"/>
    </row>
    <row r="597" spans="1:6" x14ac:dyDescent="0.2">
      <c r="A597" s="275"/>
      <c r="B597" s="78"/>
      <c r="C597" s="189"/>
      <c r="D597" s="185"/>
      <c r="E597" s="186"/>
      <c r="F597" s="187"/>
    </row>
    <row r="598" spans="1:6" x14ac:dyDescent="0.2">
      <c r="A598" s="275"/>
      <c r="B598" s="78"/>
      <c r="C598" s="189"/>
      <c r="D598" s="185"/>
      <c r="E598" s="186"/>
      <c r="F598" s="187"/>
    </row>
    <row r="599" spans="1:6" x14ac:dyDescent="0.2">
      <c r="A599" s="275"/>
      <c r="B599" s="78"/>
      <c r="C599" s="189"/>
      <c r="D599" s="185"/>
      <c r="E599" s="186"/>
      <c r="F599" s="187"/>
    </row>
    <row r="600" spans="1:6" x14ac:dyDescent="0.2">
      <c r="A600" s="275"/>
      <c r="B600" s="78"/>
      <c r="C600" s="189"/>
      <c r="D600" s="185"/>
      <c r="E600" s="186"/>
      <c r="F600" s="187"/>
    </row>
    <row r="601" spans="1:6" x14ac:dyDescent="0.2">
      <c r="A601" s="275"/>
      <c r="B601" s="78"/>
      <c r="C601" s="189"/>
      <c r="D601" s="185"/>
      <c r="E601" s="186"/>
      <c r="F601" s="187"/>
    </row>
    <row r="602" spans="1:6" x14ac:dyDescent="0.2">
      <c r="A602" s="275"/>
      <c r="B602" s="78"/>
      <c r="C602" s="189"/>
      <c r="D602" s="185"/>
      <c r="E602" s="186"/>
      <c r="F602" s="187"/>
    </row>
    <row r="603" spans="1:6" x14ac:dyDescent="0.2">
      <c r="A603" s="275"/>
      <c r="B603" s="78"/>
      <c r="C603" s="189"/>
      <c r="D603" s="185"/>
      <c r="E603" s="186"/>
      <c r="F603" s="187"/>
    </row>
    <row r="604" spans="1:6" x14ac:dyDescent="0.2">
      <c r="A604" s="275"/>
      <c r="B604" s="78"/>
      <c r="C604" s="189"/>
      <c r="D604" s="185"/>
      <c r="E604" s="186"/>
      <c r="F604" s="187"/>
    </row>
    <row r="605" spans="1:6" x14ac:dyDescent="0.2">
      <c r="A605" s="275"/>
      <c r="B605" s="78"/>
      <c r="C605" s="189"/>
      <c r="D605" s="185"/>
      <c r="E605" s="186"/>
      <c r="F605" s="187"/>
    </row>
    <row r="606" spans="1:6" x14ac:dyDescent="0.2">
      <c r="A606" s="275"/>
      <c r="B606" s="78"/>
      <c r="C606" s="189"/>
      <c r="D606" s="185"/>
      <c r="E606" s="186"/>
      <c r="F606" s="187"/>
    </row>
    <row r="607" spans="1:6" x14ac:dyDescent="0.2">
      <c r="A607" s="275"/>
      <c r="B607" s="78"/>
      <c r="C607" s="189"/>
      <c r="D607" s="185"/>
      <c r="E607" s="186"/>
      <c r="F607" s="187"/>
    </row>
    <row r="608" spans="1:6" x14ac:dyDescent="0.2">
      <c r="A608" s="275"/>
      <c r="B608" s="78"/>
      <c r="C608" s="189"/>
      <c r="D608" s="185"/>
      <c r="E608" s="186"/>
      <c r="F608" s="187"/>
    </row>
    <row r="609" spans="1:6" x14ac:dyDescent="0.2">
      <c r="A609" s="275"/>
      <c r="B609" s="78"/>
      <c r="C609" s="189"/>
      <c r="D609" s="185"/>
      <c r="E609" s="186"/>
      <c r="F609" s="187"/>
    </row>
    <row r="610" spans="1:6" x14ac:dyDescent="0.2">
      <c r="A610" s="275"/>
      <c r="B610" s="78"/>
      <c r="C610" s="189"/>
      <c r="D610" s="185"/>
      <c r="E610" s="186"/>
      <c r="F610" s="187"/>
    </row>
    <row r="611" spans="1:6" x14ac:dyDescent="0.2">
      <c r="A611" s="275"/>
      <c r="B611" s="78"/>
      <c r="C611" s="189"/>
      <c r="D611" s="185"/>
      <c r="E611" s="186"/>
      <c r="F611" s="187"/>
    </row>
    <row r="612" spans="1:6" x14ac:dyDescent="0.2">
      <c r="A612" s="275"/>
      <c r="B612" s="78"/>
      <c r="C612" s="189"/>
      <c r="D612" s="185"/>
      <c r="E612" s="186"/>
      <c r="F612" s="187"/>
    </row>
    <row r="613" spans="1:6" x14ac:dyDescent="0.2">
      <c r="A613" s="275"/>
      <c r="B613" s="78"/>
      <c r="C613" s="189"/>
      <c r="D613" s="185"/>
      <c r="E613" s="186"/>
      <c r="F613" s="187"/>
    </row>
    <row r="614" spans="1:6" x14ac:dyDescent="0.2">
      <c r="A614" s="275"/>
      <c r="B614" s="78"/>
      <c r="C614" s="189"/>
      <c r="D614" s="185"/>
      <c r="E614" s="186"/>
      <c r="F614" s="187"/>
    </row>
    <row r="615" spans="1:6" x14ac:dyDescent="0.2">
      <c r="A615" s="275"/>
      <c r="B615" s="78"/>
      <c r="C615" s="189"/>
      <c r="D615" s="185"/>
      <c r="E615" s="186"/>
      <c r="F615" s="187"/>
    </row>
    <row r="616" spans="1:6" x14ac:dyDescent="0.2">
      <c r="A616" s="275"/>
      <c r="B616" s="78"/>
      <c r="C616" s="189"/>
      <c r="D616" s="185"/>
      <c r="E616" s="186"/>
      <c r="F616" s="187"/>
    </row>
    <row r="617" spans="1:6" x14ac:dyDescent="0.2">
      <c r="A617" s="275"/>
      <c r="B617" s="78"/>
      <c r="C617" s="189"/>
      <c r="D617" s="185"/>
      <c r="E617" s="186"/>
      <c r="F617" s="187"/>
    </row>
    <row r="618" spans="1:6" x14ac:dyDescent="0.2">
      <c r="A618" s="275"/>
      <c r="B618" s="78"/>
      <c r="C618" s="189"/>
      <c r="D618" s="185"/>
      <c r="E618" s="186"/>
      <c r="F618" s="187"/>
    </row>
    <row r="619" spans="1:6" x14ac:dyDescent="0.2">
      <c r="A619" s="275"/>
      <c r="B619" s="78"/>
      <c r="C619" s="189"/>
      <c r="D619" s="185"/>
      <c r="E619" s="186"/>
      <c r="F619" s="187"/>
    </row>
    <row r="620" spans="1:6" x14ac:dyDescent="0.2">
      <c r="A620" s="275"/>
      <c r="B620" s="78"/>
      <c r="C620" s="189"/>
      <c r="D620" s="185"/>
      <c r="E620" s="186"/>
      <c r="F620" s="187"/>
    </row>
    <row r="621" spans="1:6" x14ac:dyDescent="0.2">
      <c r="A621" s="275"/>
      <c r="B621" s="78"/>
      <c r="C621" s="189"/>
      <c r="D621" s="185"/>
      <c r="E621" s="186"/>
      <c r="F621" s="187"/>
    </row>
    <row r="622" spans="1:6" x14ac:dyDescent="0.2">
      <c r="A622" s="275"/>
      <c r="B622" s="78"/>
      <c r="C622" s="189"/>
      <c r="D622" s="185"/>
      <c r="E622" s="186"/>
      <c r="F622" s="187"/>
    </row>
    <row r="623" spans="1:6" x14ac:dyDescent="0.2">
      <c r="A623" s="275"/>
      <c r="B623" s="78"/>
      <c r="C623" s="189"/>
      <c r="D623" s="185"/>
      <c r="E623" s="186"/>
      <c r="F623" s="187"/>
    </row>
    <row r="624" spans="1:6" x14ac:dyDescent="0.2">
      <c r="A624" s="275"/>
      <c r="B624" s="78"/>
      <c r="C624" s="189"/>
      <c r="D624" s="185"/>
      <c r="E624" s="186"/>
      <c r="F624" s="187"/>
    </row>
    <row r="625" spans="1:6" x14ac:dyDescent="0.2">
      <c r="A625" s="275"/>
      <c r="B625" s="78"/>
      <c r="C625" s="189"/>
      <c r="D625" s="185"/>
      <c r="E625" s="186"/>
      <c r="F625" s="187"/>
    </row>
    <row r="626" spans="1:6" x14ac:dyDescent="0.2">
      <c r="A626" s="275"/>
      <c r="B626" s="78"/>
      <c r="C626" s="189"/>
      <c r="D626" s="185"/>
      <c r="E626" s="186"/>
      <c r="F626" s="187"/>
    </row>
    <row r="627" spans="1:6" x14ac:dyDescent="0.2">
      <c r="A627" s="275"/>
      <c r="B627" s="78"/>
      <c r="C627" s="189"/>
      <c r="D627" s="185"/>
      <c r="E627" s="186"/>
      <c r="F627" s="187"/>
    </row>
    <row r="628" spans="1:6" x14ac:dyDescent="0.2">
      <c r="A628" s="275"/>
      <c r="B628" s="78"/>
      <c r="C628" s="189"/>
      <c r="D628" s="185"/>
      <c r="E628" s="186"/>
      <c r="F628" s="187"/>
    </row>
    <row r="629" spans="1:6" x14ac:dyDescent="0.2">
      <c r="A629" s="275"/>
      <c r="B629" s="78"/>
      <c r="C629" s="189"/>
      <c r="D629" s="185"/>
      <c r="E629" s="186"/>
      <c r="F629" s="187"/>
    </row>
    <row r="630" spans="1:6" x14ac:dyDescent="0.2">
      <c r="A630" s="275"/>
      <c r="B630" s="78"/>
      <c r="C630" s="189"/>
      <c r="D630" s="185"/>
      <c r="E630" s="186"/>
      <c r="F630" s="187"/>
    </row>
    <row r="631" spans="1:6" x14ac:dyDescent="0.2">
      <c r="A631" s="275"/>
      <c r="B631" s="78"/>
      <c r="C631" s="189"/>
      <c r="D631" s="185"/>
      <c r="E631" s="186"/>
      <c r="F631" s="187"/>
    </row>
    <row r="632" spans="1:6" x14ac:dyDescent="0.2">
      <c r="A632" s="275"/>
      <c r="B632" s="78"/>
      <c r="C632" s="189"/>
      <c r="D632" s="185"/>
      <c r="E632" s="186"/>
      <c r="F632" s="187"/>
    </row>
    <row r="633" spans="1:6" x14ac:dyDescent="0.2">
      <c r="A633" s="275"/>
      <c r="B633" s="78"/>
      <c r="C633" s="189"/>
      <c r="D633" s="185"/>
      <c r="E633" s="186"/>
      <c r="F633" s="187"/>
    </row>
    <row r="634" spans="1:6" x14ac:dyDescent="0.2">
      <c r="A634" s="275"/>
      <c r="B634" s="78"/>
      <c r="C634" s="189"/>
      <c r="D634" s="185"/>
      <c r="E634" s="186"/>
      <c r="F634" s="187"/>
    </row>
    <row r="635" spans="1:6" x14ac:dyDescent="0.2">
      <c r="A635" s="275"/>
      <c r="B635" s="78"/>
      <c r="C635" s="189"/>
      <c r="D635" s="185"/>
      <c r="E635" s="186"/>
      <c r="F635" s="187"/>
    </row>
    <row r="636" spans="1:6" x14ac:dyDescent="0.2">
      <c r="A636" s="275"/>
      <c r="B636" s="78"/>
      <c r="C636" s="189"/>
      <c r="D636" s="185"/>
      <c r="E636" s="186"/>
      <c r="F636" s="187"/>
    </row>
    <row r="637" spans="1:6" x14ac:dyDescent="0.2">
      <c r="A637" s="275"/>
      <c r="B637" s="78"/>
      <c r="C637" s="189"/>
      <c r="D637" s="185"/>
      <c r="E637" s="186"/>
      <c r="F637" s="187"/>
    </row>
    <row r="638" spans="1:6" x14ac:dyDescent="0.2">
      <c r="A638" s="275"/>
      <c r="B638" s="78"/>
      <c r="C638" s="189"/>
      <c r="D638" s="185"/>
      <c r="E638" s="186"/>
      <c r="F638" s="187"/>
    </row>
    <row r="639" spans="1:6" x14ac:dyDescent="0.2">
      <c r="A639" s="275"/>
      <c r="B639" s="78"/>
      <c r="C639" s="189"/>
      <c r="D639" s="185"/>
      <c r="E639" s="186"/>
      <c r="F639" s="187"/>
    </row>
    <row r="640" spans="1:6" x14ac:dyDescent="0.2">
      <c r="A640" s="275"/>
      <c r="B640" s="78"/>
      <c r="C640" s="189"/>
      <c r="D640" s="185"/>
      <c r="E640" s="186"/>
      <c r="F640" s="187"/>
    </row>
    <row r="641" spans="1:6" x14ac:dyDescent="0.2">
      <c r="A641" s="275"/>
      <c r="B641" s="78"/>
      <c r="C641" s="189"/>
      <c r="D641" s="185"/>
      <c r="E641" s="186"/>
      <c r="F641" s="187"/>
    </row>
    <row r="642" spans="1:6" x14ac:dyDescent="0.2">
      <c r="A642" s="275"/>
      <c r="B642" s="78"/>
      <c r="C642" s="189"/>
      <c r="D642" s="185"/>
      <c r="E642" s="186"/>
      <c r="F642" s="187"/>
    </row>
    <row r="643" spans="1:6" x14ac:dyDescent="0.2">
      <c r="A643" s="275"/>
      <c r="B643" s="78"/>
      <c r="C643" s="189"/>
      <c r="D643" s="185"/>
      <c r="E643" s="186"/>
      <c r="F643" s="187"/>
    </row>
    <row r="644" spans="1:6" x14ac:dyDescent="0.2">
      <c r="A644" s="275"/>
      <c r="B644" s="78"/>
      <c r="C644" s="189"/>
      <c r="D644" s="185"/>
      <c r="E644" s="186"/>
      <c r="F644" s="187"/>
    </row>
    <row r="645" spans="1:6" x14ac:dyDescent="0.2">
      <c r="A645" s="275"/>
      <c r="B645" s="78"/>
      <c r="C645" s="189"/>
      <c r="D645" s="185"/>
      <c r="E645" s="186"/>
      <c r="F645" s="187"/>
    </row>
    <row r="646" spans="1:6" x14ac:dyDescent="0.2">
      <c r="A646" s="275"/>
      <c r="B646" s="78"/>
      <c r="C646" s="189"/>
      <c r="D646" s="185"/>
      <c r="E646" s="186"/>
      <c r="F646" s="187"/>
    </row>
    <row r="647" spans="1:6" x14ac:dyDescent="0.2">
      <c r="A647" s="275"/>
      <c r="B647" s="78"/>
      <c r="C647" s="189"/>
      <c r="D647" s="185"/>
      <c r="E647" s="186"/>
      <c r="F647" s="187"/>
    </row>
    <row r="648" spans="1:6" x14ac:dyDescent="0.2">
      <c r="A648" s="275"/>
      <c r="B648" s="78"/>
      <c r="C648" s="189"/>
      <c r="D648" s="185"/>
      <c r="E648" s="186"/>
      <c r="F648" s="187"/>
    </row>
    <row r="649" spans="1:6" x14ac:dyDescent="0.2">
      <c r="A649" s="275"/>
      <c r="B649" s="78"/>
      <c r="C649" s="189"/>
      <c r="D649" s="185"/>
      <c r="E649" s="186"/>
      <c r="F649" s="187"/>
    </row>
    <row r="650" spans="1:6" x14ac:dyDescent="0.2">
      <c r="A650" s="275"/>
      <c r="B650" s="78"/>
      <c r="C650" s="189"/>
      <c r="D650" s="185"/>
      <c r="E650" s="186"/>
      <c r="F650" s="187"/>
    </row>
    <row r="651" spans="1:6" x14ac:dyDescent="0.2">
      <c r="A651" s="275"/>
      <c r="B651" s="78"/>
      <c r="C651" s="189"/>
      <c r="D651" s="185"/>
      <c r="E651" s="186"/>
      <c r="F651" s="187"/>
    </row>
    <row r="652" spans="1:6" x14ac:dyDescent="0.2">
      <c r="A652" s="275"/>
      <c r="B652" s="78"/>
      <c r="C652" s="189"/>
      <c r="D652" s="185"/>
      <c r="E652" s="186"/>
      <c r="F652" s="187"/>
    </row>
    <row r="653" spans="1:6" x14ac:dyDescent="0.2">
      <c r="A653" s="275"/>
      <c r="B653" s="78"/>
      <c r="C653" s="189"/>
      <c r="D653" s="185"/>
      <c r="E653" s="186"/>
      <c r="F653" s="187"/>
    </row>
    <row r="654" spans="1:6" x14ac:dyDescent="0.2">
      <c r="A654" s="275"/>
      <c r="B654" s="78"/>
      <c r="C654" s="189"/>
      <c r="D654" s="185"/>
      <c r="E654" s="186"/>
      <c r="F654" s="187"/>
    </row>
    <row r="655" spans="1:6" x14ac:dyDescent="0.2">
      <c r="A655" s="275"/>
      <c r="B655" s="78"/>
      <c r="C655" s="189"/>
      <c r="D655" s="185"/>
      <c r="E655" s="186"/>
      <c r="F655" s="187"/>
    </row>
    <row r="656" spans="1:6" x14ac:dyDescent="0.2">
      <c r="A656" s="275"/>
      <c r="B656" s="78"/>
      <c r="C656" s="189"/>
      <c r="D656" s="185"/>
      <c r="E656" s="186"/>
      <c r="F656" s="187"/>
    </row>
    <row r="657" spans="1:6" x14ac:dyDescent="0.2">
      <c r="A657" s="275"/>
      <c r="B657" s="78"/>
      <c r="C657" s="189"/>
      <c r="D657" s="185"/>
      <c r="E657" s="186"/>
      <c r="F657" s="187"/>
    </row>
    <row r="658" spans="1:6" x14ac:dyDescent="0.2">
      <c r="A658" s="275"/>
      <c r="B658" s="78"/>
      <c r="C658" s="189"/>
      <c r="D658" s="185"/>
      <c r="E658" s="186"/>
      <c r="F658" s="187"/>
    </row>
    <row r="659" spans="1:6" x14ac:dyDescent="0.2">
      <c r="A659" s="275"/>
      <c r="B659" s="78"/>
      <c r="C659" s="189"/>
      <c r="D659" s="185"/>
      <c r="E659" s="186"/>
      <c r="F659" s="187"/>
    </row>
    <row r="660" spans="1:6" x14ac:dyDescent="0.2">
      <c r="A660" s="275"/>
      <c r="B660" s="78"/>
      <c r="C660" s="189"/>
      <c r="D660" s="185"/>
      <c r="E660" s="186"/>
      <c r="F660" s="187"/>
    </row>
    <row r="661" spans="1:6" x14ac:dyDescent="0.2">
      <c r="A661" s="275"/>
      <c r="B661" s="78"/>
      <c r="C661" s="189"/>
      <c r="D661" s="185"/>
      <c r="E661" s="186"/>
      <c r="F661" s="187"/>
    </row>
    <row r="662" spans="1:6" x14ac:dyDescent="0.2">
      <c r="A662" s="275"/>
      <c r="B662" s="78"/>
      <c r="C662" s="189"/>
      <c r="D662" s="185"/>
      <c r="E662" s="186"/>
      <c r="F662" s="187"/>
    </row>
    <row r="663" spans="1:6" x14ac:dyDescent="0.2">
      <c r="A663" s="275"/>
      <c r="B663" s="78"/>
      <c r="C663" s="189"/>
      <c r="D663" s="185"/>
      <c r="E663" s="186"/>
      <c r="F663" s="187"/>
    </row>
    <row r="664" spans="1:6" x14ac:dyDescent="0.2">
      <c r="A664" s="275"/>
      <c r="B664" s="78"/>
      <c r="C664" s="189"/>
      <c r="D664" s="185"/>
      <c r="E664" s="186"/>
      <c r="F664" s="187"/>
    </row>
    <row r="665" spans="1:6" x14ac:dyDescent="0.2">
      <c r="A665" s="275"/>
      <c r="B665" s="78"/>
      <c r="C665" s="189"/>
      <c r="D665" s="185"/>
      <c r="E665" s="186"/>
      <c r="F665" s="187"/>
    </row>
    <row r="666" spans="1:6" x14ac:dyDescent="0.2">
      <c r="A666" s="275"/>
      <c r="B666" s="78"/>
      <c r="C666" s="189"/>
      <c r="D666" s="185"/>
      <c r="E666" s="186"/>
      <c r="F666" s="187"/>
    </row>
    <row r="667" spans="1:6" x14ac:dyDescent="0.2">
      <c r="A667" s="275"/>
      <c r="B667" s="78"/>
      <c r="C667" s="189"/>
      <c r="D667" s="185"/>
      <c r="E667" s="186"/>
      <c r="F667" s="187"/>
    </row>
    <row r="668" spans="1:6" x14ac:dyDescent="0.2">
      <c r="A668" s="275"/>
      <c r="B668" s="78"/>
      <c r="C668" s="189"/>
      <c r="D668" s="185"/>
      <c r="E668" s="186"/>
      <c r="F668" s="187"/>
    </row>
    <row r="669" spans="1:6" x14ac:dyDescent="0.2">
      <c r="A669" s="275"/>
      <c r="B669" s="78"/>
      <c r="C669" s="189"/>
      <c r="D669" s="185"/>
      <c r="E669" s="186"/>
      <c r="F669" s="187"/>
    </row>
    <row r="670" spans="1:6" x14ac:dyDescent="0.2">
      <c r="A670" s="275"/>
      <c r="B670" s="78"/>
      <c r="C670" s="189"/>
      <c r="D670" s="185"/>
      <c r="E670" s="186"/>
      <c r="F670" s="187"/>
    </row>
    <row r="671" spans="1:6" x14ac:dyDescent="0.2">
      <c r="A671" s="275"/>
      <c r="B671" s="78"/>
      <c r="C671" s="189"/>
      <c r="D671" s="185"/>
      <c r="E671" s="186"/>
      <c r="F671" s="187"/>
    </row>
    <row r="672" spans="1:6" x14ac:dyDescent="0.2">
      <c r="A672" s="275"/>
      <c r="B672" s="78"/>
      <c r="C672" s="189"/>
      <c r="D672" s="185"/>
      <c r="E672" s="186"/>
      <c r="F672" s="187"/>
    </row>
    <row r="673" spans="1:6" x14ac:dyDescent="0.2">
      <c r="A673" s="275"/>
      <c r="B673" s="78"/>
      <c r="C673" s="189"/>
      <c r="D673" s="185"/>
      <c r="E673" s="186"/>
      <c r="F673" s="187"/>
    </row>
    <row r="674" spans="1:6" x14ac:dyDescent="0.2">
      <c r="A674" s="275"/>
      <c r="B674" s="78"/>
      <c r="C674" s="189"/>
      <c r="D674" s="185"/>
      <c r="E674" s="186"/>
      <c r="F674" s="187"/>
    </row>
    <row r="675" spans="1:6" x14ac:dyDescent="0.2">
      <c r="A675" s="275"/>
      <c r="B675" s="78"/>
      <c r="C675" s="189"/>
      <c r="D675" s="185"/>
      <c r="E675" s="186"/>
      <c r="F675" s="187"/>
    </row>
    <row r="676" spans="1:6" x14ac:dyDescent="0.2">
      <c r="A676" s="275"/>
      <c r="B676" s="78"/>
      <c r="C676" s="189"/>
      <c r="D676" s="185"/>
      <c r="E676" s="186"/>
      <c r="F676" s="187"/>
    </row>
    <row r="677" spans="1:6" x14ac:dyDescent="0.2">
      <c r="A677" s="275"/>
      <c r="B677" s="78"/>
      <c r="C677" s="189"/>
      <c r="D677" s="185"/>
      <c r="E677" s="186"/>
      <c r="F677" s="187"/>
    </row>
    <row r="678" spans="1:6" x14ac:dyDescent="0.2">
      <c r="A678" s="275"/>
      <c r="B678" s="78"/>
      <c r="C678" s="189"/>
      <c r="D678" s="185"/>
      <c r="E678" s="186"/>
      <c r="F678" s="187"/>
    </row>
    <row r="679" spans="1:6" x14ac:dyDescent="0.2">
      <c r="A679" s="275"/>
      <c r="B679" s="78"/>
      <c r="C679" s="189"/>
      <c r="D679" s="185"/>
      <c r="E679" s="186"/>
      <c r="F679" s="187"/>
    </row>
    <row r="680" spans="1:6" x14ac:dyDescent="0.2">
      <c r="A680" s="275"/>
      <c r="B680" s="78"/>
      <c r="C680" s="189"/>
      <c r="D680" s="185"/>
      <c r="E680" s="186"/>
      <c r="F680" s="187"/>
    </row>
    <row r="681" spans="1:6" x14ac:dyDescent="0.2">
      <c r="A681" s="275"/>
      <c r="B681" s="78"/>
      <c r="C681" s="189"/>
      <c r="D681" s="185"/>
      <c r="E681" s="186"/>
      <c r="F681" s="187"/>
    </row>
    <row r="682" spans="1:6" x14ac:dyDescent="0.2">
      <c r="A682" s="275"/>
      <c r="B682" s="78"/>
      <c r="C682" s="189"/>
      <c r="D682" s="185"/>
      <c r="E682" s="186"/>
      <c r="F682" s="187"/>
    </row>
    <row r="683" spans="1:6" x14ac:dyDescent="0.2">
      <c r="A683" s="275"/>
      <c r="B683" s="78"/>
      <c r="C683" s="189"/>
      <c r="D683" s="185"/>
      <c r="E683" s="186"/>
      <c r="F683" s="187"/>
    </row>
    <row r="684" spans="1:6" x14ac:dyDescent="0.2">
      <c r="A684" s="275"/>
      <c r="B684" s="78"/>
      <c r="C684" s="189"/>
      <c r="D684" s="185"/>
      <c r="E684" s="186"/>
      <c r="F684" s="187"/>
    </row>
    <row r="685" spans="1:6" x14ac:dyDescent="0.2">
      <c r="A685" s="275"/>
      <c r="B685" s="78"/>
      <c r="C685" s="189"/>
      <c r="D685" s="185"/>
      <c r="E685" s="186"/>
      <c r="F685" s="187"/>
    </row>
    <row r="686" spans="1:6" x14ac:dyDescent="0.2">
      <c r="A686" s="275"/>
      <c r="B686" s="78"/>
      <c r="C686" s="189"/>
      <c r="D686" s="185"/>
      <c r="E686" s="186"/>
      <c r="F686" s="187"/>
    </row>
    <row r="687" spans="1:6" x14ac:dyDescent="0.2">
      <c r="A687" s="275"/>
      <c r="B687" s="78"/>
      <c r="C687" s="189"/>
      <c r="D687" s="185"/>
      <c r="E687" s="186"/>
      <c r="F687" s="187"/>
    </row>
    <row r="688" spans="1:6" x14ac:dyDescent="0.2">
      <c r="A688" s="275"/>
      <c r="B688" s="78"/>
      <c r="C688" s="189"/>
      <c r="D688" s="185"/>
      <c r="E688" s="186"/>
      <c r="F688" s="187"/>
    </row>
    <row r="689" spans="1:6" x14ac:dyDescent="0.2">
      <c r="A689" s="275"/>
      <c r="B689" s="78"/>
      <c r="C689" s="189"/>
      <c r="D689" s="185"/>
      <c r="E689" s="186"/>
      <c r="F689" s="187"/>
    </row>
    <row r="690" spans="1:6" x14ac:dyDescent="0.2">
      <c r="A690" s="275"/>
      <c r="B690" s="78"/>
      <c r="C690" s="189"/>
      <c r="D690" s="185"/>
      <c r="E690" s="186"/>
      <c r="F690" s="187"/>
    </row>
    <row r="691" spans="1:6" x14ac:dyDescent="0.2">
      <c r="A691" s="275"/>
      <c r="B691" s="78"/>
      <c r="C691" s="189"/>
      <c r="D691" s="185"/>
      <c r="E691" s="186"/>
      <c r="F691" s="187"/>
    </row>
    <row r="692" spans="1:6" x14ac:dyDescent="0.2">
      <c r="A692" s="275"/>
      <c r="B692" s="78"/>
      <c r="C692" s="189"/>
      <c r="D692" s="185"/>
      <c r="E692" s="186"/>
      <c r="F692" s="187"/>
    </row>
    <row r="693" spans="1:6" x14ac:dyDescent="0.2">
      <c r="A693" s="275"/>
      <c r="B693" s="78"/>
      <c r="C693" s="189"/>
      <c r="D693" s="185"/>
      <c r="E693" s="186"/>
      <c r="F693" s="187"/>
    </row>
    <row r="694" spans="1:6" x14ac:dyDescent="0.2">
      <c r="A694" s="275"/>
      <c r="B694" s="78"/>
      <c r="C694" s="189"/>
      <c r="D694" s="185"/>
      <c r="E694" s="186"/>
      <c r="F694" s="187"/>
    </row>
    <row r="695" spans="1:6" x14ac:dyDescent="0.2">
      <c r="A695" s="275"/>
      <c r="B695" s="78"/>
      <c r="C695" s="189"/>
      <c r="D695" s="185"/>
      <c r="E695" s="186"/>
      <c r="F695" s="187"/>
    </row>
    <row r="696" spans="1:6" x14ac:dyDescent="0.2">
      <c r="A696" s="275"/>
      <c r="B696" s="78"/>
      <c r="C696" s="189"/>
      <c r="D696" s="185"/>
      <c r="E696" s="186"/>
      <c r="F696" s="187"/>
    </row>
    <row r="697" spans="1:6" x14ac:dyDescent="0.2">
      <c r="A697" s="275"/>
      <c r="B697" s="78"/>
      <c r="C697" s="189"/>
      <c r="D697" s="185"/>
      <c r="E697" s="186"/>
      <c r="F697" s="187"/>
    </row>
    <row r="698" spans="1:6" x14ac:dyDescent="0.2">
      <c r="A698" s="275"/>
      <c r="B698" s="78"/>
      <c r="C698" s="189"/>
      <c r="D698" s="185"/>
      <c r="E698" s="186"/>
      <c r="F698" s="187"/>
    </row>
    <row r="699" spans="1:6" x14ac:dyDescent="0.2">
      <c r="A699" s="275"/>
      <c r="B699" s="78"/>
      <c r="C699" s="189"/>
      <c r="D699" s="185"/>
      <c r="E699" s="186"/>
      <c r="F699" s="187"/>
    </row>
    <row r="700" spans="1:6" x14ac:dyDescent="0.2">
      <c r="A700" s="275"/>
      <c r="B700" s="78"/>
      <c r="C700" s="189"/>
      <c r="D700" s="185"/>
      <c r="E700" s="186"/>
      <c r="F700" s="187"/>
    </row>
    <row r="701" spans="1:6" x14ac:dyDescent="0.2">
      <c r="A701" s="275"/>
      <c r="B701" s="78"/>
      <c r="C701" s="189"/>
      <c r="D701" s="185"/>
      <c r="E701" s="186"/>
      <c r="F701" s="187"/>
    </row>
    <row r="702" spans="1:6" x14ac:dyDescent="0.2">
      <c r="A702" s="275"/>
      <c r="B702" s="78"/>
      <c r="C702" s="189"/>
      <c r="D702" s="185"/>
      <c r="E702" s="186"/>
      <c r="F702" s="187"/>
    </row>
    <row r="703" spans="1:6" x14ac:dyDescent="0.2">
      <c r="A703" s="275"/>
      <c r="B703" s="78"/>
      <c r="C703" s="189"/>
      <c r="D703" s="185"/>
      <c r="E703" s="186"/>
      <c r="F703" s="187"/>
    </row>
    <row r="704" spans="1:6" x14ac:dyDescent="0.2">
      <c r="A704" s="275"/>
      <c r="B704" s="78"/>
      <c r="C704" s="189"/>
      <c r="D704" s="185"/>
      <c r="E704" s="186"/>
      <c r="F704" s="187"/>
    </row>
    <row r="705" spans="1:6" x14ac:dyDescent="0.2">
      <c r="A705" s="275"/>
      <c r="B705" s="78"/>
      <c r="C705" s="189"/>
      <c r="D705" s="185"/>
      <c r="E705" s="186"/>
      <c r="F705" s="187"/>
    </row>
    <row r="706" spans="1:6" x14ac:dyDescent="0.2">
      <c r="A706" s="275"/>
      <c r="B706" s="78"/>
      <c r="C706" s="189"/>
      <c r="D706" s="185"/>
      <c r="E706" s="186"/>
      <c r="F706" s="187"/>
    </row>
    <row r="707" spans="1:6" x14ac:dyDescent="0.2">
      <c r="A707" s="275"/>
      <c r="B707" s="78"/>
      <c r="C707" s="189"/>
      <c r="D707" s="185"/>
      <c r="E707" s="186"/>
      <c r="F707" s="187"/>
    </row>
    <row r="708" spans="1:6" x14ac:dyDescent="0.2">
      <c r="A708" s="275"/>
      <c r="B708" s="78"/>
      <c r="C708" s="189"/>
      <c r="D708" s="185"/>
      <c r="E708" s="186"/>
      <c r="F708" s="187"/>
    </row>
    <row r="709" spans="1:6" x14ac:dyDescent="0.2">
      <c r="A709" s="275"/>
      <c r="B709" s="78"/>
      <c r="C709" s="189"/>
      <c r="D709" s="185"/>
      <c r="E709" s="186"/>
      <c r="F709" s="187"/>
    </row>
    <row r="710" spans="1:6" x14ac:dyDescent="0.2">
      <c r="A710" s="275"/>
      <c r="B710" s="78"/>
      <c r="C710" s="189"/>
      <c r="D710" s="185"/>
      <c r="E710" s="186"/>
      <c r="F710" s="187"/>
    </row>
    <row r="711" spans="1:6" x14ac:dyDescent="0.2">
      <c r="A711" s="275"/>
      <c r="B711" s="78"/>
      <c r="C711" s="189"/>
      <c r="D711" s="185"/>
      <c r="E711" s="186"/>
      <c r="F711" s="187"/>
    </row>
    <row r="712" spans="1:6" x14ac:dyDescent="0.2">
      <c r="A712" s="275"/>
      <c r="B712" s="78"/>
      <c r="C712" s="189"/>
      <c r="D712" s="185"/>
      <c r="E712" s="186"/>
      <c r="F712" s="187"/>
    </row>
    <row r="713" spans="1:6" x14ac:dyDescent="0.2">
      <c r="A713" s="275"/>
      <c r="B713" s="78"/>
      <c r="C713" s="189"/>
      <c r="D713" s="185"/>
      <c r="E713" s="186"/>
      <c r="F713" s="187"/>
    </row>
    <row r="714" spans="1:6" x14ac:dyDescent="0.2">
      <c r="A714" s="275"/>
      <c r="B714" s="78"/>
      <c r="C714" s="189"/>
      <c r="D714" s="185"/>
      <c r="E714" s="186"/>
      <c r="F714" s="187"/>
    </row>
    <row r="715" spans="1:6" x14ac:dyDescent="0.2">
      <c r="A715" s="275"/>
      <c r="B715" s="78"/>
      <c r="C715" s="189"/>
      <c r="D715" s="185"/>
      <c r="E715" s="186"/>
      <c r="F715" s="187"/>
    </row>
    <row r="716" spans="1:6" x14ac:dyDescent="0.2">
      <c r="A716" s="275"/>
      <c r="B716" s="78"/>
      <c r="C716" s="189"/>
      <c r="D716" s="185"/>
      <c r="E716" s="186"/>
      <c r="F716" s="187"/>
    </row>
    <row r="717" spans="1:6" x14ac:dyDescent="0.2">
      <c r="A717" s="275"/>
      <c r="B717" s="78"/>
      <c r="C717" s="189"/>
      <c r="D717" s="185"/>
      <c r="E717" s="186"/>
      <c r="F717" s="187"/>
    </row>
    <row r="718" spans="1:6" x14ac:dyDescent="0.2">
      <c r="A718" s="275"/>
      <c r="B718" s="78"/>
      <c r="C718" s="189"/>
      <c r="D718" s="185"/>
      <c r="E718" s="186"/>
      <c r="F718" s="187"/>
    </row>
    <row r="719" spans="1:6" x14ac:dyDescent="0.2">
      <c r="A719" s="275"/>
      <c r="B719" s="78"/>
      <c r="C719" s="189"/>
      <c r="D719" s="185"/>
      <c r="E719" s="186"/>
      <c r="F719" s="187"/>
    </row>
    <row r="720" spans="1:6" x14ac:dyDescent="0.2">
      <c r="A720" s="275"/>
      <c r="B720" s="78"/>
      <c r="C720" s="189"/>
      <c r="D720" s="185"/>
      <c r="E720" s="186"/>
      <c r="F720" s="187"/>
    </row>
    <row r="721" spans="1:6" x14ac:dyDescent="0.2">
      <c r="A721" s="275"/>
      <c r="B721" s="78"/>
      <c r="C721" s="189"/>
      <c r="D721" s="185"/>
      <c r="E721" s="186"/>
      <c r="F721" s="187"/>
    </row>
    <row r="722" spans="1:6" x14ac:dyDescent="0.2">
      <c r="A722" s="275"/>
      <c r="B722" s="78"/>
      <c r="C722" s="189"/>
      <c r="D722" s="185"/>
      <c r="E722" s="186"/>
      <c r="F722" s="187"/>
    </row>
    <row r="723" spans="1:6" x14ac:dyDescent="0.2">
      <c r="A723" s="275"/>
      <c r="B723" s="78"/>
      <c r="C723" s="189"/>
      <c r="D723" s="185"/>
      <c r="E723" s="186"/>
      <c r="F723" s="187"/>
    </row>
    <row r="724" spans="1:6" x14ac:dyDescent="0.2">
      <c r="A724" s="275"/>
      <c r="B724" s="78"/>
      <c r="C724" s="189"/>
      <c r="D724" s="185"/>
      <c r="E724" s="186"/>
      <c r="F724" s="187"/>
    </row>
    <row r="725" spans="1:6" x14ac:dyDescent="0.2">
      <c r="A725" s="275"/>
      <c r="B725" s="78"/>
      <c r="C725" s="189"/>
      <c r="D725" s="185"/>
      <c r="E725" s="186"/>
      <c r="F725" s="187"/>
    </row>
    <row r="726" spans="1:6" x14ac:dyDescent="0.2">
      <c r="A726" s="275"/>
      <c r="B726" s="78"/>
      <c r="C726" s="189"/>
      <c r="D726" s="185"/>
      <c r="E726" s="186"/>
      <c r="F726" s="187"/>
    </row>
    <row r="727" spans="1:6" x14ac:dyDescent="0.2">
      <c r="A727" s="275"/>
      <c r="B727" s="78"/>
      <c r="C727" s="189"/>
      <c r="D727" s="185"/>
      <c r="E727" s="186"/>
      <c r="F727" s="187"/>
    </row>
    <row r="728" spans="1:6" x14ac:dyDescent="0.2">
      <c r="A728" s="275"/>
      <c r="B728" s="78"/>
      <c r="C728" s="189"/>
      <c r="D728" s="185"/>
      <c r="E728" s="186"/>
      <c r="F728" s="187"/>
    </row>
    <row r="729" spans="1:6" x14ac:dyDescent="0.2">
      <c r="A729" s="275"/>
      <c r="B729" s="78"/>
      <c r="C729" s="189"/>
      <c r="D729" s="185"/>
      <c r="E729" s="186"/>
      <c r="F729" s="187"/>
    </row>
    <row r="730" spans="1:6" x14ac:dyDescent="0.2">
      <c r="A730" s="275"/>
      <c r="B730" s="78"/>
      <c r="C730" s="189"/>
      <c r="D730" s="185"/>
      <c r="E730" s="186"/>
      <c r="F730" s="187"/>
    </row>
    <row r="731" spans="1:6" x14ac:dyDescent="0.2">
      <c r="A731" s="275"/>
      <c r="B731" s="78"/>
      <c r="C731" s="189"/>
      <c r="D731" s="185"/>
      <c r="E731" s="186"/>
      <c r="F731" s="187"/>
    </row>
    <row r="732" spans="1:6" x14ac:dyDescent="0.2">
      <c r="A732" s="275"/>
      <c r="B732" s="78"/>
      <c r="C732" s="189"/>
      <c r="D732" s="185"/>
      <c r="E732" s="186"/>
      <c r="F732" s="187"/>
    </row>
    <row r="733" spans="1:6" x14ac:dyDescent="0.2">
      <c r="A733" s="275"/>
      <c r="B733" s="78"/>
      <c r="C733" s="189"/>
      <c r="D733" s="185"/>
      <c r="E733" s="186"/>
      <c r="F733" s="187"/>
    </row>
    <row r="734" spans="1:6" x14ac:dyDescent="0.2">
      <c r="A734" s="275"/>
      <c r="B734" s="78"/>
      <c r="C734" s="189"/>
      <c r="D734" s="185"/>
      <c r="E734" s="186"/>
      <c r="F734" s="187"/>
    </row>
    <row r="735" spans="1:6" x14ac:dyDescent="0.2">
      <c r="A735" s="275"/>
      <c r="B735" s="78"/>
      <c r="C735" s="189"/>
      <c r="D735" s="185"/>
      <c r="E735" s="186"/>
      <c r="F735" s="187"/>
    </row>
    <row r="736" spans="1:6" x14ac:dyDescent="0.2">
      <c r="A736" s="275"/>
      <c r="B736" s="78"/>
      <c r="C736" s="189"/>
      <c r="D736" s="185"/>
      <c r="E736" s="186"/>
      <c r="F736" s="187"/>
    </row>
    <row r="737" spans="1:6" x14ac:dyDescent="0.2">
      <c r="A737" s="275"/>
      <c r="B737" s="78"/>
      <c r="C737" s="189"/>
      <c r="D737" s="185"/>
      <c r="E737" s="186"/>
      <c r="F737" s="187"/>
    </row>
    <row r="738" spans="1:6" x14ac:dyDescent="0.2">
      <c r="A738" s="275"/>
      <c r="B738" s="78"/>
      <c r="C738" s="189"/>
      <c r="D738" s="185"/>
      <c r="E738" s="186"/>
      <c r="F738" s="187"/>
    </row>
    <row r="739" spans="1:6" x14ac:dyDescent="0.2">
      <c r="A739" s="275"/>
      <c r="B739" s="78"/>
      <c r="C739" s="189"/>
      <c r="D739" s="185"/>
      <c r="E739" s="186"/>
      <c r="F739" s="187"/>
    </row>
    <row r="740" spans="1:6" x14ac:dyDescent="0.2">
      <c r="A740" s="275"/>
      <c r="B740" s="78"/>
      <c r="C740" s="189"/>
      <c r="D740" s="185"/>
      <c r="E740" s="186"/>
      <c r="F740" s="187"/>
    </row>
    <row r="741" spans="1:6" x14ac:dyDescent="0.2">
      <c r="A741" s="275"/>
      <c r="B741" s="78"/>
      <c r="C741" s="189"/>
      <c r="D741" s="185"/>
      <c r="E741" s="186"/>
      <c r="F741" s="187"/>
    </row>
    <row r="742" spans="1:6" x14ac:dyDescent="0.2">
      <c r="A742" s="275"/>
      <c r="B742" s="78"/>
      <c r="C742" s="189"/>
      <c r="D742" s="185"/>
      <c r="E742" s="186"/>
      <c r="F742" s="187"/>
    </row>
    <row r="743" spans="1:6" x14ac:dyDescent="0.2">
      <c r="A743" s="275"/>
      <c r="B743" s="78"/>
      <c r="C743" s="189"/>
      <c r="D743" s="185"/>
      <c r="E743" s="186"/>
      <c r="F743" s="187"/>
    </row>
    <row r="744" spans="1:6" x14ac:dyDescent="0.2">
      <c r="A744" s="275"/>
      <c r="B744" s="78"/>
      <c r="C744" s="189"/>
      <c r="D744" s="185"/>
      <c r="E744" s="186"/>
      <c r="F744" s="187"/>
    </row>
    <row r="745" spans="1:6" x14ac:dyDescent="0.2">
      <c r="A745" s="275"/>
      <c r="B745" s="78"/>
      <c r="C745" s="189"/>
      <c r="D745" s="185"/>
      <c r="E745" s="186"/>
      <c r="F745" s="187"/>
    </row>
    <row r="746" spans="1:6" x14ac:dyDescent="0.2">
      <c r="A746" s="275"/>
      <c r="B746" s="78"/>
      <c r="C746" s="189"/>
      <c r="D746" s="185"/>
      <c r="E746" s="186"/>
      <c r="F746" s="187"/>
    </row>
    <row r="747" spans="1:6" x14ac:dyDescent="0.2">
      <c r="A747" s="275"/>
      <c r="B747" s="78"/>
      <c r="C747" s="189"/>
      <c r="D747" s="185"/>
      <c r="E747" s="186"/>
      <c r="F747" s="187"/>
    </row>
    <row r="748" spans="1:6" x14ac:dyDescent="0.2">
      <c r="A748" s="275"/>
      <c r="B748" s="78"/>
      <c r="C748" s="189"/>
      <c r="D748" s="185"/>
      <c r="E748" s="186"/>
      <c r="F748" s="187"/>
    </row>
    <row r="749" spans="1:6" x14ac:dyDescent="0.2">
      <c r="A749" s="275"/>
      <c r="B749" s="78"/>
      <c r="C749" s="189"/>
      <c r="D749" s="185"/>
      <c r="E749" s="186"/>
      <c r="F749" s="187"/>
    </row>
    <row r="750" spans="1:6" x14ac:dyDescent="0.2">
      <c r="A750" s="275"/>
      <c r="B750" s="78"/>
      <c r="C750" s="189"/>
      <c r="D750" s="185"/>
      <c r="E750" s="186"/>
      <c r="F750" s="187"/>
    </row>
    <row r="751" spans="1:6" x14ac:dyDescent="0.2">
      <c r="A751" s="275"/>
      <c r="B751" s="78"/>
      <c r="C751" s="189"/>
      <c r="D751" s="185"/>
      <c r="E751" s="186"/>
      <c r="F751" s="187"/>
    </row>
    <row r="752" spans="1:6" x14ac:dyDescent="0.2">
      <c r="A752" s="275"/>
      <c r="B752" s="78"/>
      <c r="C752" s="189"/>
      <c r="D752" s="185"/>
      <c r="E752" s="186"/>
      <c r="F752" s="187"/>
    </row>
    <row r="753" spans="1:6" x14ac:dyDescent="0.2">
      <c r="A753" s="275"/>
      <c r="B753" s="78"/>
      <c r="C753" s="189"/>
      <c r="D753" s="185"/>
      <c r="E753" s="186"/>
      <c r="F753" s="187"/>
    </row>
    <row r="754" spans="1:6" x14ac:dyDescent="0.2">
      <c r="A754" s="275"/>
      <c r="B754" s="78"/>
      <c r="C754" s="189"/>
      <c r="D754" s="185"/>
      <c r="E754" s="186"/>
      <c r="F754" s="187"/>
    </row>
    <row r="755" spans="1:6" x14ac:dyDescent="0.2">
      <c r="A755" s="275"/>
      <c r="B755" s="78"/>
      <c r="C755" s="189"/>
      <c r="D755" s="185"/>
      <c r="E755" s="186"/>
      <c r="F755" s="187"/>
    </row>
    <row r="756" spans="1:6" x14ac:dyDescent="0.2">
      <c r="A756" s="275"/>
      <c r="B756" s="78"/>
      <c r="C756" s="189"/>
      <c r="D756" s="185"/>
      <c r="E756" s="186"/>
      <c r="F756" s="187"/>
    </row>
    <row r="757" spans="1:6" x14ac:dyDescent="0.2">
      <c r="A757" s="275"/>
      <c r="B757" s="78"/>
      <c r="C757" s="189"/>
      <c r="D757" s="185"/>
      <c r="E757" s="186"/>
      <c r="F757" s="187"/>
    </row>
    <row r="758" spans="1:6" x14ac:dyDescent="0.2">
      <c r="A758" s="275"/>
      <c r="B758" s="78"/>
      <c r="C758" s="189"/>
      <c r="D758" s="185"/>
      <c r="E758" s="186"/>
      <c r="F758" s="187"/>
    </row>
    <row r="759" spans="1:6" x14ac:dyDescent="0.2">
      <c r="A759" s="275"/>
      <c r="B759" s="78"/>
      <c r="C759" s="189"/>
      <c r="D759" s="185"/>
      <c r="E759" s="186"/>
      <c r="F759" s="187"/>
    </row>
    <row r="760" spans="1:6" x14ac:dyDescent="0.2">
      <c r="A760" s="275"/>
      <c r="B760" s="78"/>
      <c r="C760" s="189"/>
      <c r="D760" s="185"/>
      <c r="E760" s="186"/>
      <c r="F760" s="187"/>
    </row>
    <row r="761" spans="1:6" x14ac:dyDescent="0.2">
      <c r="A761" s="275"/>
      <c r="B761" s="78"/>
      <c r="C761" s="189"/>
      <c r="D761" s="185"/>
      <c r="E761" s="186"/>
      <c r="F761" s="187"/>
    </row>
    <row r="762" spans="1:6" x14ac:dyDescent="0.2">
      <c r="A762" s="275"/>
      <c r="B762" s="78"/>
      <c r="C762" s="189"/>
      <c r="D762" s="185"/>
      <c r="E762" s="186"/>
      <c r="F762" s="187"/>
    </row>
    <row r="763" spans="1:6" x14ac:dyDescent="0.2">
      <c r="A763" s="275"/>
      <c r="B763" s="78"/>
      <c r="C763" s="189"/>
      <c r="D763" s="185"/>
      <c r="E763" s="186"/>
      <c r="F763" s="187"/>
    </row>
    <row r="764" spans="1:6" x14ac:dyDescent="0.2">
      <c r="A764" s="275"/>
      <c r="B764" s="78"/>
      <c r="C764" s="189"/>
      <c r="D764" s="185"/>
      <c r="E764" s="186"/>
      <c r="F764" s="187"/>
    </row>
    <row r="765" spans="1:6" x14ac:dyDescent="0.2">
      <c r="A765" s="275"/>
      <c r="B765" s="78"/>
      <c r="C765" s="189"/>
      <c r="D765" s="185"/>
      <c r="E765" s="186"/>
      <c r="F765" s="187"/>
    </row>
    <row r="766" spans="1:6" x14ac:dyDescent="0.2">
      <c r="A766" s="275"/>
      <c r="B766" s="78"/>
      <c r="C766" s="189"/>
      <c r="D766" s="185"/>
      <c r="E766" s="186"/>
      <c r="F766" s="187"/>
    </row>
    <row r="767" spans="1:6" x14ac:dyDescent="0.2">
      <c r="A767" s="275"/>
      <c r="B767" s="78"/>
      <c r="C767" s="189"/>
      <c r="D767" s="185"/>
      <c r="E767" s="186"/>
      <c r="F767" s="187"/>
    </row>
    <row r="768" spans="1:6" x14ac:dyDescent="0.2">
      <c r="A768" s="275"/>
      <c r="B768" s="78"/>
      <c r="C768" s="189"/>
      <c r="D768" s="185"/>
      <c r="E768" s="186"/>
      <c r="F768" s="187"/>
    </row>
    <row r="769" spans="1:6" x14ac:dyDescent="0.2">
      <c r="A769" s="275"/>
      <c r="B769" s="78"/>
      <c r="C769" s="189"/>
      <c r="D769" s="185"/>
      <c r="E769" s="186"/>
      <c r="F769" s="187"/>
    </row>
    <row r="770" spans="1:6" x14ac:dyDescent="0.2">
      <c r="A770" s="275"/>
      <c r="B770" s="78"/>
      <c r="C770" s="189"/>
      <c r="D770" s="185"/>
      <c r="E770" s="186"/>
      <c r="F770" s="187"/>
    </row>
    <row r="771" spans="1:6" x14ac:dyDescent="0.2">
      <c r="A771" s="275"/>
      <c r="B771" s="78"/>
      <c r="C771" s="189"/>
      <c r="D771" s="185"/>
      <c r="E771" s="186"/>
      <c r="F771" s="187"/>
    </row>
    <row r="772" spans="1:6" x14ac:dyDescent="0.2">
      <c r="A772" s="275"/>
      <c r="B772" s="78"/>
      <c r="C772" s="189"/>
      <c r="D772" s="185"/>
      <c r="E772" s="186"/>
      <c r="F772" s="187"/>
    </row>
    <row r="773" spans="1:6" x14ac:dyDescent="0.2">
      <c r="A773" s="275"/>
      <c r="B773" s="78"/>
      <c r="C773" s="189"/>
      <c r="D773" s="185"/>
      <c r="E773" s="186"/>
      <c r="F773" s="187"/>
    </row>
    <row r="774" spans="1:6" x14ac:dyDescent="0.2">
      <c r="A774" s="275"/>
      <c r="B774" s="78"/>
      <c r="C774" s="189"/>
      <c r="D774" s="185"/>
      <c r="E774" s="186"/>
      <c r="F774" s="187"/>
    </row>
    <row r="775" spans="1:6" x14ac:dyDescent="0.2">
      <c r="A775" s="275"/>
      <c r="B775" s="78"/>
      <c r="C775" s="189"/>
      <c r="D775" s="185"/>
      <c r="E775" s="186"/>
      <c r="F775" s="187"/>
    </row>
    <row r="776" spans="1:6" x14ac:dyDescent="0.2">
      <c r="A776" s="275"/>
      <c r="B776" s="78"/>
      <c r="C776" s="189"/>
      <c r="D776" s="185"/>
      <c r="E776" s="186"/>
      <c r="F776" s="187"/>
    </row>
    <row r="777" spans="1:6" x14ac:dyDescent="0.2">
      <c r="A777" s="275"/>
      <c r="B777" s="78"/>
      <c r="C777" s="189"/>
      <c r="D777" s="185"/>
      <c r="E777" s="186"/>
      <c r="F777" s="187"/>
    </row>
    <row r="778" spans="1:6" x14ac:dyDescent="0.2">
      <c r="A778" s="275"/>
      <c r="B778" s="78"/>
      <c r="C778" s="189"/>
      <c r="D778" s="185"/>
      <c r="E778" s="186"/>
      <c r="F778" s="187"/>
    </row>
    <row r="779" spans="1:6" x14ac:dyDescent="0.2">
      <c r="A779" s="275"/>
      <c r="B779" s="78"/>
      <c r="C779" s="189"/>
      <c r="D779" s="185"/>
      <c r="E779" s="186"/>
      <c r="F779" s="187"/>
    </row>
    <row r="780" spans="1:6" x14ac:dyDescent="0.2">
      <c r="A780" s="275"/>
      <c r="B780" s="78"/>
      <c r="C780" s="189"/>
      <c r="D780" s="185"/>
      <c r="E780" s="186"/>
      <c r="F780" s="187"/>
    </row>
    <row r="781" spans="1:6" x14ac:dyDescent="0.2">
      <c r="A781" s="275"/>
      <c r="B781" s="78"/>
      <c r="C781" s="189"/>
      <c r="D781" s="185"/>
      <c r="E781" s="186"/>
      <c r="F781" s="187"/>
    </row>
    <row r="782" spans="1:6" x14ac:dyDescent="0.2">
      <c r="A782" s="275"/>
      <c r="B782" s="78"/>
      <c r="C782" s="189"/>
      <c r="D782" s="185"/>
      <c r="E782" s="186"/>
      <c r="F782" s="187"/>
    </row>
    <row r="783" spans="1:6" x14ac:dyDescent="0.2">
      <c r="A783" s="275"/>
      <c r="B783" s="78"/>
      <c r="C783" s="189"/>
      <c r="D783" s="185"/>
      <c r="E783" s="186"/>
      <c r="F783" s="187"/>
    </row>
    <row r="784" spans="1:6" x14ac:dyDescent="0.2">
      <c r="A784" s="275"/>
      <c r="B784" s="78"/>
      <c r="C784" s="189"/>
      <c r="D784" s="185"/>
      <c r="E784" s="186"/>
      <c r="F784" s="187"/>
    </row>
    <row r="785" spans="1:6" x14ac:dyDescent="0.2">
      <c r="A785" s="275"/>
      <c r="B785" s="78"/>
      <c r="C785" s="189"/>
      <c r="D785" s="185"/>
      <c r="E785" s="186"/>
      <c r="F785" s="187"/>
    </row>
    <row r="786" spans="1:6" x14ac:dyDescent="0.2">
      <c r="A786" s="275"/>
      <c r="B786" s="78"/>
      <c r="C786" s="189"/>
      <c r="D786" s="185"/>
      <c r="E786" s="186"/>
      <c r="F786" s="187"/>
    </row>
    <row r="787" spans="1:6" x14ac:dyDescent="0.2">
      <c r="A787" s="275"/>
      <c r="B787" s="78"/>
      <c r="C787" s="189"/>
      <c r="D787" s="185"/>
      <c r="E787" s="186"/>
      <c r="F787" s="187"/>
    </row>
    <row r="788" spans="1:6" x14ac:dyDescent="0.2">
      <c r="A788" s="275"/>
      <c r="B788" s="78"/>
      <c r="C788" s="189"/>
      <c r="D788" s="185"/>
      <c r="E788" s="186"/>
      <c r="F788" s="187"/>
    </row>
    <row r="789" spans="1:6" x14ac:dyDescent="0.2">
      <c r="A789" s="275"/>
      <c r="B789" s="78"/>
      <c r="C789" s="189"/>
      <c r="D789" s="185"/>
      <c r="E789" s="186"/>
      <c r="F789" s="187"/>
    </row>
    <row r="790" spans="1:6" x14ac:dyDescent="0.2">
      <c r="A790" s="275"/>
      <c r="B790" s="78"/>
      <c r="C790" s="189"/>
      <c r="D790" s="185"/>
      <c r="E790" s="186"/>
      <c r="F790" s="187"/>
    </row>
    <row r="791" spans="1:6" x14ac:dyDescent="0.2">
      <c r="A791" s="275"/>
      <c r="B791" s="78"/>
      <c r="C791" s="189"/>
      <c r="D791" s="185"/>
      <c r="E791" s="186"/>
      <c r="F791" s="187"/>
    </row>
    <row r="792" spans="1:6" x14ac:dyDescent="0.2">
      <c r="A792" s="275"/>
      <c r="B792" s="78"/>
      <c r="C792" s="189"/>
      <c r="D792" s="185"/>
      <c r="E792" s="186"/>
      <c r="F792" s="187"/>
    </row>
    <row r="793" spans="1:6" x14ac:dyDescent="0.2">
      <c r="A793" s="275"/>
      <c r="B793" s="78"/>
      <c r="C793" s="189"/>
      <c r="D793" s="185"/>
      <c r="E793" s="186"/>
      <c r="F793" s="187"/>
    </row>
    <row r="794" spans="1:6" x14ac:dyDescent="0.2">
      <c r="A794" s="275"/>
      <c r="B794" s="78"/>
      <c r="C794" s="189"/>
      <c r="D794" s="185"/>
      <c r="E794" s="186"/>
      <c r="F794" s="187"/>
    </row>
    <row r="795" spans="1:6" x14ac:dyDescent="0.2">
      <c r="A795" s="275"/>
      <c r="B795" s="78"/>
      <c r="C795" s="189"/>
      <c r="D795" s="185"/>
      <c r="E795" s="186"/>
      <c r="F795" s="187"/>
    </row>
    <row r="796" spans="1:6" x14ac:dyDescent="0.2">
      <c r="A796" s="275"/>
      <c r="B796" s="78"/>
      <c r="C796" s="189"/>
      <c r="D796" s="185"/>
      <c r="E796" s="186"/>
      <c r="F796" s="187"/>
    </row>
    <row r="797" spans="1:6" x14ac:dyDescent="0.2">
      <c r="A797" s="275"/>
      <c r="B797" s="78"/>
      <c r="C797" s="189"/>
      <c r="D797" s="185"/>
      <c r="E797" s="186"/>
      <c r="F797" s="187"/>
    </row>
    <row r="798" spans="1:6" x14ac:dyDescent="0.2">
      <c r="A798" s="275"/>
      <c r="B798" s="78"/>
      <c r="C798" s="189"/>
      <c r="D798" s="185"/>
      <c r="E798" s="186"/>
      <c r="F798" s="187"/>
    </row>
    <row r="799" spans="1:6" x14ac:dyDescent="0.2">
      <c r="A799" s="275"/>
      <c r="B799" s="78"/>
      <c r="C799" s="189"/>
      <c r="D799" s="185"/>
      <c r="E799" s="186"/>
      <c r="F799" s="187"/>
    </row>
    <row r="800" spans="1:6" x14ac:dyDescent="0.2">
      <c r="A800" s="275"/>
      <c r="B800" s="78"/>
      <c r="C800" s="189"/>
      <c r="D800" s="185"/>
      <c r="E800" s="186"/>
      <c r="F800" s="187"/>
    </row>
    <row r="801" spans="1:6" x14ac:dyDescent="0.2">
      <c r="A801" s="275"/>
      <c r="B801" s="78"/>
      <c r="C801" s="189"/>
      <c r="D801" s="185"/>
      <c r="E801" s="186"/>
      <c r="F801" s="187"/>
    </row>
    <row r="802" spans="1:6" x14ac:dyDescent="0.2">
      <c r="A802" s="275"/>
      <c r="B802" s="78"/>
      <c r="C802" s="189"/>
      <c r="D802" s="185"/>
      <c r="E802" s="186"/>
      <c r="F802" s="187"/>
    </row>
    <row r="803" spans="1:6" x14ac:dyDescent="0.2">
      <c r="A803" s="275"/>
      <c r="B803" s="78"/>
      <c r="C803" s="189"/>
      <c r="D803" s="185"/>
      <c r="E803" s="186"/>
      <c r="F803" s="187"/>
    </row>
    <row r="804" spans="1:6" x14ac:dyDescent="0.2">
      <c r="A804" s="275"/>
      <c r="B804" s="78"/>
      <c r="C804" s="189"/>
      <c r="D804" s="185"/>
      <c r="E804" s="186"/>
      <c r="F804" s="187"/>
    </row>
    <row r="805" spans="1:6" x14ac:dyDescent="0.2">
      <c r="A805" s="275"/>
      <c r="B805" s="78"/>
      <c r="C805" s="189"/>
      <c r="D805" s="185"/>
      <c r="E805" s="186"/>
      <c r="F805" s="187"/>
    </row>
    <row r="806" spans="1:6" x14ac:dyDescent="0.2">
      <c r="A806" s="275"/>
      <c r="B806" s="78"/>
      <c r="C806" s="189"/>
      <c r="D806" s="185"/>
      <c r="E806" s="186"/>
      <c r="F806" s="187"/>
    </row>
    <row r="807" spans="1:6" x14ac:dyDescent="0.2">
      <c r="A807" s="275"/>
      <c r="B807" s="78"/>
      <c r="C807" s="189"/>
      <c r="D807" s="185"/>
      <c r="E807" s="186"/>
      <c r="F807" s="187"/>
    </row>
    <row r="808" spans="1:6" x14ac:dyDescent="0.2">
      <c r="A808" s="275"/>
      <c r="B808" s="78"/>
      <c r="C808" s="189"/>
      <c r="D808" s="185"/>
      <c r="E808" s="186"/>
      <c r="F808" s="187"/>
    </row>
    <row r="809" spans="1:6" x14ac:dyDescent="0.2">
      <c r="A809" s="275"/>
      <c r="B809" s="78"/>
      <c r="C809" s="189"/>
      <c r="D809" s="185"/>
      <c r="E809" s="186"/>
      <c r="F809" s="187"/>
    </row>
    <row r="810" spans="1:6" x14ac:dyDescent="0.2">
      <c r="A810" s="275"/>
      <c r="B810" s="78"/>
      <c r="C810" s="189"/>
      <c r="D810" s="185"/>
      <c r="E810" s="186"/>
      <c r="F810" s="187"/>
    </row>
    <row r="811" spans="1:6" x14ac:dyDescent="0.2">
      <c r="A811" s="275"/>
      <c r="B811" s="78"/>
      <c r="C811" s="189"/>
      <c r="D811" s="185"/>
      <c r="E811" s="186"/>
      <c r="F811" s="187"/>
    </row>
    <row r="812" spans="1:6" x14ac:dyDescent="0.2">
      <c r="A812" s="275"/>
      <c r="B812" s="78"/>
      <c r="C812" s="189"/>
      <c r="D812" s="185"/>
      <c r="E812" s="186"/>
      <c r="F812" s="187"/>
    </row>
    <row r="813" spans="1:6" x14ac:dyDescent="0.2">
      <c r="A813" s="275"/>
      <c r="B813" s="78"/>
      <c r="C813" s="189"/>
      <c r="D813" s="185"/>
      <c r="E813" s="186"/>
      <c r="F813" s="187"/>
    </row>
    <row r="814" spans="1:6" x14ac:dyDescent="0.2">
      <c r="A814" s="275"/>
      <c r="B814" s="78"/>
      <c r="C814" s="189"/>
      <c r="D814" s="185"/>
      <c r="E814" s="186"/>
      <c r="F814" s="187"/>
    </row>
    <row r="815" spans="1:6" x14ac:dyDescent="0.2">
      <c r="A815" s="275"/>
      <c r="B815" s="78"/>
      <c r="C815" s="189"/>
      <c r="D815" s="185"/>
      <c r="E815" s="186"/>
      <c r="F815" s="187"/>
    </row>
    <row r="816" spans="1:6" x14ac:dyDescent="0.2">
      <c r="A816" s="275"/>
      <c r="B816" s="78"/>
      <c r="C816" s="189"/>
      <c r="D816" s="185"/>
      <c r="E816" s="186"/>
      <c r="F816" s="187"/>
    </row>
    <row r="817" spans="1:6" x14ac:dyDescent="0.2">
      <c r="A817" s="275"/>
      <c r="B817" s="78"/>
      <c r="C817" s="189"/>
      <c r="D817" s="185"/>
      <c r="E817" s="186"/>
      <c r="F817" s="187"/>
    </row>
    <row r="818" spans="1:6" x14ac:dyDescent="0.2">
      <c r="A818" s="275"/>
      <c r="B818" s="78"/>
      <c r="C818" s="189"/>
      <c r="D818" s="185"/>
      <c r="E818" s="186"/>
      <c r="F818" s="187"/>
    </row>
    <row r="819" spans="1:6" x14ac:dyDescent="0.2">
      <c r="A819" s="275"/>
      <c r="B819" s="78"/>
      <c r="C819" s="189"/>
      <c r="D819" s="185"/>
      <c r="E819" s="186"/>
      <c r="F819" s="187"/>
    </row>
    <row r="820" spans="1:6" x14ac:dyDescent="0.2">
      <c r="A820" s="275"/>
      <c r="B820" s="78"/>
      <c r="C820" s="189"/>
      <c r="D820" s="185"/>
      <c r="E820" s="186"/>
      <c r="F820" s="187"/>
    </row>
    <row r="821" spans="1:6" x14ac:dyDescent="0.2">
      <c r="A821" s="275"/>
      <c r="B821" s="78"/>
      <c r="C821" s="189"/>
      <c r="D821" s="185"/>
      <c r="E821" s="186"/>
      <c r="F821" s="187"/>
    </row>
    <row r="822" spans="1:6" x14ac:dyDescent="0.2">
      <c r="A822" s="275"/>
      <c r="B822" s="78"/>
      <c r="C822" s="189"/>
      <c r="D822" s="185"/>
      <c r="E822" s="186"/>
      <c r="F822" s="187"/>
    </row>
    <row r="823" spans="1:6" x14ac:dyDescent="0.2">
      <c r="A823" s="275"/>
      <c r="B823" s="78"/>
      <c r="C823" s="189"/>
      <c r="D823" s="185"/>
      <c r="E823" s="186"/>
      <c r="F823" s="187"/>
    </row>
    <row r="824" spans="1:6" x14ac:dyDescent="0.2">
      <c r="A824" s="275"/>
      <c r="B824" s="78"/>
      <c r="C824" s="189"/>
      <c r="D824" s="185"/>
      <c r="E824" s="186"/>
      <c r="F824" s="187"/>
    </row>
    <row r="825" spans="1:6" x14ac:dyDescent="0.2">
      <c r="A825" s="275"/>
      <c r="B825" s="78"/>
      <c r="C825" s="189"/>
      <c r="D825" s="185"/>
      <c r="E825" s="186"/>
      <c r="F825" s="187"/>
    </row>
    <row r="826" spans="1:6" x14ac:dyDescent="0.2">
      <c r="A826" s="275"/>
      <c r="B826" s="78"/>
      <c r="C826" s="189"/>
      <c r="D826" s="185"/>
      <c r="E826" s="186"/>
      <c r="F826" s="187"/>
    </row>
    <row r="827" spans="1:6" x14ac:dyDescent="0.2">
      <c r="A827" s="275"/>
      <c r="B827" s="78"/>
      <c r="C827" s="189"/>
      <c r="D827" s="185"/>
      <c r="E827" s="186"/>
      <c r="F827" s="187"/>
    </row>
    <row r="828" spans="1:6" x14ac:dyDescent="0.2">
      <c r="A828" s="275"/>
      <c r="B828" s="78"/>
      <c r="C828" s="189"/>
      <c r="D828" s="185"/>
      <c r="E828" s="186"/>
      <c r="F828" s="187"/>
    </row>
    <row r="829" spans="1:6" x14ac:dyDescent="0.2">
      <c r="A829" s="275"/>
      <c r="B829" s="78"/>
      <c r="C829" s="189"/>
      <c r="D829" s="185"/>
      <c r="E829" s="186"/>
      <c r="F829" s="187"/>
    </row>
    <row r="830" spans="1:6" x14ac:dyDescent="0.2">
      <c r="A830" s="275"/>
      <c r="B830" s="78"/>
      <c r="C830" s="189"/>
      <c r="D830" s="185"/>
      <c r="E830" s="186"/>
      <c r="F830" s="187"/>
    </row>
    <row r="831" spans="1:6" x14ac:dyDescent="0.2">
      <c r="A831" s="275"/>
      <c r="B831" s="78"/>
      <c r="C831" s="189"/>
      <c r="D831" s="185"/>
      <c r="E831" s="186"/>
      <c r="F831" s="187"/>
    </row>
    <row r="832" spans="1:6" x14ac:dyDescent="0.2">
      <c r="A832" s="275"/>
      <c r="B832" s="78"/>
      <c r="C832" s="189"/>
      <c r="D832" s="185"/>
      <c r="E832" s="186"/>
      <c r="F832" s="187"/>
    </row>
    <row r="833" spans="1:6" x14ac:dyDescent="0.2">
      <c r="A833" s="275"/>
      <c r="B833" s="78"/>
      <c r="C833" s="189"/>
      <c r="D833" s="185"/>
      <c r="E833" s="186"/>
      <c r="F833" s="187"/>
    </row>
    <row r="834" spans="1:6" x14ac:dyDescent="0.2">
      <c r="A834" s="275"/>
      <c r="B834" s="78"/>
      <c r="C834" s="189"/>
      <c r="D834" s="185"/>
      <c r="E834" s="186"/>
      <c r="F834" s="187"/>
    </row>
    <row r="835" spans="1:6" x14ac:dyDescent="0.2">
      <c r="A835" s="275"/>
      <c r="B835" s="78"/>
      <c r="C835" s="189"/>
      <c r="D835" s="185"/>
      <c r="E835" s="186"/>
      <c r="F835" s="187"/>
    </row>
    <row r="836" spans="1:6" x14ac:dyDescent="0.2">
      <c r="A836" s="275"/>
      <c r="B836" s="78"/>
      <c r="C836" s="189"/>
      <c r="D836" s="185"/>
      <c r="E836" s="186"/>
      <c r="F836" s="187"/>
    </row>
    <row r="837" spans="1:6" x14ac:dyDescent="0.2">
      <c r="A837" s="275"/>
      <c r="B837" s="78"/>
      <c r="C837" s="189"/>
      <c r="D837" s="185"/>
      <c r="E837" s="186"/>
      <c r="F837" s="187"/>
    </row>
    <row r="838" spans="1:6" x14ac:dyDescent="0.2">
      <c r="A838" s="275"/>
      <c r="B838" s="78"/>
      <c r="C838" s="189"/>
      <c r="D838" s="185"/>
      <c r="E838" s="186"/>
      <c r="F838" s="187"/>
    </row>
    <row r="839" spans="1:6" x14ac:dyDescent="0.2">
      <c r="A839" s="275"/>
      <c r="B839" s="78"/>
      <c r="C839" s="189"/>
      <c r="D839" s="185"/>
      <c r="E839" s="186"/>
      <c r="F839" s="187"/>
    </row>
    <row r="840" spans="1:6" x14ac:dyDescent="0.2">
      <c r="A840" s="275"/>
      <c r="B840" s="78"/>
      <c r="C840" s="189"/>
      <c r="D840" s="185"/>
      <c r="E840" s="186"/>
      <c r="F840" s="187"/>
    </row>
    <row r="841" spans="1:6" x14ac:dyDescent="0.2">
      <c r="A841" s="275"/>
      <c r="B841" s="78"/>
      <c r="C841" s="189"/>
      <c r="D841" s="185"/>
      <c r="E841" s="186"/>
      <c r="F841" s="187"/>
    </row>
    <row r="842" spans="1:6" x14ac:dyDescent="0.2">
      <c r="A842" s="275"/>
      <c r="B842" s="78"/>
      <c r="C842" s="189"/>
      <c r="D842" s="185"/>
      <c r="E842" s="186"/>
      <c r="F842" s="187"/>
    </row>
    <row r="843" spans="1:6" x14ac:dyDescent="0.2">
      <c r="A843" s="275"/>
      <c r="B843" s="78"/>
      <c r="C843" s="189"/>
      <c r="D843" s="185"/>
      <c r="E843" s="186"/>
      <c r="F843" s="187"/>
    </row>
    <row r="844" spans="1:6" x14ac:dyDescent="0.2">
      <c r="A844" s="275"/>
      <c r="B844" s="78"/>
      <c r="C844" s="189"/>
      <c r="D844" s="185"/>
      <c r="E844" s="186"/>
      <c r="F844" s="187"/>
    </row>
    <row r="845" spans="1:6" x14ac:dyDescent="0.2">
      <c r="A845" s="275"/>
      <c r="B845" s="78"/>
      <c r="C845" s="189"/>
      <c r="D845" s="185"/>
      <c r="E845" s="186"/>
      <c r="F845" s="187"/>
    </row>
    <row r="846" spans="1:6" x14ac:dyDescent="0.2">
      <c r="A846" s="275"/>
      <c r="B846" s="78"/>
      <c r="C846" s="189"/>
      <c r="D846" s="185"/>
      <c r="E846" s="186"/>
      <c r="F846" s="187"/>
    </row>
    <row r="847" spans="1:6" x14ac:dyDescent="0.2">
      <c r="A847" s="275"/>
      <c r="B847" s="78"/>
      <c r="C847" s="189"/>
      <c r="D847" s="185"/>
      <c r="E847" s="186"/>
      <c r="F847" s="187"/>
    </row>
    <row r="848" spans="1:6" x14ac:dyDescent="0.2">
      <c r="A848" s="275"/>
      <c r="B848" s="78"/>
      <c r="C848" s="189"/>
      <c r="D848" s="185"/>
      <c r="E848" s="186"/>
      <c r="F848" s="187"/>
    </row>
    <row r="849" spans="1:6" x14ac:dyDescent="0.2">
      <c r="A849" s="275"/>
      <c r="B849" s="78"/>
      <c r="C849" s="189"/>
      <c r="D849" s="185"/>
      <c r="E849" s="186"/>
      <c r="F849" s="187"/>
    </row>
    <row r="850" spans="1:6" x14ac:dyDescent="0.2">
      <c r="A850" s="275"/>
      <c r="B850" s="78"/>
      <c r="C850" s="189"/>
      <c r="D850" s="185"/>
      <c r="E850" s="186"/>
      <c r="F850" s="187"/>
    </row>
    <row r="851" spans="1:6" x14ac:dyDescent="0.2">
      <c r="A851" s="275"/>
      <c r="B851" s="78"/>
      <c r="C851" s="189"/>
      <c r="D851" s="185"/>
      <c r="E851" s="186"/>
      <c r="F851" s="187"/>
    </row>
    <row r="852" spans="1:6" x14ac:dyDescent="0.2">
      <c r="A852" s="275"/>
      <c r="B852" s="78"/>
      <c r="C852" s="189"/>
      <c r="D852" s="185"/>
      <c r="E852" s="186"/>
      <c r="F852" s="187"/>
    </row>
    <row r="853" spans="1:6" x14ac:dyDescent="0.2">
      <c r="A853" s="275"/>
      <c r="B853" s="78"/>
      <c r="C853" s="189"/>
      <c r="D853" s="185"/>
      <c r="E853" s="186"/>
      <c r="F853" s="187"/>
    </row>
    <row r="854" spans="1:6" x14ac:dyDescent="0.2">
      <c r="A854" s="275"/>
      <c r="B854" s="78"/>
      <c r="C854" s="189"/>
      <c r="D854" s="185"/>
      <c r="E854" s="186"/>
      <c r="F854" s="187"/>
    </row>
    <row r="855" spans="1:6" x14ac:dyDescent="0.2">
      <c r="A855" s="275"/>
      <c r="B855" s="78"/>
      <c r="C855" s="189"/>
      <c r="D855" s="185"/>
      <c r="E855" s="186"/>
      <c r="F855" s="187"/>
    </row>
    <row r="856" spans="1:6" x14ac:dyDescent="0.2">
      <c r="A856" s="275"/>
      <c r="B856" s="78"/>
      <c r="C856" s="189"/>
      <c r="D856" s="185"/>
      <c r="E856" s="186"/>
      <c r="F856" s="187"/>
    </row>
    <row r="857" spans="1:6" x14ac:dyDescent="0.2">
      <c r="A857" s="275"/>
      <c r="B857" s="78"/>
      <c r="C857" s="189"/>
      <c r="D857" s="185"/>
      <c r="E857" s="186"/>
      <c r="F857" s="187"/>
    </row>
    <row r="858" spans="1:6" x14ac:dyDescent="0.2">
      <c r="A858" s="275"/>
      <c r="B858" s="78"/>
      <c r="C858" s="189"/>
      <c r="D858" s="185"/>
      <c r="E858" s="186"/>
      <c r="F858" s="187"/>
    </row>
    <row r="859" spans="1:6" x14ac:dyDescent="0.2">
      <c r="A859" s="275"/>
      <c r="B859" s="78"/>
      <c r="C859" s="189"/>
      <c r="D859" s="185"/>
      <c r="E859" s="186"/>
      <c r="F859" s="187"/>
    </row>
    <row r="860" spans="1:6" x14ac:dyDescent="0.2">
      <c r="A860" s="275"/>
      <c r="B860" s="78"/>
      <c r="C860" s="189"/>
      <c r="D860" s="185"/>
      <c r="E860" s="186"/>
      <c r="F860" s="187"/>
    </row>
    <row r="861" spans="1:6" x14ac:dyDescent="0.2">
      <c r="A861" s="275"/>
      <c r="B861" s="78"/>
      <c r="C861" s="189"/>
      <c r="D861" s="185"/>
      <c r="E861" s="186"/>
      <c r="F861" s="187"/>
    </row>
    <row r="862" spans="1:6" x14ac:dyDescent="0.2">
      <c r="A862" s="275"/>
      <c r="B862" s="78"/>
      <c r="C862" s="189"/>
      <c r="D862" s="185"/>
      <c r="E862" s="186"/>
      <c r="F862" s="187"/>
    </row>
    <row r="863" spans="1:6" x14ac:dyDescent="0.2">
      <c r="A863" s="275"/>
      <c r="B863" s="78"/>
      <c r="C863" s="189"/>
      <c r="D863" s="185"/>
      <c r="E863" s="186"/>
      <c r="F863" s="187"/>
    </row>
    <row r="864" spans="1:6" x14ac:dyDescent="0.2">
      <c r="A864" s="275"/>
      <c r="B864" s="78"/>
      <c r="C864" s="189"/>
      <c r="D864" s="185"/>
      <c r="E864" s="186"/>
      <c r="F864" s="187"/>
    </row>
    <row r="865" spans="1:6" x14ac:dyDescent="0.2">
      <c r="A865" s="275"/>
      <c r="B865" s="78"/>
      <c r="C865" s="189"/>
      <c r="D865" s="185"/>
      <c r="E865" s="186"/>
      <c r="F865" s="187"/>
    </row>
    <row r="866" spans="1:6" x14ac:dyDescent="0.2">
      <c r="A866" s="275"/>
      <c r="B866" s="78"/>
      <c r="C866" s="189"/>
      <c r="D866" s="185"/>
      <c r="E866" s="186"/>
      <c r="F866" s="187"/>
    </row>
    <row r="867" spans="1:6" x14ac:dyDescent="0.2">
      <c r="A867" s="275"/>
      <c r="B867" s="78"/>
      <c r="C867" s="189"/>
      <c r="D867" s="185"/>
      <c r="E867" s="186"/>
      <c r="F867" s="187"/>
    </row>
    <row r="868" spans="1:6" x14ac:dyDescent="0.2">
      <c r="A868" s="275"/>
      <c r="B868" s="78"/>
      <c r="C868" s="189"/>
      <c r="D868" s="185"/>
      <c r="E868" s="186"/>
      <c r="F868" s="187"/>
    </row>
    <row r="869" spans="1:6" x14ac:dyDescent="0.2">
      <c r="A869" s="275"/>
      <c r="B869" s="78"/>
      <c r="C869" s="189"/>
      <c r="D869" s="185"/>
      <c r="E869" s="186"/>
      <c r="F869" s="187"/>
    </row>
    <row r="870" spans="1:6" x14ac:dyDescent="0.2">
      <c r="A870" s="275"/>
      <c r="B870" s="78"/>
      <c r="C870" s="189"/>
      <c r="D870" s="185"/>
      <c r="E870" s="186"/>
      <c r="F870" s="187"/>
    </row>
    <row r="871" spans="1:6" x14ac:dyDescent="0.2">
      <c r="A871" s="275"/>
      <c r="B871" s="78"/>
      <c r="C871" s="189"/>
      <c r="D871" s="185"/>
      <c r="E871" s="186"/>
      <c r="F871" s="187"/>
    </row>
    <row r="872" spans="1:6" x14ac:dyDescent="0.2">
      <c r="A872" s="275"/>
      <c r="B872" s="78"/>
      <c r="C872" s="189"/>
      <c r="D872" s="185"/>
      <c r="E872" s="186"/>
      <c r="F872" s="187"/>
    </row>
    <row r="873" spans="1:6" x14ac:dyDescent="0.2">
      <c r="A873" s="275"/>
      <c r="B873" s="78"/>
      <c r="C873" s="189"/>
      <c r="D873" s="185"/>
      <c r="E873" s="186"/>
      <c r="F873" s="187"/>
    </row>
    <row r="874" spans="1:6" x14ac:dyDescent="0.2">
      <c r="A874" s="275"/>
      <c r="B874" s="78"/>
      <c r="C874" s="189"/>
      <c r="D874" s="185"/>
      <c r="E874" s="186"/>
      <c r="F874" s="187"/>
    </row>
    <row r="875" spans="1:6" x14ac:dyDescent="0.2">
      <c r="A875" s="275"/>
      <c r="B875" s="78"/>
      <c r="C875" s="189"/>
      <c r="D875" s="185"/>
      <c r="E875" s="186"/>
      <c r="F875" s="187"/>
    </row>
    <row r="876" spans="1:6" x14ac:dyDescent="0.2">
      <c r="A876" s="275"/>
      <c r="B876" s="78"/>
      <c r="C876" s="189"/>
      <c r="D876" s="185"/>
      <c r="E876" s="186"/>
      <c r="F876" s="187"/>
    </row>
    <row r="877" spans="1:6" x14ac:dyDescent="0.2">
      <c r="A877" s="275"/>
      <c r="B877" s="78"/>
      <c r="C877" s="189"/>
      <c r="D877" s="185"/>
      <c r="E877" s="186"/>
      <c r="F877" s="187"/>
    </row>
    <row r="878" spans="1:6" x14ac:dyDescent="0.2">
      <c r="A878" s="275"/>
      <c r="B878" s="78"/>
      <c r="C878" s="189"/>
      <c r="D878" s="185"/>
      <c r="E878" s="186"/>
      <c r="F878" s="187"/>
    </row>
    <row r="879" spans="1:6" x14ac:dyDescent="0.2">
      <c r="A879" s="275"/>
      <c r="B879" s="78"/>
      <c r="C879" s="189"/>
      <c r="D879" s="185"/>
      <c r="E879" s="186"/>
      <c r="F879" s="187"/>
    </row>
    <row r="880" spans="1:6" x14ac:dyDescent="0.2">
      <c r="A880" s="275"/>
      <c r="B880" s="78"/>
      <c r="C880" s="189"/>
      <c r="D880" s="185"/>
      <c r="E880" s="186"/>
      <c r="F880" s="187"/>
    </row>
    <row r="881" spans="1:6" x14ac:dyDescent="0.2">
      <c r="A881" s="275"/>
      <c r="B881" s="78"/>
      <c r="C881" s="189"/>
      <c r="D881" s="185"/>
      <c r="E881" s="186"/>
      <c r="F881" s="187"/>
    </row>
    <row r="882" spans="1:6" x14ac:dyDescent="0.2">
      <c r="A882" s="275"/>
      <c r="B882" s="78"/>
      <c r="C882" s="189"/>
      <c r="D882" s="185"/>
      <c r="E882" s="186"/>
      <c r="F882" s="187"/>
    </row>
    <row r="883" spans="1:6" x14ac:dyDescent="0.2">
      <c r="A883" s="275"/>
      <c r="B883" s="78"/>
      <c r="C883" s="189"/>
      <c r="D883" s="185"/>
      <c r="E883" s="186"/>
      <c r="F883" s="187"/>
    </row>
    <row r="884" spans="1:6" x14ac:dyDescent="0.2">
      <c r="A884" s="275"/>
      <c r="B884" s="78"/>
      <c r="C884" s="189"/>
      <c r="D884" s="185"/>
      <c r="E884" s="186"/>
      <c r="F884" s="187"/>
    </row>
    <row r="885" spans="1:6" x14ac:dyDescent="0.2">
      <c r="A885" s="275"/>
      <c r="B885" s="78"/>
      <c r="C885" s="189"/>
      <c r="D885" s="185"/>
      <c r="E885" s="186"/>
      <c r="F885" s="187"/>
    </row>
    <row r="886" spans="1:6" x14ac:dyDescent="0.2">
      <c r="A886" s="275"/>
      <c r="B886" s="78"/>
      <c r="C886" s="189"/>
      <c r="D886" s="185"/>
      <c r="E886" s="186"/>
      <c r="F886" s="187"/>
    </row>
    <row r="887" spans="1:6" x14ac:dyDescent="0.2">
      <c r="A887" s="275"/>
      <c r="B887" s="78"/>
      <c r="C887" s="189"/>
      <c r="D887" s="185"/>
      <c r="E887" s="186"/>
      <c r="F887" s="187"/>
    </row>
    <row r="888" spans="1:6" x14ac:dyDescent="0.2">
      <c r="A888" s="275"/>
      <c r="B888" s="78"/>
      <c r="C888" s="189"/>
      <c r="D888" s="185"/>
      <c r="E888" s="186"/>
      <c r="F888" s="187"/>
    </row>
    <row r="889" spans="1:6" x14ac:dyDescent="0.2">
      <c r="A889" s="275"/>
      <c r="B889" s="78"/>
      <c r="C889" s="189"/>
      <c r="D889" s="185"/>
      <c r="E889" s="186"/>
      <c r="F889" s="187"/>
    </row>
    <row r="890" spans="1:6" x14ac:dyDescent="0.2">
      <c r="A890" s="275"/>
      <c r="B890" s="78"/>
      <c r="C890" s="189"/>
      <c r="D890" s="185"/>
      <c r="E890" s="186"/>
      <c r="F890" s="187"/>
    </row>
    <row r="891" spans="1:6" x14ac:dyDescent="0.2">
      <c r="A891" s="275"/>
      <c r="B891" s="78"/>
      <c r="C891" s="189"/>
      <c r="D891" s="185"/>
      <c r="E891" s="186"/>
      <c r="F891" s="187"/>
    </row>
    <row r="892" spans="1:6" x14ac:dyDescent="0.2">
      <c r="A892" s="275"/>
      <c r="B892" s="78"/>
      <c r="C892" s="189"/>
      <c r="D892" s="185"/>
      <c r="E892" s="186"/>
      <c r="F892" s="187"/>
    </row>
    <row r="893" spans="1:6" x14ac:dyDescent="0.2">
      <c r="A893" s="275"/>
      <c r="B893" s="78"/>
      <c r="C893" s="189"/>
      <c r="D893" s="185"/>
      <c r="E893" s="186"/>
      <c r="F893" s="187"/>
    </row>
    <row r="894" spans="1:6" x14ac:dyDescent="0.2">
      <c r="A894" s="275"/>
      <c r="B894" s="78"/>
      <c r="C894" s="189"/>
      <c r="D894" s="185"/>
      <c r="E894" s="186"/>
      <c r="F894" s="187"/>
    </row>
    <row r="895" spans="1:6" x14ac:dyDescent="0.2">
      <c r="A895" s="275"/>
      <c r="B895" s="78"/>
      <c r="C895" s="189"/>
      <c r="D895" s="185"/>
      <c r="E895" s="186"/>
      <c r="F895" s="187"/>
    </row>
    <row r="896" spans="1:6" x14ac:dyDescent="0.2">
      <c r="A896" s="275"/>
      <c r="B896" s="78"/>
      <c r="C896" s="189"/>
      <c r="D896" s="185"/>
      <c r="E896" s="186"/>
      <c r="F896" s="187"/>
    </row>
    <row r="897" spans="1:6" x14ac:dyDescent="0.2">
      <c r="A897" s="275"/>
      <c r="B897" s="78"/>
      <c r="C897" s="189"/>
      <c r="D897" s="185"/>
      <c r="E897" s="186"/>
      <c r="F897" s="187"/>
    </row>
    <row r="898" spans="1:6" x14ac:dyDescent="0.2">
      <c r="A898" s="275"/>
      <c r="B898" s="78"/>
      <c r="C898" s="189"/>
      <c r="D898" s="185"/>
      <c r="E898" s="186"/>
      <c r="F898" s="187"/>
    </row>
    <row r="899" spans="1:6" x14ac:dyDescent="0.2">
      <c r="A899" s="275"/>
      <c r="B899" s="78"/>
      <c r="C899" s="189"/>
      <c r="D899" s="185"/>
      <c r="E899" s="186"/>
      <c r="F899" s="187"/>
    </row>
    <row r="900" spans="1:6" x14ac:dyDescent="0.2">
      <c r="A900" s="275"/>
      <c r="B900" s="78"/>
      <c r="C900" s="189"/>
      <c r="D900" s="185"/>
      <c r="E900" s="186"/>
      <c r="F900" s="187"/>
    </row>
    <row r="901" spans="1:6" x14ac:dyDescent="0.2">
      <c r="A901" s="275"/>
      <c r="B901" s="78"/>
      <c r="C901" s="189"/>
      <c r="D901" s="185"/>
      <c r="E901" s="186"/>
      <c r="F901" s="187"/>
    </row>
    <row r="902" spans="1:6" x14ac:dyDescent="0.2">
      <c r="A902" s="275"/>
      <c r="B902" s="78"/>
      <c r="C902" s="189"/>
      <c r="D902" s="185"/>
      <c r="E902" s="186"/>
      <c r="F902" s="187"/>
    </row>
    <row r="903" spans="1:6" x14ac:dyDescent="0.2">
      <c r="A903" s="275"/>
      <c r="B903" s="78"/>
      <c r="C903" s="189"/>
      <c r="D903" s="185"/>
      <c r="E903" s="186"/>
      <c r="F903" s="187"/>
    </row>
    <row r="904" spans="1:6" x14ac:dyDescent="0.2">
      <c r="A904" s="275"/>
      <c r="B904" s="78"/>
      <c r="C904" s="189"/>
      <c r="D904" s="185"/>
      <c r="E904" s="186"/>
      <c r="F904" s="187"/>
    </row>
    <row r="905" spans="1:6" x14ac:dyDescent="0.2">
      <c r="A905" s="275"/>
      <c r="B905" s="78"/>
      <c r="C905" s="189"/>
      <c r="D905" s="185"/>
      <c r="E905" s="186"/>
      <c r="F905" s="187"/>
    </row>
    <row r="906" spans="1:6" x14ac:dyDescent="0.2">
      <c r="A906" s="275"/>
      <c r="B906" s="78"/>
      <c r="C906" s="189"/>
      <c r="D906" s="185"/>
      <c r="E906" s="186"/>
      <c r="F906" s="187"/>
    </row>
    <row r="907" spans="1:6" x14ac:dyDescent="0.2">
      <c r="A907" s="275"/>
      <c r="B907" s="78"/>
      <c r="C907" s="189"/>
      <c r="D907" s="185"/>
      <c r="E907" s="186"/>
      <c r="F907" s="187"/>
    </row>
    <row r="908" spans="1:6" x14ac:dyDescent="0.2">
      <c r="A908" s="275"/>
      <c r="B908" s="78"/>
      <c r="C908" s="189"/>
      <c r="D908" s="185"/>
      <c r="E908" s="186"/>
      <c r="F908" s="187"/>
    </row>
    <row r="909" spans="1:6" x14ac:dyDescent="0.2">
      <c r="A909" s="275"/>
      <c r="B909" s="78"/>
      <c r="C909" s="189"/>
      <c r="D909" s="185"/>
      <c r="E909" s="186"/>
      <c r="F909" s="187"/>
    </row>
    <row r="910" spans="1:6" x14ac:dyDescent="0.2">
      <c r="A910" s="275"/>
      <c r="B910" s="78"/>
      <c r="C910" s="189"/>
      <c r="D910" s="185"/>
      <c r="E910" s="186"/>
      <c r="F910" s="187"/>
    </row>
    <row r="911" spans="1:6" x14ac:dyDescent="0.2">
      <c r="A911" s="275"/>
      <c r="B911" s="78"/>
      <c r="C911" s="189"/>
      <c r="D911" s="185"/>
      <c r="E911" s="186"/>
      <c r="F911" s="187"/>
    </row>
    <row r="912" spans="1:6" x14ac:dyDescent="0.2">
      <c r="A912" s="275"/>
      <c r="B912" s="78"/>
      <c r="C912" s="189"/>
      <c r="D912" s="185"/>
      <c r="E912" s="186"/>
      <c r="F912" s="187"/>
    </row>
    <row r="913" spans="1:6" x14ac:dyDescent="0.2">
      <c r="A913" s="275"/>
      <c r="B913" s="78"/>
      <c r="C913" s="189"/>
      <c r="D913" s="185"/>
      <c r="E913" s="186"/>
      <c r="F913" s="187"/>
    </row>
    <row r="914" spans="1:6" x14ac:dyDescent="0.2">
      <c r="A914" s="275"/>
      <c r="B914" s="78"/>
      <c r="C914" s="189"/>
      <c r="D914" s="185"/>
      <c r="E914" s="186"/>
      <c r="F914" s="187"/>
    </row>
    <row r="915" spans="1:6" x14ac:dyDescent="0.2">
      <c r="A915" s="275"/>
      <c r="B915" s="78"/>
      <c r="C915" s="189"/>
      <c r="D915" s="185"/>
      <c r="E915" s="186"/>
      <c r="F915" s="187"/>
    </row>
    <row r="916" spans="1:6" x14ac:dyDescent="0.2">
      <c r="A916" s="275"/>
      <c r="B916" s="78"/>
      <c r="C916" s="189"/>
      <c r="D916" s="185"/>
      <c r="E916" s="186"/>
      <c r="F916" s="187"/>
    </row>
    <row r="917" spans="1:6" x14ac:dyDescent="0.2">
      <c r="A917" s="275"/>
      <c r="B917" s="78"/>
      <c r="C917" s="189"/>
      <c r="D917" s="185"/>
      <c r="E917" s="186"/>
      <c r="F917" s="187"/>
    </row>
    <row r="918" spans="1:6" x14ac:dyDescent="0.2">
      <c r="A918" s="275"/>
      <c r="B918" s="78"/>
      <c r="C918" s="189"/>
      <c r="D918" s="185"/>
      <c r="E918" s="186"/>
      <c r="F918" s="187"/>
    </row>
    <row r="919" spans="1:6" x14ac:dyDescent="0.2">
      <c r="A919" s="275"/>
      <c r="B919" s="78"/>
      <c r="C919" s="189"/>
      <c r="D919" s="185"/>
      <c r="E919" s="186"/>
      <c r="F919" s="187"/>
    </row>
    <row r="920" spans="1:6" x14ac:dyDescent="0.2">
      <c r="A920" s="275"/>
      <c r="B920" s="78"/>
      <c r="C920" s="189"/>
      <c r="D920" s="185"/>
      <c r="E920" s="186"/>
      <c r="F920" s="187"/>
    </row>
    <row r="921" spans="1:6" x14ac:dyDescent="0.2">
      <c r="A921" s="275"/>
      <c r="B921" s="78"/>
      <c r="C921" s="189"/>
      <c r="D921" s="185"/>
      <c r="E921" s="186"/>
      <c r="F921" s="187"/>
    </row>
    <row r="922" spans="1:6" x14ac:dyDescent="0.2">
      <c r="A922" s="275"/>
      <c r="B922" s="78"/>
      <c r="C922" s="189"/>
      <c r="D922" s="185"/>
      <c r="E922" s="186"/>
      <c r="F922" s="187"/>
    </row>
    <row r="923" spans="1:6" x14ac:dyDescent="0.2">
      <c r="A923" s="275"/>
      <c r="B923" s="78"/>
      <c r="C923" s="189"/>
      <c r="D923" s="185"/>
      <c r="E923" s="186"/>
      <c r="F923" s="187"/>
    </row>
    <row r="924" spans="1:6" x14ac:dyDescent="0.2">
      <c r="A924" s="275"/>
      <c r="B924" s="78"/>
      <c r="C924" s="189"/>
      <c r="D924" s="185"/>
      <c r="E924" s="186"/>
      <c r="F924" s="187"/>
    </row>
    <row r="925" spans="1:6" x14ac:dyDescent="0.2">
      <c r="A925" s="275"/>
      <c r="B925" s="78"/>
      <c r="C925" s="189"/>
      <c r="D925" s="185"/>
      <c r="E925" s="186"/>
      <c r="F925" s="187"/>
    </row>
    <row r="926" spans="1:6" x14ac:dyDescent="0.2">
      <c r="A926" s="275"/>
      <c r="B926" s="78"/>
      <c r="C926" s="189"/>
      <c r="D926" s="185"/>
      <c r="E926" s="186"/>
      <c r="F926" s="187"/>
    </row>
    <row r="927" spans="1:6" x14ac:dyDescent="0.2">
      <c r="A927" s="275"/>
      <c r="B927" s="78"/>
      <c r="C927" s="189"/>
      <c r="D927" s="185"/>
      <c r="E927" s="186"/>
      <c r="F927" s="187"/>
    </row>
    <row r="928" spans="1:6" x14ac:dyDescent="0.2">
      <c r="A928" s="275"/>
      <c r="B928" s="78"/>
      <c r="C928" s="189"/>
      <c r="D928" s="185"/>
      <c r="E928" s="186"/>
      <c r="F928" s="187"/>
    </row>
    <row r="929" spans="1:6" x14ac:dyDescent="0.2">
      <c r="A929" s="275"/>
      <c r="B929" s="78"/>
      <c r="C929" s="189"/>
      <c r="D929" s="185"/>
      <c r="E929" s="186"/>
      <c r="F929" s="187"/>
    </row>
    <row r="930" spans="1:6" x14ac:dyDescent="0.2">
      <c r="A930" s="275"/>
      <c r="B930" s="78"/>
      <c r="C930" s="189"/>
      <c r="D930" s="185"/>
      <c r="E930" s="186"/>
      <c r="F930" s="187"/>
    </row>
    <row r="931" spans="1:6" x14ac:dyDescent="0.2">
      <c r="A931" s="275"/>
      <c r="B931" s="78"/>
      <c r="C931" s="189"/>
      <c r="D931" s="185"/>
      <c r="E931" s="186"/>
      <c r="F931" s="187"/>
    </row>
    <row r="932" spans="1:6" x14ac:dyDescent="0.2">
      <c r="A932" s="275"/>
      <c r="B932" s="78"/>
      <c r="C932" s="189"/>
      <c r="D932" s="185"/>
      <c r="E932" s="186"/>
      <c r="F932" s="187"/>
    </row>
    <row r="933" spans="1:6" x14ac:dyDescent="0.2">
      <c r="A933" s="275"/>
      <c r="B933" s="78"/>
      <c r="C933" s="189"/>
      <c r="D933" s="185"/>
      <c r="E933" s="186"/>
      <c r="F933" s="187"/>
    </row>
    <row r="934" spans="1:6" x14ac:dyDescent="0.2">
      <c r="A934" s="275"/>
      <c r="B934" s="78"/>
      <c r="C934" s="189"/>
      <c r="D934" s="185"/>
      <c r="E934" s="186"/>
      <c r="F934" s="187"/>
    </row>
    <row r="935" spans="1:6" x14ac:dyDescent="0.2">
      <c r="A935" s="275"/>
      <c r="B935" s="78"/>
      <c r="C935" s="189"/>
      <c r="D935" s="185"/>
      <c r="E935" s="186"/>
      <c r="F935" s="187"/>
    </row>
    <row r="936" spans="1:6" x14ac:dyDescent="0.2">
      <c r="A936" s="275"/>
      <c r="B936" s="78"/>
      <c r="C936" s="189"/>
      <c r="D936" s="185"/>
      <c r="E936" s="186"/>
      <c r="F936" s="187"/>
    </row>
    <row r="937" spans="1:6" x14ac:dyDescent="0.2">
      <c r="A937" s="275"/>
      <c r="B937" s="78"/>
      <c r="C937" s="189"/>
      <c r="D937" s="185"/>
      <c r="E937" s="186"/>
      <c r="F937" s="187"/>
    </row>
    <row r="938" spans="1:6" x14ac:dyDescent="0.2">
      <c r="A938" s="275"/>
      <c r="B938" s="78"/>
      <c r="C938" s="189"/>
      <c r="D938" s="185"/>
      <c r="E938" s="186"/>
      <c r="F938" s="187"/>
    </row>
    <row r="939" spans="1:6" x14ac:dyDescent="0.2">
      <c r="A939" s="275"/>
      <c r="B939" s="78"/>
      <c r="C939" s="189"/>
      <c r="D939" s="185"/>
      <c r="E939" s="186"/>
      <c r="F939" s="187"/>
    </row>
    <row r="940" spans="1:6" x14ac:dyDescent="0.2">
      <c r="A940" s="275"/>
      <c r="B940" s="78"/>
      <c r="C940" s="189"/>
      <c r="D940" s="185"/>
      <c r="E940" s="186"/>
      <c r="F940" s="187"/>
    </row>
    <row r="941" spans="1:6" x14ac:dyDescent="0.2">
      <c r="A941" s="275"/>
      <c r="B941" s="78"/>
      <c r="C941" s="189"/>
      <c r="D941" s="185"/>
      <c r="E941" s="186"/>
      <c r="F941" s="187"/>
    </row>
    <row r="942" spans="1:6" x14ac:dyDescent="0.2">
      <c r="A942" s="275"/>
      <c r="B942" s="78"/>
      <c r="C942" s="189"/>
      <c r="D942" s="185"/>
      <c r="E942" s="186"/>
      <c r="F942" s="187"/>
    </row>
    <row r="943" spans="1:6" x14ac:dyDescent="0.2">
      <c r="A943" s="275"/>
      <c r="B943" s="78"/>
      <c r="C943" s="189"/>
      <c r="D943" s="185"/>
      <c r="E943" s="186"/>
      <c r="F943" s="187"/>
    </row>
    <row r="944" spans="1:6" x14ac:dyDescent="0.2">
      <c r="A944" s="275"/>
      <c r="B944" s="78"/>
      <c r="C944" s="189"/>
      <c r="D944" s="185"/>
      <c r="E944" s="186"/>
      <c r="F944" s="187"/>
    </row>
    <row r="945" spans="1:6" x14ac:dyDescent="0.2">
      <c r="A945" s="275"/>
      <c r="B945" s="78"/>
      <c r="C945" s="189"/>
      <c r="D945" s="185"/>
      <c r="E945" s="186"/>
      <c r="F945" s="187"/>
    </row>
    <row r="946" spans="1:6" x14ac:dyDescent="0.2">
      <c r="A946" s="275"/>
      <c r="B946" s="78"/>
      <c r="C946" s="189"/>
      <c r="D946" s="185"/>
      <c r="E946" s="186"/>
      <c r="F946" s="187"/>
    </row>
    <row r="947" spans="1:6" x14ac:dyDescent="0.2">
      <c r="A947" s="275"/>
      <c r="B947" s="78"/>
      <c r="C947" s="189"/>
      <c r="D947" s="185"/>
      <c r="E947" s="186"/>
      <c r="F947" s="187"/>
    </row>
    <row r="948" spans="1:6" x14ac:dyDescent="0.2">
      <c r="A948" s="275"/>
      <c r="B948" s="78"/>
      <c r="C948" s="189"/>
      <c r="D948" s="185"/>
      <c r="E948" s="186"/>
      <c r="F948" s="187"/>
    </row>
    <row r="949" spans="1:6" x14ac:dyDescent="0.2">
      <c r="A949" s="275"/>
      <c r="B949" s="78"/>
      <c r="C949" s="189"/>
      <c r="D949" s="185"/>
      <c r="E949" s="186"/>
      <c r="F949" s="187"/>
    </row>
    <row r="950" spans="1:6" x14ac:dyDescent="0.2">
      <c r="A950" s="275"/>
      <c r="B950" s="78"/>
      <c r="C950" s="189"/>
      <c r="D950" s="185"/>
      <c r="E950" s="186"/>
      <c r="F950" s="187"/>
    </row>
    <row r="951" spans="1:6" x14ac:dyDescent="0.2">
      <c r="A951" s="275"/>
      <c r="B951" s="78"/>
      <c r="C951" s="189"/>
      <c r="D951" s="185"/>
      <c r="E951" s="186"/>
      <c r="F951" s="187"/>
    </row>
    <row r="952" spans="1:6" x14ac:dyDescent="0.2">
      <c r="A952" s="275"/>
      <c r="B952" s="78"/>
      <c r="C952" s="189"/>
      <c r="D952" s="185"/>
      <c r="E952" s="186"/>
      <c r="F952" s="187"/>
    </row>
    <row r="953" spans="1:6" x14ac:dyDescent="0.2">
      <c r="A953" s="275"/>
      <c r="B953" s="78"/>
      <c r="C953" s="189"/>
      <c r="D953" s="185"/>
      <c r="E953" s="186"/>
      <c r="F953" s="187"/>
    </row>
    <row r="954" spans="1:6" x14ac:dyDescent="0.2">
      <c r="A954" s="275"/>
      <c r="B954" s="78"/>
      <c r="C954" s="189"/>
      <c r="D954" s="185"/>
      <c r="E954" s="186"/>
      <c r="F954" s="187"/>
    </row>
    <row r="955" spans="1:6" x14ac:dyDescent="0.2">
      <c r="A955" s="275"/>
      <c r="B955" s="78"/>
      <c r="C955" s="189"/>
      <c r="D955" s="185"/>
      <c r="E955" s="186"/>
      <c r="F955" s="187"/>
    </row>
    <row r="956" spans="1:6" x14ac:dyDescent="0.2">
      <c r="A956" s="275"/>
      <c r="B956" s="78"/>
      <c r="C956" s="189"/>
      <c r="D956" s="185"/>
      <c r="E956" s="186"/>
      <c r="F956" s="187"/>
    </row>
    <row r="957" spans="1:6" x14ac:dyDescent="0.2">
      <c r="A957" s="275"/>
      <c r="B957" s="78"/>
      <c r="C957" s="189"/>
      <c r="D957" s="185"/>
      <c r="E957" s="186"/>
      <c r="F957" s="187"/>
    </row>
    <row r="958" spans="1:6" x14ac:dyDescent="0.2">
      <c r="A958" s="275"/>
      <c r="B958" s="78"/>
      <c r="C958" s="189"/>
      <c r="D958" s="185"/>
      <c r="E958" s="186"/>
      <c r="F958" s="187"/>
    </row>
    <row r="959" spans="1:6" x14ac:dyDescent="0.2">
      <c r="A959" s="275"/>
      <c r="B959" s="78"/>
      <c r="C959" s="189"/>
      <c r="D959" s="185"/>
      <c r="E959" s="186"/>
      <c r="F959" s="187"/>
    </row>
    <row r="960" spans="1:6" x14ac:dyDescent="0.2">
      <c r="A960" s="275"/>
      <c r="B960" s="78"/>
      <c r="C960" s="189"/>
      <c r="D960" s="185"/>
      <c r="E960" s="186"/>
      <c r="F960" s="187"/>
    </row>
    <row r="961" spans="1:6" x14ac:dyDescent="0.2">
      <c r="A961" s="275"/>
      <c r="B961" s="78"/>
      <c r="C961" s="189"/>
      <c r="D961" s="185"/>
      <c r="E961" s="186"/>
      <c r="F961" s="187"/>
    </row>
    <row r="962" spans="1:6" x14ac:dyDescent="0.2">
      <c r="A962" s="275"/>
      <c r="B962" s="78"/>
      <c r="C962" s="189"/>
      <c r="D962" s="185"/>
      <c r="E962" s="186"/>
      <c r="F962" s="187"/>
    </row>
    <row r="963" spans="1:6" x14ac:dyDescent="0.2">
      <c r="A963" s="275"/>
      <c r="B963" s="78"/>
      <c r="C963" s="189"/>
      <c r="D963" s="185"/>
      <c r="E963" s="186"/>
      <c r="F963" s="187"/>
    </row>
    <row r="964" spans="1:6" x14ac:dyDescent="0.2">
      <c r="A964" s="275"/>
      <c r="B964" s="78"/>
      <c r="C964" s="189"/>
      <c r="D964" s="185"/>
      <c r="E964" s="186"/>
      <c r="F964" s="187"/>
    </row>
    <row r="965" spans="1:6" x14ac:dyDescent="0.2">
      <c r="A965" s="275"/>
      <c r="B965" s="78"/>
      <c r="C965" s="189"/>
      <c r="D965" s="185"/>
      <c r="E965" s="186"/>
      <c r="F965" s="187"/>
    </row>
    <row r="966" spans="1:6" x14ac:dyDescent="0.2">
      <c r="A966" s="275"/>
      <c r="B966" s="78"/>
      <c r="C966" s="189"/>
      <c r="D966" s="185"/>
      <c r="E966" s="186"/>
      <c r="F966" s="187"/>
    </row>
    <row r="967" spans="1:6" x14ac:dyDescent="0.2">
      <c r="A967" s="275"/>
      <c r="B967" s="78"/>
      <c r="C967" s="189"/>
      <c r="D967" s="185"/>
      <c r="E967" s="186"/>
      <c r="F967" s="187"/>
    </row>
    <row r="968" spans="1:6" x14ac:dyDescent="0.2">
      <c r="A968" s="275"/>
      <c r="B968" s="78"/>
      <c r="C968" s="189"/>
      <c r="D968" s="185"/>
      <c r="E968" s="186"/>
      <c r="F968" s="187"/>
    </row>
    <row r="969" spans="1:6" x14ac:dyDescent="0.2">
      <c r="A969" s="275"/>
      <c r="B969" s="78"/>
      <c r="C969" s="189"/>
      <c r="D969" s="185"/>
      <c r="E969" s="186"/>
      <c r="F969" s="187"/>
    </row>
    <row r="970" spans="1:6" x14ac:dyDescent="0.2">
      <c r="A970" s="275"/>
      <c r="B970" s="78"/>
      <c r="C970" s="189"/>
      <c r="D970" s="185"/>
      <c r="E970" s="186"/>
      <c r="F970" s="187"/>
    </row>
    <row r="971" spans="1:6" x14ac:dyDescent="0.2">
      <c r="A971" s="275"/>
      <c r="B971" s="78"/>
      <c r="C971" s="189"/>
      <c r="D971" s="185"/>
      <c r="E971" s="186"/>
      <c r="F971" s="187"/>
    </row>
    <row r="972" spans="1:6" x14ac:dyDescent="0.2">
      <c r="A972" s="275"/>
      <c r="B972" s="78"/>
      <c r="C972" s="189"/>
      <c r="D972" s="185"/>
      <c r="E972" s="186"/>
      <c r="F972" s="187"/>
    </row>
    <row r="973" spans="1:6" x14ac:dyDescent="0.2">
      <c r="A973" s="275"/>
      <c r="B973" s="78"/>
      <c r="C973" s="189"/>
      <c r="D973" s="185"/>
      <c r="E973" s="186"/>
      <c r="F973" s="187"/>
    </row>
    <row r="974" spans="1:6" x14ac:dyDescent="0.2">
      <c r="A974" s="275"/>
      <c r="B974" s="78"/>
      <c r="C974" s="189"/>
      <c r="D974" s="185"/>
      <c r="E974" s="186"/>
      <c r="F974" s="187"/>
    </row>
    <row r="975" spans="1:6" x14ac:dyDescent="0.2">
      <c r="A975" s="275"/>
      <c r="B975" s="78"/>
      <c r="C975" s="189"/>
      <c r="D975" s="185"/>
      <c r="E975" s="186"/>
      <c r="F975" s="187"/>
    </row>
    <row r="976" spans="1:6" x14ac:dyDescent="0.2">
      <c r="A976" s="275"/>
      <c r="B976" s="78"/>
      <c r="C976" s="189"/>
      <c r="D976" s="185"/>
      <c r="E976" s="186"/>
      <c r="F976" s="187"/>
    </row>
    <row r="977" spans="1:6" x14ac:dyDescent="0.2">
      <c r="A977" s="275"/>
      <c r="B977" s="78"/>
      <c r="C977" s="189"/>
      <c r="D977" s="185"/>
      <c r="E977" s="186"/>
      <c r="F977" s="187"/>
    </row>
    <row r="978" spans="1:6" x14ac:dyDescent="0.2">
      <c r="A978" s="275"/>
      <c r="B978" s="78"/>
      <c r="C978" s="189"/>
      <c r="D978" s="185"/>
      <c r="E978" s="186"/>
      <c r="F978" s="187"/>
    </row>
    <row r="979" spans="1:6" x14ac:dyDescent="0.2">
      <c r="A979" s="275"/>
      <c r="B979" s="78"/>
      <c r="C979" s="189"/>
      <c r="D979" s="185"/>
      <c r="E979" s="186"/>
      <c r="F979" s="187"/>
    </row>
    <row r="980" spans="1:6" x14ac:dyDescent="0.2">
      <c r="A980" s="275"/>
      <c r="B980" s="78"/>
      <c r="C980" s="189"/>
      <c r="D980" s="185"/>
      <c r="E980" s="186"/>
      <c r="F980" s="187"/>
    </row>
    <row r="981" spans="1:6" x14ac:dyDescent="0.2">
      <c r="A981" s="275"/>
      <c r="B981" s="78"/>
      <c r="C981" s="189"/>
      <c r="D981" s="185"/>
      <c r="E981" s="186"/>
      <c r="F981" s="187"/>
    </row>
    <row r="982" spans="1:6" x14ac:dyDescent="0.2">
      <c r="A982" s="275"/>
      <c r="B982" s="78"/>
      <c r="C982" s="189"/>
      <c r="D982" s="185"/>
      <c r="E982" s="186"/>
      <c r="F982" s="187"/>
    </row>
    <row r="983" spans="1:6" x14ac:dyDescent="0.2">
      <c r="A983" s="275"/>
      <c r="B983" s="78"/>
      <c r="C983" s="189"/>
      <c r="D983" s="185"/>
      <c r="E983" s="186"/>
      <c r="F983" s="187"/>
    </row>
    <row r="984" spans="1:6" x14ac:dyDescent="0.2">
      <c r="A984" s="275"/>
      <c r="B984" s="78"/>
      <c r="C984" s="189"/>
      <c r="D984" s="185"/>
      <c r="E984" s="186"/>
      <c r="F984" s="187"/>
    </row>
    <row r="985" spans="1:6" x14ac:dyDescent="0.2">
      <c r="A985" s="275"/>
      <c r="B985" s="78"/>
      <c r="C985" s="189"/>
      <c r="D985" s="185"/>
      <c r="E985" s="186"/>
      <c r="F985" s="187"/>
    </row>
    <row r="986" spans="1:6" x14ac:dyDescent="0.2">
      <c r="A986" s="275"/>
      <c r="B986" s="78"/>
      <c r="C986" s="189"/>
      <c r="D986" s="185"/>
      <c r="E986" s="186"/>
      <c r="F986" s="187"/>
    </row>
    <row r="987" spans="1:6" x14ac:dyDescent="0.2">
      <c r="A987" s="275"/>
      <c r="B987" s="78"/>
      <c r="C987" s="189"/>
      <c r="D987" s="185"/>
      <c r="E987" s="186"/>
      <c r="F987" s="187"/>
    </row>
    <row r="988" spans="1:6" x14ac:dyDescent="0.2">
      <c r="A988" s="275"/>
      <c r="B988" s="78"/>
      <c r="C988" s="189"/>
      <c r="D988" s="185"/>
      <c r="E988" s="186"/>
      <c r="F988" s="187"/>
    </row>
    <row r="989" spans="1:6" x14ac:dyDescent="0.2">
      <c r="A989" s="275"/>
      <c r="B989" s="78"/>
      <c r="C989" s="189"/>
      <c r="D989" s="185"/>
      <c r="E989" s="186"/>
      <c r="F989" s="187"/>
    </row>
    <row r="990" spans="1:6" x14ac:dyDescent="0.2">
      <c r="A990" s="275"/>
      <c r="B990" s="78"/>
      <c r="C990" s="189"/>
      <c r="D990" s="185"/>
      <c r="E990" s="186"/>
      <c r="F990" s="187"/>
    </row>
    <row r="991" spans="1:6" x14ac:dyDescent="0.2">
      <c r="A991" s="275"/>
      <c r="B991" s="78"/>
      <c r="C991" s="189"/>
      <c r="D991" s="185"/>
      <c r="E991" s="186"/>
      <c r="F991" s="187"/>
    </row>
    <row r="992" spans="1:6" x14ac:dyDescent="0.2">
      <c r="A992" s="275"/>
      <c r="B992" s="78"/>
      <c r="C992" s="189"/>
      <c r="D992" s="185"/>
      <c r="E992" s="186"/>
      <c r="F992" s="187"/>
    </row>
    <row r="993" spans="1:6" x14ac:dyDescent="0.2">
      <c r="A993" s="275"/>
      <c r="B993" s="78"/>
      <c r="C993" s="189"/>
      <c r="D993" s="185"/>
      <c r="E993" s="186"/>
      <c r="F993" s="187"/>
    </row>
    <row r="994" spans="1:6" x14ac:dyDescent="0.2">
      <c r="A994" s="275"/>
      <c r="B994" s="78"/>
      <c r="C994" s="189"/>
      <c r="D994" s="185"/>
      <c r="E994" s="186"/>
      <c r="F994" s="187"/>
    </row>
    <row r="995" spans="1:6" x14ac:dyDescent="0.2">
      <c r="A995" s="275"/>
      <c r="B995" s="78"/>
      <c r="C995" s="189"/>
      <c r="D995" s="185"/>
      <c r="E995" s="186"/>
      <c r="F995" s="187"/>
    </row>
    <row r="996" spans="1:6" x14ac:dyDescent="0.2">
      <c r="A996" s="275"/>
      <c r="B996" s="78"/>
      <c r="C996" s="189"/>
      <c r="D996" s="185"/>
      <c r="E996" s="186"/>
      <c r="F996" s="187"/>
    </row>
    <row r="997" spans="1:6" x14ac:dyDescent="0.2">
      <c r="A997" s="275"/>
      <c r="B997" s="78"/>
      <c r="C997" s="189"/>
      <c r="D997" s="185"/>
      <c r="E997" s="186"/>
      <c r="F997" s="187"/>
    </row>
    <row r="998" spans="1:6" x14ac:dyDescent="0.2">
      <c r="A998" s="275"/>
      <c r="B998" s="78"/>
      <c r="C998" s="189"/>
      <c r="D998" s="185"/>
      <c r="E998" s="186"/>
      <c r="F998" s="187"/>
    </row>
    <row r="999" spans="1:6" x14ac:dyDescent="0.2">
      <c r="A999" s="275"/>
      <c r="B999" s="78"/>
      <c r="C999" s="189"/>
      <c r="D999" s="185"/>
      <c r="E999" s="186"/>
      <c r="F999" s="187"/>
    </row>
    <row r="1000" spans="1:6" x14ac:dyDescent="0.2">
      <c r="A1000" s="275"/>
      <c r="B1000" s="78"/>
      <c r="C1000" s="189"/>
      <c r="D1000" s="185"/>
      <c r="E1000" s="186"/>
      <c r="F1000" s="187"/>
    </row>
    <row r="1001" spans="1:6" x14ac:dyDescent="0.2">
      <c r="A1001" s="275"/>
      <c r="B1001" s="78"/>
      <c r="C1001" s="189"/>
      <c r="D1001" s="185"/>
      <c r="E1001" s="186"/>
      <c r="F1001" s="187"/>
    </row>
    <row r="1002" spans="1:6" x14ac:dyDescent="0.2">
      <c r="A1002" s="275"/>
      <c r="B1002" s="78"/>
      <c r="C1002" s="189"/>
      <c r="D1002" s="185"/>
      <c r="E1002" s="186"/>
      <c r="F1002" s="187"/>
    </row>
    <row r="1003" spans="1:6" x14ac:dyDescent="0.2">
      <c r="A1003" s="275"/>
      <c r="B1003" s="78"/>
      <c r="C1003" s="189"/>
      <c r="D1003" s="185"/>
      <c r="E1003" s="186"/>
      <c r="F1003" s="187"/>
    </row>
    <row r="1004" spans="1:6" x14ac:dyDescent="0.2">
      <c r="A1004" s="275"/>
      <c r="B1004" s="78"/>
      <c r="C1004" s="189"/>
      <c r="D1004" s="185"/>
      <c r="E1004" s="186"/>
      <c r="F1004" s="187"/>
    </row>
    <row r="1005" spans="1:6" x14ac:dyDescent="0.2">
      <c r="A1005" s="275"/>
      <c r="B1005" s="78"/>
      <c r="C1005" s="189"/>
      <c r="D1005" s="185"/>
      <c r="E1005" s="186"/>
      <c r="F1005" s="187"/>
    </row>
    <row r="1006" spans="1:6" x14ac:dyDescent="0.2">
      <c r="A1006" s="275"/>
      <c r="B1006" s="78"/>
      <c r="C1006" s="189"/>
      <c r="D1006" s="185"/>
      <c r="E1006" s="186"/>
      <c r="F1006" s="187"/>
    </row>
    <row r="1007" spans="1:6" x14ac:dyDescent="0.2">
      <c r="A1007" s="275"/>
      <c r="B1007" s="78"/>
      <c r="C1007" s="189"/>
      <c r="D1007" s="185"/>
      <c r="E1007" s="186"/>
      <c r="F1007" s="187"/>
    </row>
    <row r="1008" spans="1:6" x14ac:dyDescent="0.2">
      <c r="A1008" s="275"/>
      <c r="B1008" s="78"/>
      <c r="C1008" s="189"/>
      <c r="D1008" s="185"/>
      <c r="E1008" s="186"/>
      <c r="F1008" s="187"/>
    </row>
    <row r="1009" spans="1:6" x14ac:dyDescent="0.2">
      <c r="A1009" s="275"/>
      <c r="B1009" s="78"/>
      <c r="C1009" s="189"/>
      <c r="D1009" s="185"/>
      <c r="E1009" s="186"/>
      <c r="F1009" s="187"/>
    </row>
    <row r="1010" spans="1:6" x14ac:dyDescent="0.2">
      <c r="A1010" s="275"/>
      <c r="B1010" s="78"/>
      <c r="C1010" s="189"/>
      <c r="D1010" s="185"/>
      <c r="E1010" s="186"/>
      <c r="F1010" s="187"/>
    </row>
    <row r="1011" spans="1:6" x14ac:dyDescent="0.2">
      <c r="A1011" s="275"/>
      <c r="B1011" s="78"/>
      <c r="C1011" s="189"/>
      <c r="D1011" s="185"/>
      <c r="E1011" s="186"/>
      <c r="F1011" s="187"/>
    </row>
    <row r="1012" spans="1:6" x14ac:dyDescent="0.2">
      <c r="A1012" s="275"/>
      <c r="B1012" s="78"/>
      <c r="C1012" s="189"/>
      <c r="D1012" s="185"/>
      <c r="E1012" s="186"/>
      <c r="F1012" s="187"/>
    </row>
    <row r="1013" spans="1:6" x14ac:dyDescent="0.2">
      <c r="A1013" s="275"/>
      <c r="B1013" s="78"/>
      <c r="C1013" s="189"/>
      <c r="D1013" s="185"/>
      <c r="E1013" s="186"/>
      <c r="F1013" s="187"/>
    </row>
    <row r="1014" spans="1:6" x14ac:dyDescent="0.2">
      <c r="A1014" s="275"/>
      <c r="B1014" s="78"/>
      <c r="C1014" s="189"/>
      <c r="D1014" s="185"/>
      <c r="E1014" s="186"/>
      <c r="F1014" s="187"/>
    </row>
    <row r="1015" spans="1:6" x14ac:dyDescent="0.2">
      <c r="A1015" s="275"/>
      <c r="B1015" s="78"/>
      <c r="C1015" s="189"/>
      <c r="D1015" s="185"/>
      <c r="E1015" s="186"/>
      <c r="F1015" s="187"/>
    </row>
    <row r="1016" spans="1:6" x14ac:dyDescent="0.2">
      <c r="A1016" s="275"/>
      <c r="B1016" s="78"/>
      <c r="C1016" s="189"/>
      <c r="D1016" s="185"/>
      <c r="E1016" s="186"/>
      <c r="F1016" s="187"/>
    </row>
    <row r="1017" spans="1:6" x14ac:dyDescent="0.2">
      <c r="A1017" s="275"/>
      <c r="B1017" s="78"/>
      <c r="C1017" s="189"/>
      <c r="D1017" s="185"/>
      <c r="E1017" s="186"/>
      <c r="F1017" s="187"/>
    </row>
    <row r="1018" spans="1:6" x14ac:dyDescent="0.2">
      <c r="A1018" s="275"/>
      <c r="B1018" s="78"/>
      <c r="C1018" s="189"/>
      <c r="D1018" s="185"/>
      <c r="E1018" s="186"/>
      <c r="F1018" s="187"/>
    </row>
    <row r="1019" spans="1:6" x14ac:dyDescent="0.2">
      <c r="A1019" s="275"/>
      <c r="B1019" s="78"/>
      <c r="C1019" s="189"/>
      <c r="D1019" s="185"/>
      <c r="E1019" s="186"/>
      <c r="F1019" s="187"/>
    </row>
    <row r="1020" spans="1:6" x14ac:dyDescent="0.2">
      <c r="A1020" s="275"/>
      <c r="B1020" s="78"/>
      <c r="C1020" s="189"/>
      <c r="D1020" s="185"/>
      <c r="E1020" s="186"/>
      <c r="F1020" s="187"/>
    </row>
    <row r="1021" spans="1:6" x14ac:dyDescent="0.2">
      <c r="A1021" s="275"/>
      <c r="B1021" s="78"/>
      <c r="C1021" s="189"/>
      <c r="D1021" s="185"/>
      <c r="E1021" s="186"/>
      <c r="F1021" s="187"/>
    </row>
    <row r="1022" spans="1:6" x14ac:dyDescent="0.2">
      <c r="A1022" s="275"/>
      <c r="B1022" s="78"/>
      <c r="C1022" s="189"/>
      <c r="D1022" s="185"/>
      <c r="E1022" s="186"/>
      <c r="F1022" s="187"/>
    </row>
    <row r="1023" spans="1:6" x14ac:dyDescent="0.2">
      <c r="A1023" s="275"/>
      <c r="B1023" s="78"/>
      <c r="C1023" s="189"/>
      <c r="D1023" s="185"/>
      <c r="E1023" s="186"/>
      <c r="F1023" s="187"/>
    </row>
    <row r="1024" spans="1:6" x14ac:dyDescent="0.2">
      <c r="A1024" s="275"/>
      <c r="B1024" s="78"/>
      <c r="C1024" s="189"/>
      <c r="D1024" s="185"/>
      <c r="E1024" s="186"/>
      <c r="F1024" s="187"/>
    </row>
    <row r="1025" spans="1:6" x14ac:dyDescent="0.2">
      <c r="A1025" s="275"/>
      <c r="B1025" s="78"/>
      <c r="C1025" s="189"/>
      <c r="D1025" s="185"/>
      <c r="E1025" s="186"/>
      <c r="F1025" s="187"/>
    </row>
    <row r="1026" spans="1:6" x14ac:dyDescent="0.2">
      <c r="A1026" s="275"/>
      <c r="B1026" s="78"/>
      <c r="C1026" s="189"/>
      <c r="D1026" s="185"/>
      <c r="E1026" s="186"/>
      <c r="F1026" s="187"/>
    </row>
    <row r="1027" spans="1:6" x14ac:dyDescent="0.2">
      <c r="A1027" s="275"/>
      <c r="B1027" s="78"/>
      <c r="C1027" s="189"/>
      <c r="D1027" s="185"/>
      <c r="E1027" s="186"/>
      <c r="F1027" s="187"/>
    </row>
    <row r="1028" spans="1:6" x14ac:dyDescent="0.2">
      <c r="A1028" s="275"/>
      <c r="B1028" s="78"/>
      <c r="C1028" s="189"/>
      <c r="D1028" s="185"/>
      <c r="E1028" s="186"/>
      <c r="F1028" s="187"/>
    </row>
    <row r="1029" spans="1:6" x14ac:dyDescent="0.2">
      <c r="A1029" s="275"/>
      <c r="B1029" s="78"/>
      <c r="C1029" s="189"/>
      <c r="D1029" s="185"/>
      <c r="E1029" s="186"/>
      <c r="F1029" s="187"/>
    </row>
    <row r="1030" spans="1:6" x14ac:dyDescent="0.2">
      <c r="A1030" s="275"/>
      <c r="B1030" s="78"/>
      <c r="C1030" s="189"/>
      <c r="D1030" s="185"/>
      <c r="E1030" s="186"/>
      <c r="F1030" s="187"/>
    </row>
    <row r="1031" spans="1:6" x14ac:dyDescent="0.2">
      <c r="A1031" s="275"/>
      <c r="B1031" s="78"/>
      <c r="C1031" s="189"/>
      <c r="D1031" s="185"/>
      <c r="E1031" s="186"/>
      <c r="F1031" s="187"/>
    </row>
    <row r="1032" spans="1:6" x14ac:dyDescent="0.2">
      <c r="A1032" s="275"/>
      <c r="B1032" s="78"/>
      <c r="C1032" s="189"/>
      <c r="D1032" s="185"/>
      <c r="E1032" s="186"/>
      <c r="F1032" s="187"/>
    </row>
    <row r="1033" spans="1:6" x14ac:dyDescent="0.2">
      <c r="A1033" s="275"/>
      <c r="B1033" s="78"/>
      <c r="C1033" s="189"/>
      <c r="D1033" s="185"/>
      <c r="E1033" s="186"/>
      <c r="F1033" s="187"/>
    </row>
    <row r="1034" spans="1:6" x14ac:dyDescent="0.2">
      <c r="A1034" s="275"/>
      <c r="B1034" s="78"/>
      <c r="C1034" s="189"/>
      <c r="D1034" s="185"/>
      <c r="E1034" s="186"/>
      <c r="F1034" s="187"/>
    </row>
    <row r="1035" spans="1:6" x14ac:dyDescent="0.2">
      <c r="A1035" s="275"/>
      <c r="B1035" s="78"/>
      <c r="C1035" s="189"/>
      <c r="D1035" s="185"/>
      <c r="E1035" s="186"/>
      <c r="F1035" s="187"/>
    </row>
    <row r="1036" spans="1:6" x14ac:dyDescent="0.2">
      <c r="A1036" s="275"/>
      <c r="B1036" s="78"/>
      <c r="C1036" s="189"/>
      <c r="D1036" s="185"/>
      <c r="E1036" s="186"/>
      <c r="F1036" s="187"/>
    </row>
    <row r="1037" spans="1:6" x14ac:dyDescent="0.2">
      <c r="A1037" s="275"/>
      <c r="B1037" s="78"/>
      <c r="C1037" s="189"/>
      <c r="D1037" s="185"/>
      <c r="E1037" s="186"/>
      <c r="F1037" s="187"/>
    </row>
    <row r="1038" spans="1:6" x14ac:dyDescent="0.2">
      <c r="A1038" s="275"/>
      <c r="B1038" s="78"/>
      <c r="C1038" s="189"/>
      <c r="D1038" s="185"/>
      <c r="E1038" s="186"/>
      <c r="F1038" s="187"/>
    </row>
    <row r="1039" spans="1:6" x14ac:dyDescent="0.2">
      <c r="A1039" s="275"/>
      <c r="B1039" s="78"/>
      <c r="C1039" s="189"/>
      <c r="D1039" s="185"/>
      <c r="E1039" s="186"/>
      <c r="F1039" s="187"/>
    </row>
    <row r="1040" spans="1:6" x14ac:dyDescent="0.2">
      <c r="A1040" s="275"/>
      <c r="B1040" s="78"/>
      <c r="C1040" s="189"/>
      <c r="D1040" s="185"/>
      <c r="E1040" s="186"/>
      <c r="F1040" s="187"/>
    </row>
    <row r="1041" spans="1:6" x14ac:dyDescent="0.2">
      <c r="A1041" s="275"/>
      <c r="B1041" s="78"/>
      <c r="C1041" s="189"/>
      <c r="D1041" s="185"/>
      <c r="E1041" s="186"/>
      <c r="F1041" s="187"/>
    </row>
    <row r="1042" spans="1:6" x14ac:dyDescent="0.2">
      <c r="A1042" s="275"/>
      <c r="B1042" s="78"/>
      <c r="C1042" s="189"/>
      <c r="D1042" s="185"/>
      <c r="E1042" s="186"/>
      <c r="F1042" s="187"/>
    </row>
    <row r="1043" spans="1:6" x14ac:dyDescent="0.2">
      <c r="A1043" s="275"/>
      <c r="B1043" s="78"/>
      <c r="C1043" s="189"/>
      <c r="D1043" s="185"/>
      <c r="E1043" s="186"/>
      <c r="F1043" s="187"/>
    </row>
    <row r="1044" spans="1:6" x14ac:dyDescent="0.2">
      <c r="A1044" s="275"/>
      <c r="B1044" s="78"/>
      <c r="C1044" s="189"/>
      <c r="D1044" s="185"/>
      <c r="E1044" s="186"/>
      <c r="F1044" s="187"/>
    </row>
    <row r="1045" spans="1:6" x14ac:dyDescent="0.2">
      <c r="A1045" s="275"/>
      <c r="B1045" s="78"/>
      <c r="C1045" s="189"/>
      <c r="D1045" s="185"/>
      <c r="E1045" s="186"/>
      <c r="F1045" s="187"/>
    </row>
    <row r="1046" spans="1:6" x14ac:dyDescent="0.2">
      <c r="A1046" s="275"/>
      <c r="B1046" s="78"/>
      <c r="C1046" s="189"/>
      <c r="D1046" s="185"/>
      <c r="E1046" s="186"/>
      <c r="F1046" s="187"/>
    </row>
    <row r="1047" spans="1:6" x14ac:dyDescent="0.2">
      <c r="A1047" s="275"/>
      <c r="B1047" s="78"/>
      <c r="C1047" s="189"/>
      <c r="D1047" s="185"/>
      <c r="E1047" s="186"/>
      <c r="F1047" s="187"/>
    </row>
    <row r="1048" spans="1:6" x14ac:dyDescent="0.2">
      <c r="A1048" s="275"/>
      <c r="B1048" s="78"/>
      <c r="C1048" s="189"/>
      <c r="D1048" s="185"/>
      <c r="E1048" s="186"/>
      <c r="F1048" s="187"/>
    </row>
    <row r="1049" spans="1:6" x14ac:dyDescent="0.2">
      <c r="A1049" s="275"/>
      <c r="B1049" s="78"/>
      <c r="C1049" s="189"/>
      <c r="D1049" s="185"/>
      <c r="E1049" s="186"/>
      <c r="F1049" s="187"/>
    </row>
    <row r="1050" spans="1:6" x14ac:dyDescent="0.2">
      <c r="A1050" s="275"/>
      <c r="B1050" s="78"/>
      <c r="C1050" s="189"/>
      <c r="D1050" s="185"/>
      <c r="E1050" s="186"/>
      <c r="F1050" s="187"/>
    </row>
    <row r="1051" spans="1:6" x14ac:dyDescent="0.2">
      <c r="A1051" s="275"/>
      <c r="B1051" s="78"/>
      <c r="C1051" s="189"/>
      <c r="D1051" s="185"/>
      <c r="E1051" s="186"/>
      <c r="F1051" s="187"/>
    </row>
    <row r="1052" spans="1:6" x14ac:dyDescent="0.2">
      <c r="A1052" s="275"/>
      <c r="B1052" s="78"/>
      <c r="C1052" s="189"/>
      <c r="D1052" s="185"/>
      <c r="E1052" s="186"/>
      <c r="F1052" s="187"/>
    </row>
    <row r="1053" spans="1:6" x14ac:dyDescent="0.2">
      <c r="A1053" s="275"/>
      <c r="B1053" s="78"/>
      <c r="C1053" s="189"/>
      <c r="D1053" s="185"/>
      <c r="E1053" s="186"/>
      <c r="F1053" s="187"/>
    </row>
    <row r="1054" spans="1:6" x14ac:dyDescent="0.2">
      <c r="A1054" s="275"/>
      <c r="B1054" s="78"/>
      <c r="C1054" s="189"/>
      <c r="D1054" s="185"/>
      <c r="E1054" s="186"/>
      <c r="F1054" s="187"/>
    </row>
    <row r="1055" spans="1:6" x14ac:dyDescent="0.2">
      <c r="A1055" s="275"/>
      <c r="B1055" s="78"/>
      <c r="C1055" s="189"/>
      <c r="D1055" s="185"/>
      <c r="E1055" s="186"/>
      <c r="F1055" s="187"/>
    </row>
    <row r="1056" spans="1:6" x14ac:dyDescent="0.2">
      <c r="A1056" s="275"/>
      <c r="B1056" s="78"/>
      <c r="C1056" s="189"/>
      <c r="D1056" s="185"/>
      <c r="E1056" s="186"/>
      <c r="F1056" s="187"/>
    </row>
    <row r="1057" spans="1:6" x14ac:dyDescent="0.2">
      <c r="A1057" s="275"/>
      <c r="B1057" s="78"/>
      <c r="C1057" s="189"/>
      <c r="D1057" s="185"/>
      <c r="E1057" s="186"/>
      <c r="F1057" s="187"/>
    </row>
    <row r="1058" spans="1:6" x14ac:dyDescent="0.2">
      <c r="A1058" s="275"/>
      <c r="B1058" s="78"/>
      <c r="C1058" s="189"/>
      <c r="D1058" s="185"/>
      <c r="E1058" s="186"/>
      <c r="F1058" s="187"/>
    </row>
    <row r="1059" spans="1:6" x14ac:dyDescent="0.2">
      <c r="A1059" s="275"/>
      <c r="B1059" s="78"/>
      <c r="C1059" s="189"/>
      <c r="D1059" s="185"/>
      <c r="E1059" s="186"/>
      <c r="F1059" s="187"/>
    </row>
    <row r="1060" spans="1:6" x14ac:dyDescent="0.2">
      <c r="A1060" s="275"/>
      <c r="B1060" s="78"/>
      <c r="C1060" s="189"/>
      <c r="D1060" s="185"/>
      <c r="E1060" s="186"/>
      <c r="F1060" s="187"/>
    </row>
    <row r="1061" spans="1:6" x14ac:dyDescent="0.2">
      <c r="A1061" s="275"/>
      <c r="B1061" s="78"/>
      <c r="C1061" s="189"/>
      <c r="D1061" s="185"/>
      <c r="E1061" s="186"/>
      <c r="F1061" s="187"/>
    </row>
    <row r="1062" spans="1:6" x14ac:dyDescent="0.2">
      <c r="A1062" s="275"/>
      <c r="B1062" s="78"/>
      <c r="C1062" s="189"/>
      <c r="D1062" s="185"/>
      <c r="E1062" s="186"/>
      <c r="F1062" s="187"/>
    </row>
    <row r="1063" spans="1:6" x14ac:dyDescent="0.2">
      <c r="A1063" s="275"/>
      <c r="B1063" s="78"/>
      <c r="C1063" s="189"/>
      <c r="D1063" s="185"/>
      <c r="E1063" s="186"/>
      <c r="F1063" s="187"/>
    </row>
    <row r="1064" spans="1:6" x14ac:dyDescent="0.2">
      <c r="A1064" s="275"/>
      <c r="B1064" s="78"/>
      <c r="C1064" s="189"/>
      <c r="D1064" s="185"/>
      <c r="E1064" s="186"/>
      <c r="F1064" s="187"/>
    </row>
    <row r="1065" spans="1:6" x14ac:dyDescent="0.2">
      <c r="A1065" s="275"/>
      <c r="B1065" s="78"/>
      <c r="C1065" s="189"/>
      <c r="D1065" s="185"/>
      <c r="E1065" s="186"/>
      <c r="F1065" s="187"/>
    </row>
    <row r="1066" spans="1:6" x14ac:dyDescent="0.2">
      <c r="A1066" s="275"/>
      <c r="B1066" s="78"/>
      <c r="C1066" s="189"/>
      <c r="D1066" s="185"/>
      <c r="E1066" s="186"/>
      <c r="F1066" s="187"/>
    </row>
    <row r="1067" spans="1:6" x14ac:dyDescent="0.2">
      <c r="A1067" s="275"/>
      <c r="B1067" s="78"/>
      <c r="C1067" s="189"/>
      <c r="D1067" s="185"/>
      <c r="E1067" s="186"/>
      <c r="F1067" s="187"/>
    </row>
    <row r="1068" spans="1:6" x14ac:dyDescent="0.2">
      <c r="A1068" s="275"/>
      <c r="B1068" s="78"/>
      <c r="C1068" s="189"/>
      <c r="D1068" s="185"/>
      <c r="E1068" s="186"/>
      <c r="F1068" s="187"/>
    </row>
    <row r="1069" spans="1:6" x14ac:dyDescent="0.2">
      <c r="A1069" s="275"/>
      <c r="B1069" s="78"/>
      <c r="C1069" s="189"/>
      <c r="D1069" s="185"/>
      <c r="E1069" s="186"/>
      <c r="F1069" s="187"/>
    </row>
    <row r="1070" spans="1:6" x14ac:dyDescent="0.2">
      <c r="A1070" s="275"/>
      <c r="B1070" s="78"/>
      <c r="C1070" s="189"/>
      <c r="D1070" s="185"/>
      <c r="E1070" s="186"/>
      <c r="F1070" s="187"/>
    </row>
    <row r="1071" spans="1:6" x14ac:dyDescent="0.2">
      <c r="A1071" s="275"/>
      <c r="B1071" s="78"/>
      <c r="C1071" s="189"/>
      <c r="D1071" s="185"/>
      <c r="E1071" s="186"/>
      <c r="F1071" s="187"/>
    </row>
    <row r="1072" spans="1:6" x14ac:dyDescent="0.2">
      <c r="A1072" s="275"/>
      <c r="B1072" s="78"/>
      <c r="C1072" s="189"/>
      <c r="D1072" s="185"/>
      <c r="E1072" s="186"/>
      <c r="F1072" s="187"/>
    </row>
    <row r="1073" spans="1:6" x14ac:dyDescent="0.2">
      <c r="A1073" s="275"/>
      <c r="B1073" s="78"/>
      <c r="C1073" s="189"/>
      <c r="D1073" s="185"/>
      <c r="E1073" s="186"/>
      <c r="F1073" s="187"/>
    </row>
    <row r="1074" spans="1:6" x14ac:dyDescent="0.2">
      <c r="A1074" s="275"/>
      <c r="B1074" s="78"/>
      <c r="C1074" s="189"/>
      <c r="D1074" s="185"/>
      <c r="E1074" s="186"/>
      <c r="F1074" s="187"/>
    </row>
    <row r="1075" spans="1:6" x14ac:dyDescent="0.2">
      <c r="A1075" s="275"/>
      <c r="B1075" s="78"/>
      <c r="C1075" s="189"/>
      <c r="D1075" s="185"/>
      <c r="E1075" s="186"/>
      <c r="F1075" s="187"/>
    </row>
    <row r="1076" spans="1:6" x14ac:dyDescent="0.2">
      <c r="A1076" s="275"/>
      <c r="B1076" s="78"/>
      <c r="C1076" s="189"/>
      <c r="D1076" s="185"/>
      <c r="E1076" s="186"/>
      <c r="F1076" s="187"/>
    </row>
    <row r="1077" spans="1:6" x14ac:dyDescent="0.2">
      <c r="A1077" s="275"/>
      <c r="B1077" s="78"/>
      <c r="C1077" s="189"/>
      <c r="D1077" s="185"/>
      <c r="E1077" s="186"/>
      <c r="F1077" s="187"/>
    </row>
    <row r="1078" spans="1:6" x14ac:dyDescent="0.2">
      <c r="A1078" s="275"/>
      <c r="B1078" s="78"/>
      <c r="C1078" s="189"/>
      <c r="D1078" s="185"/>
      <c r="E1078" s="186"/>
      <c r="F1078" s="187"/>
    </row>
    <row r="1079" spans="1:6" x14ac:dyDescent="0.2">
      <c r="A1079" s="275"/>
      <c r="B1079" s="78"/>
      <c r="C1079" s="189"/>
      <c r="D1079" s="185"/>
      <c r="E1079" s="186"/>
      <c r="F1079" s="187"/>
    </row>
    <row r="1080" spans="1:6" x14ac:dyDescent="0.2">
      <c r="A1080" s="275"/>
      <c r="B1080" s="78"/>
      <c r="C1080" s="189"/>
      <c r="D1080" s="185"/>
      <c r="E1080" s="186"/>
      <c r="F1080" s="187"/>
    </row>
    <row r="1081" spans="1:6" x14ac:dyDescent="0.2">
      <c r="A1081" s="275"/>
      <c r="B1081" s="78"/>
      <c r="C1081" s="189"/>
      <c r="D1081" s="185"/>
      <c r="E1081" s="186"/>
      <c r="F1081" s="187"/>
    </row>
    <row r="1082" spans="1:6" x14ac:dyDescent="0.2">
      <c r="A1082" s="275"/>
      <c r="B1082" s="78"/>
      <c r="C1082" s="189"/>
      <c r="D1082" s="185"/>
      <c r="E1082" s="186"/>
      <c r="F1082" s="187"/>
    </row>
    <row r="1083" spans="1:6" x14ac:dyDescent="0.2">
      <c r="A1083" s="275"/>
      <c r="B1083" s="78"/>
      <c r="C1083" s="189"/>
      <c r="D1083" s="185"/>
      <c r="E1083" s="186"/>
      <c r="F1083" s="187"/>
    </row>
    <row r="1084" spans="1:6" x14ac:dyDescent="0.2">
      <c r="A1084" s="275"/>
      <c r="B1084" s="78"/>
      <c r="C1084" s="189"/>
      <c r="D1084" s="185"/>
      <c r="E1084" s="186"/>
      <c r="F1084" s="187"/>
    </row>
    <row r="1085" spans="1:6" x14ac:dyDescent="0.2">
      <c r="A1085" s="275"/>
      <c r="B1085" s="78"/>
      <c r="C1085" s="189"/>
      <c r="D1085" s="185"/>
      <c r="E1085" s="186"/>
      <c r="F1085" s="187"/>
    </row>
    <row r="1086" spans="1:6" x14ac:dyDescent="0.2">
      <c r="A1086" s="275"/>
      <c r="B1086" s="78"/>
      <c r="C1086" s="189"/>
      <c r="D1086" s="185"/>
      <c r="E1086" s="186"/>
      <c r="F1086" s="187"/>
    </row>
    <row r="1087" spans="1:6" x14ac:dyDescent="0.2">
      <c r="A1087" s="275"/>
      <c r="B1087" s="78"/>
      <c r="C1087" s="189"/>
      <c r="D1087" s="185"/>
      <c r="E1087" s="186"/>
      <c r="F1087" s="187"/>
    </row>
    <row r="1088" spans="1:6" x14ac:dyDescent="0.2">
      <c r="A1088" s="275"/>
      <c r="B1088" s="78"/>
      <c r="C1088" s="189"/>
      <c r="D1088" s="185"/>
      <c r="E1088" s="186"/>
      <c r="F1088" s="187"/>
    </row>
    <row r="1089" spans="1:6" x14ac:dyDescent="0.2">
      <c r="A1089" s="275"/>
      <c r="B1089" s="78"/>
      <c r="C1089" s="189"/>
      <c r="D1089" s="185"/>
      <c r="E1089" s="186"/>
      <c r="F1089" s="187"/>
    </row>
    <row r="1090" spans="1:6" x14ac:dyDescent="0.2">
      <c r="A1090" s="275"/>
      <c r="B1090" s="78"/>
      <c r="C1090" s="189"/>
      <c r="D1090" s="185"/>
      <c r="E1090" s="186"/>
      <c r="F1090" s="187"/>
    </row>
    <row r="1091" spans="1:6" x14ac:dyDescent="0.2">
      <c r="A1091" s="275"/>
      <c r="B1091" s="78"/>
      <c r="C1091" s="189"/>
      <c r="D1091" s="185"/>
      <c r="E1091" s="186"/>
      <c r="F1091" s="187"/>
    </row>
    <row r="1092" spans="1:6" x14ac:dyDescent="0.2">
      <c r="A1092" s="275"/>
      <c r="B1092" s="78"/>
      <c r="C1092" s="189"/>
      <c r="D1092" s="185"/>
      <c r="E1092" s="186"/>
      <c r="F1092" s="187"/>
    </row>
    <row r="1093" spans="1:6" x14ac:dyDescent="0.2">
      <c r="A1093" s="275"/>
      <c r="B1093" s="78"/>
      <c r="C1093" s="189"/>
      <c r="D1093" s="185"/>
      <c r="E1093" s="186"/>
      <c r="F1093" s="187"/>
    </row>
    <row r="1094" spans="1:6" x14ac:dyDescent="0.2">
      <c r="A1094" s="275"/>
      <c r="B1094" s="78"/>
      <c r="C1094" s="189"/>
      <c r="D1094" s="185"/>
      <c r="E1094" s="186"/>
      <c r="F1094" s="187"/>
    </row>
    <row r="1095" spans="1:6" x14ac:dyDescent="0.2">
      <c r="A1095" s="275"/>
      <c r="B1095" s="78"/>
      <c r="C1095" s="189"/>
      <c r="D1095" s="185"/>
      <c r="E1095" s="186"/>
      <c r="F1095" s="187"/>
    </row>
    <row r="1096" spans="1:6" x14ac:dyDescent="0.2">
      <c r="A1096" s="275"/>
      <c r="B1096" s="78"/>
      <c r="C1096" s="189"/>
      <c r="D1096" s="185"/>
      <c r="E1096" s="186"/>
      <c r="F1096" s="187"/>
    </row>
    <row r="1097" spans="1:6" x14ac:dyDescent="0.2">
      <c r="A1097" s="275"/>
      <c r="B1097" s="78"/>
      <c r="C1097" s="189"/>
      <c r="D1097" s="185"/>
      <c r="E1097" s="186"/>
      <c r="F1097" s="187"/>
    </row>
    <row r="1098" spans="1:6" x14ac:dyDescent="0.2">
      <c r="A1098" s="275"/>
      <c r="B1098" s="78"/>
      <c r="C1098" s="189"/>
      <c r="D1098" s="185"/>
      <c r="E1098" s="186"/>
      <c r="F1098" s="187"/>
    </row>
    <row r="1099" spans="1:6" x14ac:dyDescent="0.2">
      <c r="A1099" s="275"/>
      <c r="B1099" s="78"/>
      <c r="C1099" s="189"/>
      <c r="D1099" s="185"/>
      <c r="E1099" s="186"/>
      <c r="F1099" s="187"/>
    </row>
    <row r="1100" spans="1:6" x14ac:dyDescent="0.2">
      <c r="A1100" s="275"/>
      <c r="B1100" s="78"/>
      <c r="C1100" s="189"/>
      <c r="D1100" s="185"/>
      <c r="E1100" s="186"/>
      <c r="F1100" s="187"/>
    </row>
    <row r="1101" spans="1:6" x14ac:dyDescent="0.2">
      <c r="A1101" s="275"/>
      <c r="B1101" s="78"/>
      <c r="C1101" s="189"/>
      <c r="D1101" s="185"/>
      <c r="E1101" s="186"/>
      <c r="F1101" s="187"/>
    </row>
    <row r="1102" spans="1:6" x14ac:dyDescent="0.2">
      <c r="A1102" s="275"/>
      <c r="B1102" s="78"/>
      <c r="C1102" s="189"/>
      <c r="D1102" s="185"/>
      <c r="E1102" s="186"/>
      <c r="F1102" s="187"/>
    </row>
    <row r="1103" spans="1:6" x14ac:dyDescent="0.2">
      <c r="A1103" s="275"/>
      <c r="B1103" s="78"/>
      <c r="C1103" s="189"/>
      <c r="D1103" s="185"/>
      <c r="E1103" s="186"/>
      <c r="F1103" s="187"/>
    </row>
    <row r="1104" spans="1:6" x14ac:dyDescent="0.2">
      <c r="A1104" s="275"/>
      <c r="B1104" s="78"/>
      <c r="C1104" s="189"/>
      <c r="D1104" s="185"/>
      <c r="E1104" s="186"/>
      <c r="F1104" s="187"/>
    </row>
    <row r="1105" spans="1:6" x14ac:dyDescent="0.2">
      <c r="A1105" s="275"/>
      <c r="B1105" s="78"/>
      <c r="C1105" s="189"/>
      <c r="D1105" s="185"/>
      <c r="E1105" s="186"/>
      <c r="F1105" s="187"/>
    </row>
    <row r="1106" spans="1:6" x14ac:dyDescent="0.2">
      <c r="A1106" s="275"/>
      <c r="B1106" s="78"/>
      <c r="C1106" s="189"/>
      <c r="D1106" s="185"/>
      <c r="E1106" s="186"/>
      <c r="F1106" s="187"/>
    </row>
    <row r="1107" spans="1:6" x14ac:dyDescent="0.2">
      <c r="A1107" s="275"/>
      <c r="B1107" s="78"/>
      <c r="C1107" s="189"/>
      <c r="D1107" s="185"/>
      <c r="E1107" s="186"/>
      <c r="F1107" s="187"/>
    </row>
    <row r="1108" spans="1:6" x14ac:dyDescent="0.2">
      <c r="A1108" s="275"/>
      <c r="B1108" s="78"/>
      <c r="C1108" s="189"/>
      <c r="D1108" s="185"/>
      <c r="E1108" s="186"/>
      <c r="F1108" s="187"/>
    </row>
    <row r="1109" spans="1:6" x14ac:dyDescent="0.2">
      <c r="A1109" s="275"/>
      <c r="B1109" s="78"/>
      <c r="C1109" s="189"/>
      <c r="D1109" s="185"/>
      <c r="E1109" s="186"/>
      <c r="F1109" s="187"/>
    </row>
    <row r="1110" spans="1:6" x14ac:dyDescent="0.2">
      <c r="A1110" s="275"/>
      <c r="B1110" s="78"/>
      <c r="C1110" s="189"/>
      <c r="D1110" s="185"/>
      <c r="E1110" s="186"/>
      <c r="F1110" s="187"/>
    </row>
    <row r="1111" spans="1:6" x14ac:dyDescent="0.2">
      <c r="A1111" s="275"/>
      <c r="B1111" s="78"/>
      <c r="C1111" s="189"/>
      <c r="D1111" s="185"/>
      <c r="E1111" s="186"/>
      <c r="F1111" s="187"/>
    </row>
    <row r="1112" spans="1:6" x14ac:dyDescent="0.2">
      <c r="A1112" s="275"/>
      <c r="B1112" s="78"/>
      <c r="C1112" s="189"/>
      <c r="D1112" s="185"/>
      <c r="E1112" s="186"/>
      <c r="F1112" s="187"/>
    </row>
    <row r="1113" spans="1:6" x14ac:dyDescent="0.2">
      <c r="A1113" s="275"/>
      <c r="B1113" s="78"/>
      <c r="C1113" s="189"/>
      <c r="D1113" s="185"/>
      <c r="E1113" s="186"/>
      <c r="F1113" s="187"/>
    </row>
    <row r="1114" spans="1:6" x14ac:dyDescent="0.2">
      <c r="A1114" s="275"/>
      <c r="B1114" s="78"/>
      <c r="C1114" s="189"/>
      <c r="D1114" s="185"/>
      <c r="E1114" s="186"/>
      <c r="F1114" s="187"/>
    </row>
    <row r="1115" spans="1:6" x14ac:dyDescent="0.2">
      <c r="A1115" s="275"/>
      <c r="B1115" s="78"/>
      <c r="C1115" s="189"/>
      <c r="D1115" s="185"/>
      <c r="E1115" s="186"/>
      <c r="F1115" s="187"/>
    </row>
    <row r="1116" spans="1:6" x14ac:dyDescent="0.2">
      <c r="A1116" s="275"/>
      <c r="B1116" s="78"/>
      <c r="C1116" s="189"/>
      <c r="D1116" s="185"/>
      <c r="E1116" s="186"/>
      <c r="F1116" s="187"/>
    </row>
    <row r="1117" spans="1:6" x14ac:dyDescent="0.2">
      <c r="A1117" s="275"/>
      <c r="B1117" s="78"/>
      <c r="C1117" s="189"/>
      <c r="D1117" s="185"/>
      <c r="E1117" s="186"/>
      <c r="F1117" s="187"/>
    </row>
    <row r="1118" spans="1:6" x14ac:dyDescent="0.2">
      <c r="A1118" s="275"/>
      <c r="B1118" s="78"/>
      <c r="C1118" s="189"/>
      <c r="D1118" s="185"/>
      <c r="E1118" s="186"/>
      <c r="F1118" s="187"/>
    </row>
    <row r="1119" spans="1:6" x14ac:dyDescent="0.2">
      <c r="A1119" s="275"/>
      <c r="B1119" s="78"/>
      <c r="C1119" s="189"/>
      <c r="D1119" s="185"/>
      <c r="E1119" s="186"/>
      <c r="F1119" s="187"/>
    </row>
    <row r="1120" spans="1:6" x14ac:dyDescent="0.2">
      <c r="A1120" s="275"/>
      <c r="B1120" s="78"/>
      <c r="C1120" s="189"/>
      <c r="D1120" s="185"/>
      <c r="E1120" s="186"/>
      <c r="F1120" s="187"/>
    </row>
    <row r="1121" spans="1:6" x14ac:dyDescent="0.2">
      <c r="A1121" s="275"/>
      <c r="B1121" s="78"/>
      <c r="C1121" s="189"/>
      <c r="D1121" s="185"/>
      <c r="E1121" s="186"/>
      <c r="F1121" s="187"/>
    </row>
    <row r="1122" spans="1:6" x14ac:dyDescent="0.2">
      <c r="A1122" s="275"/>
      <c r="B1122" s="78"/>
      <c r="C1122" s="189"/>
      <c r="D1122" s="185"/>
      <c r="E1122" s="186"/>
      <c r="F1122" s="187"/>
    </row>
    <row r="1123" spans="1:6" x14ac:dyDescent="0.2">
      <c r="A1123" s="275"/>
      <c r="B1123" s="78"/>
      <c r="C1123" s="189"/>
      <c r="D1123" s="185"/>
      <c r="E1123" s="186"/>
      <c r="F1123" s="187"/>
    </row>
    <row r="1124" spans="1:6" x14ac:dyDescent="0.2">
      <c r="A1124" s="275"/>
      <c r="B1124" s="78"/>
      <c r="C1124" s="189"/>
      <c r="D1124" s="185"/>
      <c r="E1124" s="186"/>
      <c r="F1124" s="187"/>
    </row>
    <row r="1125" spans="1:6" x14ac:dyDescent="0.2">
      <c r="A1125" s="275"/>
      <c r="B1125" s="78"/>
      <c r="C1125" s="189"/>
      <c r="D1125" s="185"/>
      <c r="E1125" s="186"/>
      <c r="F1125" s="187"/>
    </row>
    <row r="1126" spans="1:6" x14ac:dyDescent="0.2">
      <c r="A1126" s="275"/>
      <c r="B1126" s="78"/>
      <c r="C1126" s="189"/>
      <c r="D1126" s="185"/>
      <c r="E1126" s="186"/>
      <c r="F1126" s="187"/>
    </row>
    <row r="1127" spans="1:6" x14ac:dyDescent="0.2">
      <c r="A1127" s="275"/>
      <c r="B1127" s="78"/>
      <c r="C1127" s="189"/>
      <c r="D1127" s="185"/>
      <c r="E1127" s="186"/>
      <c r="F1127" s="187"/>
    </row>
    <row r="1128" spans="1:6" x14ac:dyDescent="0.2">
      <c r="A1128" s="275"/>
      <c r="B1128" s="78"/>
      <c r="C1128" s="189"/>
      <c r="D1128" s="185"/>
      <c r="E1128" s="186"/>
      <c r="F1128" s="187"/>
    </row>
    <row r="1129" spans="1:6" x14ac:dyDescent="0.2">
      <c r="A1129" s="275"/>
      <c r="B1129" s="78"/>
      <c r="C1129" s="189"/>
      <c r="D1129" s="185"/>
      <c r="E1129" s="186"/>
      <c r="F1129" s="187"/>
    </row>
    <row r="1130" spans="1:6" x14ac:dyDescent="0.2">
      <c r="A1130" s="275"/>
      <c r="B1130" s="78"/>
      <c r="C1130" s="189"/>
      <c r="D1130" s="185"/>
      <c r="E1130" s="186"/>
      <c r="F1130" s="187"/>
    </row>
    <row r="1131" spans="1:6" x14ac:dyDescent="0.2">
      <c r="A1131" s="275"/>
      <c r="B1131" s="78"/>
      <c r="C1131" s="189"/>
      <c r="D1131" s="185"/>
      <c r="E1131" s="186"/>
      <c r="F1131" s="187"/>
    </row>
    <row r="1132" spans="1:6" x14ac:dyDescent="0.2">
      <c r="A1132" s="275"/>
      <c r="B1132" s="78"/>
      <c r="C1132" s="189"/>
      <c r="D1132" s="185"/>
      <c r="E1132" s="186"/>
      <c r="F1132" s="187"/>
    </row>
    <row r="1133" spans="1:6" x14ac:dyDescent="0.2">
      <c r="A1133" s="275"/>
      <c r="B1133" s="78"/>
      <c r="C1133" s="189"/>
      <c r="D1133" s="185"/>
      <c r="E1133" s="186"/>
      <c r="F1133" s="187"/>
    </row>
    <row r="1134" spans="1:6" x14ac:dyDescent="0.2">
      <c r="A1134" s="275"/>
      <c r="B1134" s="78"/>
      <c r="C1134" s="189"/>
      <c r="D1134" s="185"/>
      <c r="E1134" s="186"/>
      <c r="F1134" s="187"/>
    </row>
    <row r="1135" spans="1:6" x14ac:dyDescent="0.2">
      <c r="A1135" s="275"/>
      <c r="B1135" s="78"/>
      <c r="C1135" s="189"/>
      <c r="D1135" s="185"/>
      <c r="E1135" s="186"/>
      <c r="F1135" s="187"/>
    </row>
    <row r="1136" spans="1:6" x14ac:dyDescent="0.2">
      <c r="A1136" s="275"/>
      <c r="B1136" s="78"/>
      <c r="C1136" s="189"/>
      <c r="D1136" s="185"/>
      <c r="E1136" s="186"/>
      <c r="F1136" s="187"/>
    </row>
    <row r="1137" spans="1:6" x14ac:dyDescent="0.2">
      <c r="A1137" s="275"/>
      <c r="B1137" s="78"/>
      <c r="C1137" s="189"/>
      <c r="D1137" s="185"/>
      <c r="E1137" s="186"/>
      <c r="F1137" s="187"/>
    </row>
    <row r="1138" spans="1:6" x14ac:dyDescent="0.2">
      <c r="A1138" s="275"/>
      <c r="B1138" s="78"/>
      <c r="C1138" s="189"/>
      <c r="D1138" s="185"/>
      <c r="E1138" s="186"/>
      <c r="F1138" s="187"/>
    </row>
    <row r="1139" spans="1:6" x14ac:dyDescent="0.2">
      <c r="A1139" s="275"/>
      <c r="B1139" s="78"/>
      <c r="C1139" s="189"/>
      <c r="D1139" s="185"/>
      <c r="E1139" s="186"/>
      <c r="F1139" s="187"/>
    </row>
    <row r="1140" spans="1:6" x14ac:dyDescent="0.2">
      <c r="A1140" s="275"/>
      <c r="B1140" s="78"/>
      <c r="C1140" s="189"/>
      <c r="D1140" s="185"/>
      <c r="E1140" s="186"/>
      <c r="F1140" s="187"/>
    </row>
    <row r="1141" spans="1:6" x14ac:dyDescent="0.2">
      <c r="A1141" s="275"/>
      <c r="B1141" s="78"/>
      <c r="C1141" s="189"/>
      <c r="D1141" s="185"/>
      <c r="E1141" s="186"/>
      <c r="F1141" s="187"/>
    </row>
    <row r="1142" spans="1:6" x14ac:dyDescent="0.2">
      <c r="A1142" s="275"/>
      <c r="B1142" s="78"/>
      <c r="C1142" s="189"/>
      <c r="D1142" s="185"/>
      <c r="E1142" s="186"/>
      <c r="F1142" s="187"/>
    </row>
    <row r="1143" spans="1:6" x14ac:dyDescent="0.2">
      <c r="A1143" s="275"/>
      <c r="B1143" s="78"/>
      <c r="C1143" s="189"/>
      <c r="D1143" s="185"/>
      <c r="E1143" s="186"/>
      <c r="F1143" s="187"/>
    </row>
    <row r="1144" spans="1:6" x14ac:dyDescent="0.2">
      <c r="A1144" s="275"/>
      <c r="B1144" s="78"/>
      <c r="C1144" s="189"/>
      <c r="D1144" s="185"/>
      <c r="E1144" s="186"/>
      <c r="F1144" s="187"/>
    </row>
    <row r="1145" spans="1:6" x14ac:dyDescent="0.2">
      <c r="A1145" s="275"/>
      <c r="B1145" s="78"/>
      <c r="C1145" s="189"/>
      <c r="D1145" s="185"/>
      <c r="E1145" s="186"/>
      <c r="F1145" s="187"/>
    </row>
    <row r="1146" spans="1:6" x14ac:dyDescent="0.2">
      <c r="A1146" s="275"/>
      <c r="B1146" s="78"/>
      <c r="C1146" s="189"/>
      <c r="D1146" s="185"/>
      <c r="E1146" s="186"/>
      <c r="F1146" s="187"/>
    </row>
    <row r="1147" spans="1:6" x14ac:dyDescent="0.2">
      <c r="A1147" s="275"/>
      <c r="B1147" s="78"/>
      <c r="C1147" s="189"/>
      <c r="D1147" s="185"/>
      <c r="E1147" s="186"/>
      <c r="F1147" s="187"/>
    </row>
    <row r="1148" spans="1:6" x14ac:dyDescent="0.2">
      <c r="A1148" s="275"/>
      <c r="B1148" s="78"/>
      <c r="C1148" s="189"/>
      <c r="D1148" s="185"/>
      <c r="E1148" s="186"/>
      <c r="F1148" s="187"/>
    </row>
    <row r="1149" spans="1:6" x14ac:dyDescent="0.2">
      <c r="A1149" s="275"/>
      <c r="B1149" s="78"/>
      <c r="C1149" s="189"/>
      <c r="D1149" s="185"/>
      <c r="E1149" s="186"/>
      <c r="F1149" s="187"/>
    </row>
    <row r="1150" spans="1:6" x14ac:dyDescent="0.2">
      <c r="A1150" s="275"/>
      <c r="B1150" s="78"/>
      <c r="C1150" s="189"/>
      <c r="D1150" s="185"/>
      <c r="E1150" s="186"/>
      <c r="F1150" s="187"/>
    </row>
    <row r="1151" spans="1:6" x14ac:dyDescent="0.2">
      <c r="A1151" s="275"/>
      <c r="B1151" s="78"/>
      <c r="C1151" s="189"/>
      <c r="D1151" s="185"/>
      <c r="E1151" s="186"/>
      <c r="F1151" s="187"/>
    </row>
    <row r="1152" spans="1:6" x14ac:dyDescent="0.2">
      <c r="A1152" s="275"/>
      <c r="B1152" s="78"/>
      <c r="C1152" s="189"/>
      <c r="D1152" s="185"/>
      <c r="E1152" s="186"/>
      <c r="F1152" s="187"/>
    </row>
    <row r="1153" spans="1:6" x14ac:dyDescent="0.2">
      <c r="A1153" s="275"/>
      <c r="B1153" s="78"/>
      <c r="C1153" s="189"/>
      <c r="D1153" s="185"/>
      <c r="E1153" s="186"/>
      <c r="F1153" s="187"/>
    </row>
    <row r="1154" spans="1:6" x14ac:dyDescent="0.2">
      <c r="A1154" s="275"/>
      <c r="B1154" s="78"/>
      <c r="C1154" s="189"/>
      <c r="D1154" s="185"/>
      <c r="E1154" s="186"/>
      <c r="F1154" s="187"/>
    </row>
    <row r="1155" spans="1:6" x14ac:dyDescent="0.2">
      <c r="A1155" s="275"/>
      <c r="B1155" s="78"/>
      <c r="C1155" s="189"/>
      <c r="D1155" s="185"/>
      <c r="E1155" s="186"/>
      <c r="F1155" s="187"/>
    </row>
    <row r="1156" spans="1:6" x14ac:dyDescent="0.2">
      <c r="A1156" s="275"/>
      <c r="B1156" s="78"/>
      <c r="C1156" s="189"/>
      <c r="D1156" s="185"/>
      <c r="E1156" s="186"/>
      <c r="F1156" s="187"/>
    </row>
    <row r="1157" spans="1:6" x14ac:dyDescent="0.2">
      <c r="A1157" s="275"/>
      <c r="B1157" s="78"/>
      <c r="C1157" s="189"/>
      <c r="D1157" s="185"/>
      <c r="E1157" s="186"/>
      <c r="F1157" s="187"/>
    </row>
    <row r="1158" spans="1:6" x14ac:dyDescent="0.2">
      <c r="A1158" s="275"/>
      <c r="B1158" s="78"/>
      <c r="C1158" s="189"/>
      <c r="D1158" s="185"/>
      <c r="E1158" s="186"/>
      <c r="F1158" s="187"/>
    </row>
    <row r="1159" spans="1:6" x14ac:dyDescent="0.2">
      <c r="A1159" s="275"/>
      <c r="B1159" s="78"/>
      <c r="C1159" s="189"/>
      <c r="D1159" s="185"/>
      <c r="E1159" s="186"/>
      <c r="F1159" s="187"/>
    </row>
    <row r="1160" spans="1:6" x14ac:dyDescent="0.2">
      <c r="A1160" s="275"/>
      <c r="B1160" s="78"/>
      <c r="C1160" s="189"/>
      <c r="D1160" s="185"/>
      <c r="E1160" s="186"/>
      <c r="F1160" s="187"/>
    </row>
    <row r="1161" spans="1:6" x14ac:dyDescent="0.2">
      <c r="A1161" s="275"/>
      <c r="B1161" s="78"/>
      <c r="C1161" s="189"/>
      <c r="D1161" s="185"/>
      <c r="E1161" s="186"/>
      <c r="F1161" s="187"/>
    </row>
    <row r="1162" spans="1:6" x14ac:dyDescent="0.2">
      <c r="A1162" s="275"/>
      <c r="B1162" s="78"/>
      <c r="C1162" s="189"/>
      <c r="D1162" s="185"/>
      <c r="E1162" s="186"/>
      <c r="F1162" s="187"/>
    </row>
    <row r="1163" spans="1:6" x14ac:dyDescent="0.2">
      <c r="A1163" s="275"/>
      <c r="B1163" s="78"/>
      <c r="C1163" s="189"/>
      <c r="D1163" s="185"/>
      <c r="E1163" s="186"/>
      <c r="F1163" s="187"/>
    </row>
    <row r="1164" spans="1:6" x14ac:dyDescent="0.2">
      <c r="A1164" s="275"/>
      <c r="B1164" s="78"/>
      <c r="C1164" s="189"/>
      <c r="D1164" s="185"/>
      <c r="E1164" s="186"/>
      <c r="F1164" s="187"/>
    </row>
    <row r="1165" spans="1:6" x14ac:dyDescent="0.2">
      <c r="A1165" s="275"/>
      <c r="B1165" s="78"/>
      <c r="C1165" s="189"/>
      <c r="D1165" s="185"/>
      <c r="E1165" s="186"/>
      <c r="F1165" s="187"/>
    </row>
    <row r="1166" spans="1:6" x14ac:dyDescent="0.2">
      <c r="A1166" s="275"/>
      <c r="B1166" s="78"/>
      <c r="C1166" s="189"/>
      <c r="D1166" s="185"/>
      <c r="E1166" s="186"/>
      <c r="F1166" s="187"/>
    </row>
    <row r="1167" spans="1:6" x14ac:dyDescent="0.2">
      <c r="A1167" s="275"/>
      <c r="B1167" s="78"/>
      <c r="C1167" s="189"/>
      <c r="D1167" s="185"/>
      <c r="E1167" s="186"/>
      <c r="F1167" s="187"/>
    </row>
    <row r="1168" spans="1:6" x14ac:dyDescent="0.2">
      <c r="A1168" s="275"/>
      <c r="B1168" s="78"/>
      <c r="C1168" s="189"/>
      <c r="D1168" s="185"/>
      <c r="E1168" s="186"/>
      <c r="F1168" s="187"/>
    </row>
    <row r="1169" spans="1:6" x14ac:dyDescent="0.2">
      <c r="A1169" s="275"/>
      <c r="B1169" s="78"/>
      <c r="C1169" s="189"/>
      <c r="D1169" s="185"/>
      <c r="E1169" s="186"/>
      <c r="F1169" s="187"/>
    </row>
    <row r="1170" spans="1:6" x14ac:dyDescent="0.2">
      <c r="A1170" s="275"/>
      <c r="B1170" s="78"/>
      <c r="C1170" s="189"/>
      <c r="D1170" s="185"/>
      <c r="E1170" s="186"/>
      <c r="F1170" s="187"/>
    </row>
    <row r="1171" spans="1:6" x14ac:dyDescent="0.2">
      <c r="A1171" s="275"/>
      <c r="B1171" s="78"/>
      <c r="C1171" s="189"/>
      <c r="D1171" s="185"/>
      <c r="E1171" s="186"/>
      <c r="F1171" s="187"/>
    </row>
    <row r="1172" spans="1:6" x14ac:dyDescent="0.2">
      <c r="A1172" s="275"/>
      <c r="B1172" s="78"/>
      <c r="C1172" s="189"/>
      <c r="D1172" s="185"/>
      <c r="E1172" s="186"/>
      <c r="F1172" s="187"/>
    </row>
    <row r="1173" spans="1:6" x14ac:dyDescent="0.2">
      <c r="A1173" s="275"/>
      <c r="B1173" s="78"/>
      <c r="C1173" s="189"/>
      <c r="D1173" s="185"/>
      <c r="E1173" s="186"/>
      <c r="F1173" s="187"/>
    </row>
    <row r="1174" spans="1:6" x14ac:dyDescent="0.2">
      <c r="A1174" s="275"/>
      <c r="B1174" s="78"/>
      <c r="C1174" s="189"/>
      <c r="D1174" s="185"/>
      <c r="E1174" s="186"/>
      <c r="F1174" s="187"/>
    </row>
    <row r="1175" spans="1:6" x14ac:dyDescent="0.2">
      <c r="A1175" s="275"/>
      <c r="B1175" s="78"/>
      <c r="C1175" s="189"/>
      <c r="D1175" s="185"/>
      <c r="E1175" s="186"/>
      <c r="F1175" s="187"/>
    </row>
    <row r="1176" spans="1:6" x14ac:dyDescent="0.2">
      <c r="A1176" s="275"/>
      <c r="B1176" s="78"/>
      <c r="C1176" s="189"/>
      <c r="D1176" s="185"/>
      <c r="E1176" s="186"/>
      <c r="F1176" s="187"/>
    </row>
    <row r="1177" spans="1:6" x14ac:dyDescent="0.2">
      <c r="A1177" s="275"/>
      <c r="B1177" s="78"/>
      <c r="C1177" s="189"/>
      <c r="D1177" s="185"/>
      <c r="E1177" s="186"/>
      <c r="F1177" s="187"/>
    </row>
    <row r="1178" spans="1:6" x14ac:dyDescent="0.2">
      <c r="A1178" s="275"/>
      <c r="B1178" s="78"/>
      <c r="C1178" s="189"/>
      <c r="D1178" s="185"/>
      <c r="E1178" s="186"/>
      <c r="F1178" s="187"/>
    </row>
    <row r="1179" spans="1:6" x14ac:dyDescent="0.2">
      <c r="A1179" s="275"/>
      <c r="B1179" s="78"/>
      <c r="C1179" s="189"/>
      <c r="D1179" s="185"/>
      <c r="E1179" s="186"/>
      <c r="F1179" s="187"/>
    </row>
    <row r="1180" spans="1:6" x14ac:dyDescent="0.2">
      <c r="A1180" s="275"/>
      <c r="B1180" s="78"/>
      <c r="C1180" s="189"/>
      <c r="D1180" s="185"/>
      <c r="E1180" s="186"/>
      <c r="F1180" s="187"/>
    </row>
    <row r="1181" spans="1:6" x14ac:dyDescent="0.2">
      <c r="A1181" s="275"/>
      <c r="B1181" s="78"/>
      <c r="C1181" s="189"/>
      <c r="D1181" s="185"/>
      <c r="E1181" s="186"/>
      <c r="F1181" s="187"/>
    </row>
    <row r="1182" spans="1:6" x14ac:dyDescent="0.2">
      <c r="A1182" s="275"/>
      <c r="B1182" s="78"/>
      <c r="C1182" s="189"/>
      <c r="D1182" s="185"/>
      <c r="E1182" s="186"/>
      <c r="F1182" s="187"/>
    </row>
    <row r="1183" spans="1:6" x14ac:dyDescent="0.2">
      <c r="A1183" s="275"/>
      <c r="B1183" s="78"/>
      <c r="C1183" s="189"/>
      <c r="D1183" s="185"/>
      <c r="E1183" s="186"/>
      <c r="F1183" s="187"/>
    </row>
    <row r="1184" spans="1:6" x14ac:dyDescent="0.2">
      <c r="A1184" s="275"/>
      <c r="B1184" s="78"/>
      <c r="C1184" s="189"/>
      <c r="D1184" s="185"/>
      <c r="E1184" s="186"/>
      <c r="F1184" s="187"/>
    </row>
    <row r="1185" spans="1:6" x14ac:dyDescent="0.2">
      <c r="A1185" s="275"/>
      <c r="B1185" s="78"/>
      <c r="C1185" s="189"/>
      <c r="D1185" s="185"/>
      <c r="E1185" s="186"/>
      <c r="F1185" s="187"/>
    </row>
    <row r="1186" spans="1:6" x14ac:dyDescent="0.2">
      <c r="A1186" s="275"/>
      <c r="B1186" s="78"/>
      <c r="C1186" s="189"/>
      <c r="D1186" s="185"/>
      <c r="E1186" s="186"/>
      <c r="F1186" s="187"/>
    </row>
    <row r="1187" spans="1:6" x14ac:dyDescent="0.2">
      <c r="A1187" s="275"/>
      <c r="B1187" s="78"/>
      <c r="C1187" s="189"/>
      <c r="D1187" s="185"/>
      <c r="E1187" s="186"/>
      <c r="F1187" s="187"/>
    </row>
    <row r="1188" spans="1:6" x14ac:dyDescent="0.2">
      <c r="A1188" s="275"/>
      <c r="B1188" s="78"/>
      <c r="C1188" s="189"/>
      <c r="D1188" s="185"/>
      <c r="E1188" s="186"/>
      <c r="F1188" s="187"/>
    </row>
    <row r="1189" spans="1:6" x14ac:dyDescent="0.2">
      <c r="A1189" s="275"/>
      <c r="B1189" s="78"/>
      <c r="C1189" s="189"/>
      <c r="D1189" s="185"/>
      <c r="E1189" s="186"/>
      <c r="F1189" s="187"/>
    </row>
    <row r="1190" spans="1:6" x14ac:dyDescent="0.2">
      <c r="A1190" s="275"/>
      <c r="B1190" s="78"/>
      <c r="C1190" s="189"/>
      <c r="D1190" s="185"/>
      <c r="E1190" s="186"/>
      <c r="F1190" s="187"/>
    </row>
    <row r="1191" spans="1:6" x14ac:dyDescent="0.2">
      <c r="A1191" s="275"/>
      <c r="B1191" s="78"/>
      <c r="C1191" s="189"/>
      <c r="D1191" s="185"/>
      <c r="E1191" s="186"/>
      <c r="F1191" s="187"/>
    </row>
    <row r="1192" spans="1:6" x14ac:dyDescent="0.2">
      <c r="A1192" s="275"/>
      <c r="B1192" s="78"/>
      <c r="C1192" s="189"/>
      <c r="D1192" s="185"/>
      <c r="E1192" s="186"/>
      <c r="F1192" s="187"/>
    </row>
    <row r="1193" spans="1:6" x14ac:dyDescent="0.2">
      <c r="A1193" s="275"/>
      <c r="B1193" s="78"/>
      <c r="C1193" s="189"/>
      <c r="D1193" s="185"/>
      <c r="E1193" s="186"/>
      <c r="F1193" s="187"/>
    </row>
    <row r="1194" spans="1:6" x14ac:dyDescent="0.2">
      <c r="A1194" s="275"/>
      <c r="B1194" s="78"/>
      <c r="C1194" s="189"/>
      <c r="D1194" s="185"/>
      <c r="E1194" s="186"/>
      <c r="F1194" s="187"/>
    </row>
    <row r="1195" spans="1:6" x14ac:dyDescent="0.2">
      <c r="A1195" s="275"/>
      <c r="B1195" s="78"/>
      <c r="C1195" s="189"/>
      <c r="D1195" s="185"/>
      <c r="E1195" s="186"/>
      <c r="F1195" s="187"/>
    </row>
    <row r="1196" spans="1:6" x14ac:dyDescent="0.2">
      <c r="A1196" s="275"/>
      <c r="B1196" s="78"/>
      <c r="C1196" s="189"/>
      <c r="D1196" s="185"/>
      <c r="E1196" s="186"/>
      <c r="F1196" s="187"/>
    </row>
    <row r="1197" spans="1:6" x14ac:dyDescent="0.2">
      <c r="A1197" s="275"/>
      <c r="B1197" s="78"/>
      <c r="C1197" s="189"/>
      <c r="D1197" s="185"/>
      <c r="E1197" s="186"/>
      <c r="F1197" s="187"/>
    </row>
    <row r="1198" spans="1:6" x14ac:dyDescent="0.2">
      <c r="A1198" s="275"/>
      <c r="B1198" s="78"/>
      <c r="C1198" s="189"/>
      <c r="D1198" s="185"/>
      <c r="E1198" s="186"/>
      <c r="F1198" s="187"/>
    </row>
    <row r="1199" spans="1:6" x14ac:dyDescent="0.2">
      <c r="A1199" s="275"/>
      <c r="B1199" s="78"/>
      <c r="C1199" s="189"/>
      <c r="D1199" s="185"/>
      <c r="E1199" s="186"/>
      <c r="F1199" s="187"/>
    </row>
    <row r="1200" spans="1:6" x14ac:dyDescent="0.2">
      <c r="A1200" s="275"/>
      <c r="B1200" s="78"/>
      <c r="C1200" s="189"/>
      <c r="D1200" s="185"/>
      <c r="E1200" s="186"/>
      <c r="F1200" s="187"/>
    </row>
    <row r="1201" spans="1:6" x14ac:dyDescent="0.2">
      <c r="A1201" s="275"/>
      <c r="B1201" s="78"/>
      <c r="C1201" s="189"/>
      <c r="D1201" s="185"/>
      <c r="E1201" s="186"/>
      <c r="F1201" s="187"/>
    </row>
    <row r="1202" spans="1:6" x14ac:dyDescent="0.2">
      <c r="A1202" s="275"/>
      <c r="B1202" s="78"/>
      <c r="C1202" s="189"/>
      <c r="D1202" s="185"/>
      <c r="E1202" s="186"/>
      <c r="F1202" s="187"/>
    </row>
    <row r="1203" spans="1:6" x14ac:dyDescent="0.2">
      <c r="A1203" s="275"/>
      <c r="B1203" s="78"/>
      <c r="C1203" s="189"/>
      <c r="D1203" s="185"/>
      <c r="E1203" s="186"/>
      <c r="F1203" s="187"/>
    </row>
    <row r="1204" spans="1:6" x14ac:dyDescent="0.2">
      <c r="A1204" s="275"/>
      <c r="B1204" s="78"/>
      <c r="C1204" s="189"/>
      <c r="D1204" s="185"/>
      <c r="E1204" s="186"/>
      <c r="F1204" s="187"/>
    </row>
    <row r="1205" spans="1:6" x14ac:dyDescent="0.2">
      <c r="A1205" s="275"/>
      <c r="B1205" s="78"/>
      <c r="C1205" s="189"/>
      <c r="D1205" s="185"/>
      <c r="E1205" s="186"/>
      <c r="F1205" s="187"/>
    </row>
    <row r="1206" spans="1:6" x14ac:dyDescent="0.2">
      <c r="A1206" s="275"/>
      <c r="B1206" s="78"/>
      <c r="C1206" s="189"/>
      <c r="D1206" s="185"/>
      <c r="E1206" s="186"/>
      <c r="F1206" s="187"/>
    </row>
    <row r="1207" spans="1:6" x14ac:dyDescent="0.2">
      <c r="A1207" s="275"/>
      <c r="B1207" s="78"/>
      <c r="C1207" s="189"/>
      <c r="D1207" s="185"/>
      <c r="E1207" s="186"/>
      <c r="F1207" s="187"/>
    </row>
    <row r="1208" spans="1:6" x14ac:dyDescent="0.2">
      <c r="A1208" s="275"/>
      <c r="B1208" s="78"/>
      <c r="C1208" s="189"/>
      <c r="D1208" s="185"/>
      <c r="E1208" s="186"/>
      <c r="F1208" s="187"/>
    </row>
    <row r="1209" spans="1:6" x14ac:dyDescent="0.2">
      <c r="A1209" s="275"/>
      <c r="B1209" s="78"/>
      <c r="C1209" s="189"/>
      <c r="D1209" s="185"/>
      <c r="E1209" s="186"/>
      <c r="F1209" s="187"/>
    </row>
    <row r="1210" spans="1:6" x14ac:dyDescent="0.2">
      <c r="A1210" s="275"/>
      <c r="B1210" s="78"/>
      <c r="C1210" s="189"/>
      <c r="D1210" s="185"/>
      <c r="E1210" s="186"/>
      <c r="F1210" s="187"/>
    </row>
    <row r="1211" spans="1:6" x14ac:dyDescent="0.2">
      <c r="A1211" s="275"/>
      <c r="B1211" s="78"/>
      <c r="C1211" s="189"/>
      <c r="D1211" s="185"/>
      <c r="E1211" s="186"/>
      <c r="F1211" s="187"/>
    </row>
    <row r="1212" spans="1:6" x14ac:dyDescent="0.2">
      <c r="A1212" s="275"/>
      <c r="B1212" s="78"/>
      <c r="C1212" s="189"/>
      <c r="D1212" s="185"/>
      <c r="E1212" s="186"/>
      <c r="F1212" s="187"/>
    </row>
    <row r="1213" spans="1:6" x14ac:dyDescent="0.2">
      <c r="A1213" s="275"/>
      <c r="B1213" s="78"/>
      <c r="C1213" s="189"/>
      <c r="D1213" s="185"/>
      <c r="E1213" s="186"/>
      <c r="F1213" s="187"/>
    </row>
    <row r="1214" spans="1:6" x14ac:dyDescent="0.2">
      <c r="A1214" s="275"/>
      <c r="B1214" s="78"/>
      <c r="C1214" s="189"/>
      <c r="D1214" s="185"/>
      <c r="E1214" s="186"/>
      <c r="F1214" s="187"/>
    </row>
    <row r="1215" spans="1:6" x14ac:dyDescent="0.2">
      <c r="A1215" s="275"/>
      <c r="B1215" s="78"/>
      <c r="C1215" s="189"/>
      <c r="D1215" s="185"/>
      <c r="E1215" s="186"/>
      <c r="F1215" s="187"/>
    </row>
    <row r="1216" spans="1:6" x14ac:dyDescent="0.2">
      <c r="A1216" s="275"/>
      <c r="B1216" s="78"/>
      <c r="C1216" s="189"/>
      <c r="D1216" s="185"/>
      <c r="E1216" s="186"/>
      <c r="F1216" s="187"/>
    </row>
    <row r="1217" spans="1:6" x14ac:dyDescent="0.2">
      <c r="A1217" s="275"/>
      <c r="B1217" s="78"/>
      <c r="C1217" s="189"/>
      <c r="D1217" s="185"/>
      <c r="E1217" s="186"/>
      <c r="F1217" s="187"/>
    </row>
    <row r="1218" spans="1:6" x14ac:dyDescent="0.2">
      <c r="A1218" s="275"/>
      <c r="B1218" s="78"/>
      <c r="C1218" s="189"/>
      <c r="D1218" s="185"/>
      <c r="E1218" s="186"/>
      <c r="F1218" s="187"/>
    </row>
    <row r="1219" spans="1:6" x14ac:dyDescent="0.2">
      <c r="A1219" s="275"/>
      <c r="B1219" s="78"/>
      <c r="C1219" s="189"/>
      <c r="D1219" s="185"/>
      <c r="E1219" s="186"/>
      <c r="F1219" s="187"/>
    </row>
    <row r="1220" spans="1:6" x14ac:dyDescent="0.2">
      <c r="A1220" s="275"/>
      <c r="B1220" s="78"/>
      <c r="C1220" s="189"/>
      <c r="D1220" s="185"/>
      <c r="E1220" s="186"/>
      <c r="F1220" s="187"/>
    </row>
    <row r="1221" spans="1:6" x14ac:dyDescent="0.2">
      <c r="A1221" s="275"/>
      <c r="B1221" s="78"/>
      <c r="C1221" s="189"/>
      <c r="D1221" s="185"/>
      <c r="E1221" s="186"/>
      <c r="F1221" s="187"/>
    </row>
    <row r="1222" spans="1:6" x14ac:dyDescent="0.2">
      <c r="A1222" s="275"/>
      <c r="B1222" s="78"/>
      <c r="C1222" s="189"/>
      <c r="D1222" s="185"/>
      <c r="E1222" s="186"/>
      <c r="F1222" s="187"/>
    </row>
    <row r="1223" spans="1:6" x14ac:dyDescent="0.2">
      <c r="A1223" s="275"/>
      <c r="B1223" s="78"/>
      <c r="C1223" s="189"/>
      <c r="D1223" s="185"/>
      <c r="E1223" s="186"/>
      <c r="F1223" s="187"/>
    </row>
    <row r="1224" spans="1:6" x14ac:dyDescent="0.2">
      <c r="A1224" s="275"/>
      <c r="B1224" s="78"/>
      <c r="C1224" s="189"/>
      <c r="D1224" s="185"/>
      <c r="E1224" s="186"/>
      <c r="F1224" s="187"/>
    </row>
    <row r="1225" spans="1:6" x14ac:dyDescent="0.2">
      <c r="A1225" s="275"/>
      <c r="B1225" s="78"/>
      <c r="C1225" s="189"/>
      <c r="D1225" s="185"/>
      <c r="E1225" s="186"/>
      <c r="F1225" s="187"/>
    </row>
    <row r="1226" spans="1:6" x14ac:dyDescent="0.2">
      <c r="A1226" s="275"/>
      <c r="B1226" s="78"/>
      <c r="C1226" s="189"/>
      <c r="D1226" s="185"/>
      <c r="E1226" s="186"/>
      <c r="F1226" s="187"/>
    </row>
    <row r="1227" spans="1:6" x14ac:dyDescent="0.2">
      <c r="A1227" s="275"/>
      <c r="B1227" s="78"/>
      <c r="C1227" s="189"/>
      <c r="D1227" s="185"/>
      <c r="E1227" s="186"/>
      <c r="F1227" s="187"/>
    </row>
    <row r="1228" spans="1:6" x14ac:dyDescent="0.2">
      <c r="A1228" s="275"/>
      <c r="B1228" s="78"/>
      <c r="C1228" s="189"/>
      <c r="D1228" s="185"/>
      <c r="E1228" s="186"/>
      <c r="F1228" s="187"/>
    </row>
    <row r="1229" spans="1:6" x14ac:dyDescent="0.2">
      <c r="A1229" s="275"/>
      <c r="B1229" s="78"/>
      <c r="C1229" s="189"/>
      <c r="D1229" s="185"/>
      <c r="E1229" s="186"/>
      <c r="F1229" s="187"/>
    </row>
    <row r="1230" spans="1:6" x14ac:dyDescent="0.2">
      <c r="A1230" s="275"/>
      <c r="B1230" s="78"/>
      <c r="C1230" s="189"/>
      <c r="D1230" s="185"/>
      <c r="E1230" s="186"/>
      <c r="F1230" s="187"/>
    </row>
    <row r="1231" spans="1:6" x14ac:dyDescent="0.2">
      <c r="A1231" s="275"/>
      <c r="B1231" s="78"/>
      <c r="C1231" s="189"/>
      <c r="D1231" s="185"/>
      <c r="E1231" s="186"/>
      <c r="F1231" s="187"/>
    </row>
    <row r="1232" spans="1:6" x14ac:dyDescent="0.2">
      <c r="A1232" s="275"/>
      <c r="B1232" s="78"/>
      <c r="C1232" s="189"/>
      <c r="D1232" s="185"/>
      <c r="E1232" s="186"/>
      <c r="F1232" s="187"/>
    </row>
    <row r="1233" spans="1:6" x14ac:dyDescent="0.2">
      <c r="A1233" s="275"/>
      <c r="B1233" s="78"/>
      <c r="C1233" s="189"/>
      <c r="D1233" s="185"/>
      <c r="E1233" s="186"/>
      <c r="F1233" s="187"/>
    </row>
    <row r="1234" spans="1:6" x14ac:dyDescent="0.2">
      <c r="A1234" s="275"/>
      <c r="B1234" s="78"/>
      <c r="C1234" s="189"/>
      <c r="D1234" s="185"/>
      <c r="E1234" s="186"/>
      <c r="F1234" s="187"/>
    </row>
    <row r="1235" spans="1:6" x14ac:dyDescent="0.2">
      <c r="A1235" s="275"/>
      <c r="B1235" s="78"/>
      <c r="C1235" s="189"/>
      <c r="D1235" s="185"/>
      <c r="E1235" s="186"/>
      <c r="F1235" s="187"/>
    </row>
    <row r="1236" spans="1:6" x14ac:dyDescent="0.2">
      <c r="A1236" s="275"/>
      <c r="B1236" s="78"/>
      <c r="C1236" s="189"/>
      <c r="D1236" s="185"/>
      <c r="E1236" s="186"/>
      <c r="F1236" s="187"/>
    </row>
    <row r="1237" spans="1:6" x14ac:dyDescent="0.2">
      <c r="A1237" s="275"/>
      <c r="B1237" s="78"/>
      <c r="C1237" s="189"/>
      <c r="D1237" s="185"/>
      <c r="E1237" s="186"/>
      <c r="F1237" s="187"/>
    </row>
    <row r="1238" spans="1:6" x14ac:dyDescent="0.2">
      <c r="A1238" s="275"/>
      <c r="B1238" s="78"/>
      <c r="C1238" s="189"/>
      <c r="D1238" s="185"/>
      <c r="E1238" s="186"/>
      <c r="F1238" s="187"/>
    </row>
    <row r="1239" spans="1:6" x14ac:dyDescent="0.2">
      <c r="A1239" s="275"/>
      <c r="B1239" s="78"/>
      <c r="C1239" s="189"/>
      <c r="D1239" s="185"/>
      <c r="E1239" s="186"/>
      <c r="F1239" s="187"/>
    </row>
    <row r="1240" spans="1:6" x14ac:dyDescent="0.2">
      <c r="A1240" s="275"/>
      <c r="B1240" s="78"/>
      <c r="C1240" s="189"/>
      <c r="D1240" s="185"/>
      <c r="E1240" s="186"/>
      <c r="F1240" s="187"/>
    </row>
    <row r="1241" spans="1:6" x14ac:dyDescent="0.2">
      <c r="A1241" s="275"/>
      <c r="B1241" s="78"/>
      <c r="C1241" s="189"/>
      <c r="D1241" s="185"/>
      <c r="E1241" s="186"/>
      <c r="F1241" s="187"/>
    </row>
    <row r="1242" spans="1:6" x14ac:dyDescent="0.2">
      <c r="A1242" s="275"/>
      <c r="B1242" s="78"/>
      <c r="C1242" s="189"/>
      <c r="D1242" s="185"/>
      <c r="E1242" s="186"/>
      <c r="F1242" s="187"/>
    </row>
    <row r="1243" spans="1:6" x14ac:dyDescent="0.2">
      <c r="A1243" s="275"/>
      <c r="B1243" s="78"/>
      <c r="C1243" s="189"/>
      <c r="D1243" s="185"/>
      <c r="E1243" s="186"/>
      <c r="F1243" s="187"/>
    </row>
    <row r="1244" spans="1:6" x14ac:dyDescent="0.2">
      <c r="A1244" s="275"/>
      <c r="B1244" s="78"/>
      <c r="C1244" s="189"/>
      <c r="D1244" s="185"/>
      <c r="E1244" s="186"/>
      <c r="F1244" s="187"/>
    </row>
    <row r="1245" spans="1:6" x14ac:dyDescent="0.2">
      <c r="A1245" s="275"/>
      <c r="B1245" s="78"/>
      <c r="C1245" s="189"/>
      <c r="D1245" s="185"/>
      <c r="E1245" s="186"/>
      <c r="F1245" s="187"/>
    </row>
    <row r="1246" spans="1:6" x14ac:dyDescent="0.2">
      <c r="A1246" s="275"/>
      <c r="B1246" s="78"/>
      <c r="C1246" s="189"/>
      <c r="D1246" s="185"/>
      <c r="E1246" s="186"/>
      <c r="F1246" s="187"/>
    </row>
    <row r="1247" spans="1:6" x14ac:dyDescent="0.2">
      <c r="A1247" s="275"/>
      <c r="B1247" s="78"/>
      <c r="C1247" s="189"/>
      <c r="D1247" s="185"/>
      <c r="E1247" s="186"/>
      <c r="F1247" s="187"/>
    </row>
    <row r="1248" spans="1:6" x14ac:dyDescent="0.2">
      <c r="A1248" s="275"/>
      <c r="B1248" s="78"/>
      <c r="C1248" s="189"/>
      <c r="D1248" s="185"/>
      <c r="E1248" s="186"/>
      <c r="F1248" s="187"/>
    </row>
    <row r="1249" spans="1:6" x14ac:dyDescent="0.2">
      <c r="A1249" s="275"/>
      <c r="B1249" s="78"/>
      <c r="C1249" s="189"/>
      <c r="D1249" s="185"/>
      <c r="E1249" s="186"/>
      <c r="F1249" s="187"/>
    </row>
    <row r="1250" spans="1:6" x14ac:dyDescent="0.2">
      <c r="A1250" s="275"/>
      <c r="B1250" s="78"/>
      <c r="C1250" s="189"/>
      <c r="D1250" s="185"/>
      <c r="E1250" s="186"/>
      <c r="F1250" s="187"/>
    </row>
    <row r="1251" spans="1:6" x14ac:dyDescent="0.2">
      <c r="A1251" s="275"/>
      <c r="B1251" s="78"/>
      <c r="C1251" s="189"/>
      <c r="D1251" s="185"/>
      <c r="E1251" s="186"/>
      <c r="F1251" s="187"/>
    </row>
    <row r="1252" spans="1:6" x14ac:dyDescent="0.2">
      <c r="A1252" s="275"/>
      <c r="B1252" s="78"/>
      <c r="C1252" s="189"/>
      <c r="D1252" s="185"/>
      <c r="E1252" s="186"/>
      <c r="F1252" s="187"/>
    </row>
    <row r="1253" spans="1:6" x14ac:dyDescent="0.2">
      <c r="A1253" s="275"/>
      <c r="B1253" s="78"/>
      <c r="C1253" s="189"/>
      <c r="D1253" s="185"/>
      <c r="E1253" s="186"/>
      <c r="F1253" s="187"/>
    </row>
    <row r="1254" spans="1:6" x14ac:dyDescent="0.2">
      <c r="A1254" s="275"/>
      <c r="B1254" s="78"/>
      <c r="C1254" s="189"/>
      <c r="D1254" s="185"/>
      <c r="E1254" s="186"/>
      <c r="F1254" s="187"/>
    </row>
    <row r="1255" spans="1:6" x14ac:dyDescent="0.2">
      <c r="A1255" s="275"/>
      <c r="B1255" s="78"/>
      <c r="C1255" s="189"/>
      <c r="D1255" s="185"/>
      <c r="E1255" s="186"/>
      <c r="F1255" s="187"/>
    </row>
    <row r="1256" spans="1:6" x14ac:dyDescent="0.2">
      <c r="A1256" s="275"/>
      <c r="B1256" s="78"/>
      <c r="C1256" s="189"/>
      <c r="D1256" s="185"/>
      <c r="E1256" s="186"/>
      <c r="F1256" s="187"/>
    </row>
    <row r="1257" spans="1:6" x14ac:dyDescent="0.2">
      <c r="A1257" s="275"/>
      <c r="B1257" s="78"/>
      <c r="C1257" s="189"/>
      <c r="D1257" s="185"/>
      <c r="E1257" s="186"/>
      <c r="F1257" s="187"/>
    </row>
    <row r="1258" spans="1:6" x14ac:dyDescent="0.2">
      <c r="A1258" s="275"/>
      <c r="B1258" s="78"/>
      <c r="C1258" s="189"/>
      <c r="D1258" s="185"/>
      <c r="E1258" s="186"/>
      <c r="F1258" s="187"/>
    </row>
    <row r="1259" spans="1:6" x14ac:dyDescent="0.2">
      <c r="A1259" s="275"/>
      <c r="B1259" s="78"/>
      <c r="C1259" s="189"/>
      <c r="D1259" s="185"/>
      <c r="E1259" s="186"/>
      <c r="F1259" s="187"/>
    </row>
    <row r="1260" spans="1:6" x14ac:dyDescent="0.2">
      <c r="A1260" s="275"/>
      <c r="B1260" s="78"/>
      <c r="C1260" s="189"/>
      <c r="D1260" s="185"/>
      <c r="E1260" s="186"/>
      <c r="F1260" s="187"/>
    </row>
    <row r="1261" spans="1:6" x14ac:dyDescent="0.2">
      <c r="A1261" s="275"/>
      <c r="B1261" s="78"/>
      <c r="C1261" s="189"/>
      <c r="D1261" s="185"/>
      <c r="E1261" s="186"/>
      <c r="F1261" s="187"/>
    </row>
    <row r="1262" spans="1:6" x14ac:dyDescent="0.2">
      <c r="A1262" s="275"/>
      <c r="B1262" s="78"/>
      <c r="C1262" s="189"/>
      <c r="D1262" s="185"/>
      <c r="E1262" s="186"/>
      <c r="F1262" s="187"/>
    </row>
    <row r="1263" spans="1:6" x14ac:dyDescent="0.2">
      <c r="A1263" s="275"/>
      <c r="B1263" s="78"/>
      <c r="C1263" s="189"/>
      <c r="D1263" s="185"/>
      <c r="E1263" s="186"/>
      <c r="F1263" s="187"/>
    </row>
    <row r="1264" spans="1:6" x14ac:dyDescent="0.2">
      <c r="A1264" s="275"/>
      <c r="B1264" s="78"/>
      <c r="C1264" s="189"/>
      <c r="D1264" s="185"/>
      <c r="E1264" s="186"/>
      <c r="F1264" s="187"/>
    </row>
    <row r="1265" spans="1:6" x14ac:dyDescent="0.2">
      <c r="A1265" s="275"/>
      <c r="B1265" s="78"/>
      <c r="C1265" s="189"/>
      <c r="D1265" s="185"/>
      <c r="E1265" s="186"/>
      <c r="F1265" s="187"/>
    </row>
    <row r="1266" spans="1:6" x14ac:dyDescent="0.2">
      <c r="A1266" s="275"/>
      <c r="B1266" s="78"/>
      <c r="C1266" s="189"/>
      <c r="D1266" s="185"/>
      <c r="E1266" s="186"/>
      <c r="F1266" s="187"/>
    </row>
    <row r="1267" spans="1:6" x14ac:dyDescent="0.2">
      <c r="A1267" s="275"/>
      <c r="B1267" s="78"/>
      <c r="C1267" s="189"/>
      <c r="D1267" s="185"/>
      <c r="E1267" s="186"/>
      <c r="F1267" s="187"/>
    </row>
    <row r="1268" spans="1:6" x14ac:dyDescent="0.2">
      <c r="A1268" s="275"/>
      <c r="B1268" s="78"/>
      <c r="C1268" s="189"/>
      <c r="D1268" s="185"/>
      <c r="E1268" s="186"/>
      <c r="F1268" s="187"/>
    </row>
    <row r="1269" spans="1:6" x14ac:dyDescent="0.2">
      <c r="A1269" s="275"/>
      <c r="B1269" s="78"/>
      <c r="C1269" s="189"/>
      <c r="D1269" s="185"/>
      <c r="E1269" s="186"/>
      <c r="F1269" s="187"/>
    </row>
    <row r="1270" spans="1:6" x14ac:dyDescent="0.2">
      <c r="A1270" s="275"/>
      <c r="B1270" s="78"/>
      <c r="C1270" s="189"/>
      <c r="D1270" s="185"/>
      <c r="E1270" s="186"/>
      <c r="F1270" s="187"/>
    </row>
    <row r="1271" spans="1:6" x14ac:dyDescent="0.2">
      <c r="A1271" s="275"/>
      <c r="B1271" s="78"/>
      <c r="C1271" s="189"/>
      <c r="D1271" s="185"/>
      <c r="E1271" s="186"/>
      <c r="F1271" s="187"/>
    </row>
    <row r="1272" spans="1:6" x14ac:dyDescent="0.2">
      <c r="A1272" s="275"/>
      <c r="B1272" s="78"/>
      <c r="C1272" s="189"/>
      <c r="D1272" s="185"/>
      <c r="E1272" s="186"/>
      <c r="F1272" s="187"/>
    </row>
    <row r="1273" spans="1:6" x14ac:dyDescent="0.2">
      <c r="A1273" s="275"/>
      <c r="B1273" s="78"/>
      <c r="C1273" s="189"/>
      <c r="D1273" s="185"/>
      <c r="E1273" s="186"/>
      <c r="F1273" s="187"/>
    </row>
    <row r="1274" spans="1:6" x14ac:dyDescent="0.2">
      <c r="A1274" s="275"/>
      <c r="B1274" s="78"/>
      <c r="C1274" s="189"/>
      <c r="D1274" s="185"/>
      <c r="E1274" s="186"/>
      <c r="F1274" s="187"/>
    </row>
    <row r="1275" spans="1:6" x14ac:dyDescent="0.2">
      <c r="A1275" s="275"/>
      <c r="B1275" s="78"/>
      <c r="C1275" s="189"/>
      <c r="D1275" s="185"/>
      <c r="E1275" s="186"/>
      <c r="F1275" s="187"/>
    </row>
    <row r="1276" spans="1:6" x14ac:dyDescent="0.2">
      <c r="A1276" s="275"/>
      <c r="B1276" s="78"/>
      <c r="C1276" s="189"/>
      <c r="D1276" s="185"/>
      <c r="E1276" s="186"/>
      <c r="F1276" s="187"/>
    </row>
    <row r="1277" spans="1:6" x14ac:dyDescent="0.2">
      <c r="A1277" s="275"/>
      <c r="B1277" s="78"/>
      <c r="C1277" s="189"/>
      <c r="D1277" s="185"/>
      <c r="E1277" s="186"/>
      <c r="F1277" s="187"/>
    </row>
    <row r="1278" spans="1:6" x14ac:dyDescent="0.2">
      <c r="A1278" s="275"/>
      <c r="B1278" s="78"/>
      <c r="C1278" s="189"/>
      <c r="D1278" s="185"/>
      <c r="E1278" s="186"/>
      <c r="F1278" s="187"/>
    </row>
    <row r="1279" spans="1:6" x14ac:dyDescent="0.2">
      <c r="A1279" s="275"/>
      <c r="B1279" s="78"/>
      <c r="C1279" s="189"/>
      <c r="D1279" s="185"/>
      <c r="E1279" s="186"/>
      <c r="F1279" s="187"/>
    </row>
    <row r="1280" spans="1:6" x14ac:dyDescent="0.2">
      <c r="A1280" s="275"/>
      <c r="B1280" s="78"/>
      <c r="C1280" s="189"/>
      <c r="D1280" s="185"/>
      <c r="E1280" s="186"/>
      <c r="F1280" s="187"/>
    </row>
    <row r="1281" spans="1:6" x14ac:dyDescent="0.2">
      <c r="A1281" s="275"/>
      <c r="B1281" s="78"/>
      <c r="C1281" s="189"/>
      <c r="D1281" s="185"/>
      <c r="E1281" s="186"/>
      <c r="F1281" s="187"/>
    </row>
    <row r="1282" spans="1:6" x14ac:dyDescent="0.2">
      <c r="A1282" s="275"/>
      <c r="B1282" s="78"/>
      <c r="C1282" s="189"/>
      <c r="D1282" s="185"/>
      <c r="E1282" s="186"/>
      <c r="F1282" s="187"/>
    </row>
    <row r="1283" spans="1:6" x14ac:dyDescent="0.2">
      <c r="A1283" s="275"/>
      <c r="B1283" s="78"/>
      <c r="C1283" s="189"/>
      <c r="D1283" s="185"/>
      <c r="E1283" s="186"/>
      <c r="F1283" s="187"/>
    </row>
    <row r="1284" spans="1:6" x14ac:dyDescent="0.2">
      <c r="A1284" s="275"/>
      <c r="B1284" s="78"/>
      <c r="C1284" s="189"/>
      <c r="D1284" s="185"/>
      <c r="E1284" s="186"/>
      <c r="F1284" s="187"/>
    </row>
    <row r="1285" spans="1:6" x14ac:dyDescent="0.2">
      <c r="A1285" s="275"/>
      <c r="B1285" s="78"/>
      <c r="C1285" s="189"/>
      <c r="D1285" s="185"/>
      <c r="E1285" s="186"/>
      <c r="F1285" s="187"/>
    </row>
    <row r="1286" spans="1:6" x14ac:dyDescent="0.2">
      <c r="A1286" s="275"/>
      <c r="B1286" s="78"/>
      <c r="C1286" s="189"/>
      <c r="D1286" s="185"/>
      <c r="E1286" s="186"/>
      <c r="F1286" s="187"/>
    </row>
    <row r="1287" spans="1:6" x14ac:dyDescent="0.2">
      <c r="A1287" s="275"/>
      <c r="B1287" s="78"/>
      <c r="C1287" s="189"/>
      <c r="D1287" s="185"/>
      <c r="E1287" s="186"/>
      <c r="F1287" s="187"/>
    </row>
    <row r="1288" spans="1:6" x14ac:dyDescent="0.2">
      <c r="A1288" s="275"/>
      <c r="B1288" s="78"/>
      <c r="C1288" s="189"/>
      <c r="D1288" s="185"/>
      <c r="E1288" s="186"/>
      <c r="F1288" s="187"/>
    </row>
    <row r="1289" spans="1:6" x14ac:dyDescent="0.2">
      <c r="A1289" s="275"/>
      <c r="B1289" s="78"/>
      <c r="C1289" s="189"/>
      <c r="D1289" s="185"/>
      <c r="E1289" s="186"/>
      <c r="F1289" s="187"/>
    </row>
    <row r="1290" spans="1:6" x14ac:dyDescent="0.2">
      <c r="A1290" s="275"/>
      <c r="B1290" s="78"/>
      <c r="C1290" s="189"/>
      <c r="D1290" s="185"/>
      <c r="E1290" s="186"/>
      <c r="F1290" s="187"/>
    </row>
    <row r="1291" spans="1:6" x14ac:dyDescent="0.2">
      <c r="A1291" s="275"/>
      <c r="B1291" s="78"/>
      <c r="C1291" s="189"/>
      <c r="D1291" s="185"/>
      <c r="E1291" s="186"/>
      <c r="F1291" s="187"/>
    </row>
    <row r="1292" spans="1:6" x14ac:dyDescent="0.2">
      <c r="A1292" s="275"/>
      <c r="B1292" s="78"/>
      <c r="C1292" s="189"/>
      <c r="D1292" s="185"/>
      <c r="E1292" s="186"/>
      <c r="F1292" s="187"/>
    </row>
    <row r="1293" spans="1:6" x14ac:dyDescent="0.2">
      <c r="A1293" s="275"/>
      <c r="B1293" s="78"/>
      <c r="C1293" s="189"/>
      <c r="D1293" s="185"/>
      <c r="E1293" s="186"/>
      <c r="F1293" s="187"/>
    </row>
    <row r="1294" spans="1:6" x14ac:dyDescent="0.2">
      <c r="A1294" s="275"/>
      <c r="B1294" s="78"/>
      <c r="C1294" s="189"/>
      <c r="D1294" s="185"/>
      <c r="E1294" s="186"/>
      <c r="F1294" s="187"/>
    </row>
    <row r="1295" spans="1:6" x14ac:dyDescent="0.2">
      <c r="A1295" s="275"/>
      <c r="B1295" s="78"/>
      <c r="C1295" s="189"/>
      <c r="D1295" s="185"/>
      <c r="E1295" s="186"/>
      <c r="F1295" s="187"/>
    </row>
    <row r="1296" spans="1:6" x14ac:dyDescent="0.2">
      <c r="A1296" s="275"/>
      <c r="B1296" s="78"/>
      <c r="C1296" s="189"/>
      <c r="D1296" s="185"/>
      <c r="E1296" s="186"/>
      <c r="F1296" s="187"/>
    </row>
    <row r="1297" spans="1:6" x14ac:dyDescent="0.2">
      <c r="A1297" s="275"/>
      <c r="B1297" s="78"/>
      <c r="C1297" s="189"/>
      <c r="D1297" s="185"/>
      <c r="E1297" s="186"/>
      <c r="F1297" s="187"/>
    </row>
    <row r="1298" spans="1:6" x14ac:dyDescent="0.2">
      <c r="A1298" s="275"/>
      <c r="B1298" s="78"/>
      <c r="C1298" s="189"/>
      <c r="D1298" s="185"/>
      <c r="E1298" s="186"/>
      <c r="F1298" s="187"/>
    </row>
    <row r="1299" spans="1:6" x14ac:dyDescent="0.2">
      <c r="A1299" s="275"/>
      <c r="B1299" s="78"/>
      <c r="C1299" s="189"/>
      <c r="D1299" s="185"/>
      <c r="E1299" s="186"/>
      <c r="F1299" s="187"/>
    </row>
    <row r="1300" spans="1:6" x14ac:dyDescent="0.2">
      <c r="A1300" s="275"/>
      <c r="B1300" s="78"/>
      <c r="C1300" s="189"/>
      <c r="D1300" s="185"/>
      <c r="E1300" s="186"/>
      <c r="F1300" s="187"/>
    </row>
    <row r="1301" spans="1:6" x14ac:dyDescent="0.2">
      <c r="A1301" s="275"/>
      <c r="B1301" s="78"/>
      <c r="C1301" s="189"/>
      <c r="D1301" s="185"/>
      <c r="E1301" s="186"/>
      <c r="F1301" s="187"/>
    </row>
    <row r="1302" spans="1:6" x14ac:dyDescent="0.2">
      <c r="A1302" s="275"/>
      <c r="B1302" s="78"/>
      <c r="C1302" s="189"/>
      <c r="D1302" s="185"/>
      <c r="E1302" s="186"/>
      <c r="F1302" s="187"/>
    </row>
    <row r="1303" spans="1:6" x14ac:dyDescent="0.2">
      <c r="A1303" s="275"/>
      <c r="B1303" s="78"/>
      <c r="C1303" s="189"/>
      <c r="D1303" s="185"/>
      <c r="E1303" s="186"/>
      <c r="F1303" s="187"/>
    </row>
    <row r="1304" spans="1:6" x14ac:dyDescent="0.2">
      <c r="A1304" s="275"/>
      <c r="B1304" s="78"/>
      <c r="C1304" s="189"/>
      <c r="D1304" s="185"/>
      <c r="E1304" s="186"/>
      <c r="F1304" s="187"/>
    </row>
    <row r="1305" spans="1:6" x14ac:dyDescent="0.2">
      <c r="A1305" s="275"/>
      <c r="B1305" s="78"/>
      <c r="C1305" s="189"/>
      <c r="D1305" s="185"/>
      <c r="E1305" s="186"/>
      <c r="F1305" s="187"/>
    </row>
    <row r="1306" spans="1:6" x14ac:dyDescent="0.2">
      <c r="A1306" s="275"/>
      <c r="B1306" s="78"/>
      <c r="C1306" s="189"/>
      <c r="D1306" s="185"/>
      <c r="E1306" s="186"/>
      <c r="F1306" s="187"/>
    </row>
    <row r="1307" spans="1:6" x14ac:dyDescent="0.2">
      <c r="A1307" s="275"/>
      <c r="B1307" s="78"/>
      <c r="C1307" s="189"/>
      <c r="D1307" s="185"/>
      <c r="E1307" s="186"/>
      <c r="F1307" s="187"/>
    </row>
    <row r="1308" spans="1:6" x14ac:dyDescent="0.2">
      <c r="A1308" s="275"/>
      <c r="B1308" s="78"/>
      <c r="C1308" s="189"/>
      <c r="D1308" s="185"/>
      <c r="E1308" s="186"/>
      <c r="F1308" s="187"/>
    </row>
    <row r="1309" spans="1:6" x14ac:dyDescent="0.2">
      <c r="A1309" s="275"/>
      <c r="B1309" s="78"/>
      <c r="C1309" s="189"/>
      <c r="D1309" s="185"/>
      <c r="E1309" s="186"/>
      <c r="F1309" s="187"/>
    </row>
    <row r="1310" spans="1:6" x14ac:dyDescent="0.2">
      <c r="A1310" s="275"/>
      <c r="B1310" s="78"/>
      <c r="C1310" s="189"/>
      <c r="D1310" s="185"/>
      <c r="E1310" s="186"/>
      <c r="F1310" s="187"/>
    </row>
    <row r="1311" spans="1:6" x14ac:dyDescent="0.2">
      <c r="A1311" s="275"/>
      <c r="B1311" s="78"/>
      <c r="C1311" s="189"/>
      <c r="D1311" s="185"/>
      <c r="E1311" s="186"/>
      <c r="F1311" s="187"/>
    </row>
    <row r="1312" spans="1:6" x14ac:dyDescent="0.2">
      <c r="A1312" s="275"/>
      <c r="B1312" s="78"/>
      <c r="C1312" s="189"/>
      <c r="D1312" s="185"/>
      <c r="E1312" s="186"/>
      <c r="F1312" s="187"/>
    </row>
    <row r="1313" spans="1:6" x14ac:dyDescent="0.2">
      <c r="A1313" s="275"/>
      <c r="B1313" s="78"/>
      <c r="C1313" s="189"/>
      <c r="D1313" s="185"/>
      <c r="E1313" s="186"/>
      <c r="F1313" s="187"/>
    </row>
    <row r="1314" spans="1:6" x14ac:dyDescent="0.2">
      <c r="A1314" s="275"/>
      <c r="B1314" s="78"/>
      <c r="C1314" s="189"/>
      <c r="D1314" s="185"/>
      <c r="E1314" s="186"/>
      <c r="F1314" s="187"/>
    </row>
    <row r="1315" spans="1:6" x14ac:dyDescent="0.2">
      <c r="A1315" s="275"/>
      <c r="B1315" s="78"/>
      <c r="C1315" s="189"/>
      <c r="D1315" s="185"/>
      <c r="E1315" s="186"/>
      <c r="F1315" s="187"/>
    </row>
    <row r="1316" spans="1:6" x14ac:dyDescent="0.2">
      <c r="A1316" s="275"/>
      <c r="B1316" s="78"/>
      <c r="C1316" s="189"/>
      <c r="D1316" s="185"/>
      <c r="E1316" s="186"/>
      <c r="F1316" s="187"/>
    </row>
    <row r="1317" spans="1:6" x14ac:dyDescent="0.2">
      <c r="A1317" s="275"/>
      <c r="B1317" s="78"/>
      <c r="C1317" s="189"/>
      <c r="D1317" s="185"/>
      <c r="E1317" s="186"/>
      <c r="F1317" s="187"/>
    </row>
    <row r="1318" spans="1:6" x14ac:dyDescent="0.2">
      <c r="A1318" s="275"/>
      <c r="B1318" s="78"/>
      <c r="C1318" s="189"/>
      <c r="D1318" s="185"/>
      <c r="E1318" s="186"/>
      <c r="F1318" s="187"/>
    </row>
    <row r="1319" spans="1:6" x14ac:dyDescent="0.2">
      <c r="A1319" s="275"/>
      <c r="B1319" s="78"/>
      <c r="C1319" s="189"/>
      <c r="D1319" s="185"/>
      <c r="E1319" s="186"/>
      <c r="F1319" s="187"/>
    </row>
    <row r="1320" spans="1:6" x14ac:dyDescent="0.2">
      <c r="A1320" s="275"/>
      <c r="B1320" s="78"/>
      <c r="C1320" s="189"/>
      <c r="D1320" s="185"/>
      <c r="E1320" s="186"/>
      <c r="F1320" s="187"/>
    </row>
    <row r="1321" spans="1:6" x14ac:dyDescent="0.2">
      <c r="A1321" s="275"/>
      <c r="B1321" s="78"/>
      <c r="C1321" s="189"/>
      <c r="D1321" s="185"/>
      <c r="E1321" s="186"/>
      <c r="F1321" s="187"/>
    </row>
    <row r="1322" spans="1:6" x14ac:dyDescent="0.2">
      <c r="A1322" s="275"/>
      <c r="B1322" s="78"/>
      <c r="C1322" s="189"/>
      <c r="D1322" s="185"/>
      <c r="E1322" s="186"/>
      <c r="F1322" s="187"/>
    </row>
    <row r="1323" spans="1:6" x14ac:dyDescent="0.2">
      <c r="A1323" s="275"/>
      <c r="B1323" s="78"/>
      <c r="C1323" s="189"/>
      <c r="D1323" s="185"/>
      <c r="E1323" s="186"/>
      <c r="F1323" s="187"/>
    </row>
    <row r="1324" spans="1:6" x14ac:dyDescent="0.2">
      <c r="A1324" s="275"/>
      <c r="B1324" s="78"/>
      <c r="C1324" s="189"/>
      <c r="D1324" s="185"/>
      <c r="E1324" s="186"/>
      <c r="F1324" s="187"/>
    </row>
    <row r="1325" spans="1:6" x14ac:dyDescent="0.2">
      <c r="A1325" s="275"/>
      <c r="B1325" s="78"/>
      <c r="C1325" s="189"/>
      <c r="D1325" s="185"/>
      <c r="E1325" s="186"/>
      <c r="F1325" s="187"/>
    </row>
    <row r="1326" spans="1:6" x14ac:dyDescent="0.2">
      <c r="A1326" s="275"/>
      <c r="B1326" s="78"/>
      <c r="C1326" s="189"/>
      <c r="D1326" s="185"/>
      <c r="E1326" s="186"/>
      <c r="F1326" s="187"/>
    </row>
    <row r="1327" spans="1:6" x14ac:dyDescent="0.2">
      <c r="A1327" s="275"/>
      <c r="B1327" s="78"/>
      <c r="C1327" s="189"/>
      <c r="D1327" s="185"/>
      <c r="E1327" s="186"/>
      <c r="F1327" s="187"/>
    </row>
    <row r="1328" spans="1:6" x14ac:dyDescent="0.2">
      <c r="A1328" s="275"/>
      <c r="B1328" s="78"/>
      <c r="C1328" s="189"/>
      <c r="D1328" s="185"/>
      <c r="E1328" s="186"/>
      <c r="F1328" s="187"/>
    </row>
    <row r="1329" spans="1:6" x14ac:dyDescent="0.2">
      <c r="A1329" s="275"/>
      <c r="B1329" s="78"/>
      <c r="C1329" s="189"/>
      <c r="D1329" s="185"/>
      <c r="E1329" s="186"/>
      <c r="F1329" s="187"/>
    </row>
    <row r="1330" spans="1:6" x14ac:dyDescent="0.2">
      <c r="A1330" s="275"/>
      <c r="B1330" s="78"/>
      <c r="C1330" s="189"/>
      <c r="D1330" s="185"/>
      <c r="E1330" s="186"/>
      <c r="F1330" s="187"/>
    </row>
    <row r="1331" spans="1:6" x14ac:dyDescent="0.2">
      <c r="A1331" s="275"/>
      <c r="B1331" s="78"/>
      <c r="C1331" s="189"/>
      <c r="D1331" s="185"/>
      <c r="E1331" s="186"/>
      <c r="F1331" s="187"/>
    </row>
    <row r="1332" spans="1:6" x14ac:dyDescent="0.2">
      <c r="A1332" s="275"/>
      <c r="B1332" s="78"/>
      <c r="C1332" s="189"/>
      <c r="D1332" s="185"/>
      <c r="E1332" s="186"/>
      <c r="F1332" s="187"/>
    </row>
    <row r="1333" spans="1:6" x14ac:dyDescent="0.2">
      <c r="A1333" s="275"/>
      <c r="B1333" s="78"/>
      <c r="C1333" s="189"/>
      <c r="D1333" s="185"/>
      <c r="E1333" s="186"/>
      <c r="F1333" s="187"/>
    </row>
    <row r="1334" spans="1:6" x14ac:dyDescent="0.2">
      <c r="A1334" s="275"/>
      <c r="B1334" s="78"/>
      <c r="C1334" s="189"/>
      <c r="D1334" s="185"/>
      <c r="E1334" s="186"/>
      <c r="F1334" s="187"/>
    </row>
    <row r="1335" spans="1:6" x14ac:dyDescent="0.2">
      <c r="A1335" s="275"/>
      <c r="B1335" s="78"/>
      <c r="C1335" s="189"/>
      <c r="D1335" s="185"/>
      <c r="E1335" s="186"/>
      <c r="F1335" s="187"/>
    </row>
    <row r="1336" spans="1:6" x14ac:dyDescent="0.2">
      <c r="A1336" s="275"/>
      <c r="B1336" s="78"/>
      <c r="C1336" s="189"/>
      <c r="D1336" s="185"/>
      <c r="E1336" s="186"/>
      <c r="F1336" s="187"/>
    </row>
    <row r="1337" spans="1:6" x14ac:dyDescent="0.2">
      <c r="A1337" s="275"/>
      <c r="B1337" s="78"/>
      <c r="C1337" s="189"/>
      <c r="D1337" s="185"/>
      <c r="E1337" s="186"/>
      <c r="F1337" s="187"/>
    </row>
    <row r="1338" spans="1:6" x14ac:dyDescent="0.2">
      <c r="A1338" s="275"/>
      <c r="B1338" s="78"/>
      <c r="C1338" s="189"/>
      <c r="D1338" s="185"/>
      <c r="E1338" s="186"/>
      <c r="F1338" s="187"/>
    </row>
    <row r="1339" spans="1:6" x14ac:dyDescent="0.2">
      <c r="A1339" s="275"/>
      <c r="B1339" s="78"/>
      <c r="C1339" s="189"/>
      <c r="D1339" s="185"/>
      <c r="E1339" s="186"/>
      <c r="F1339" s="187"/>
    </row>
    <row r="1340" spans="1:6" x14ac:dyDescent="0.2">
      <c r="A1340" s="275"/>
      <c r="B1340" s="78"/>
      <c r="C1340" s="189"/>
      <c r="D1340" s="185"/>
      <c r="E1340" s="186"/>
      <c r="F1340" s="187"/>
    </row>
    <row r="1341" spans="1:6" x14ac:dyDescent="0.2">
      <c r="A1341" s="275"/>
      <c r="B1341" s="78"/>
      <c r="C1341" s="189"/>
      <c r="D1341" s="185"/>
      <c r="E1341" s="186"/>
      <c r="F1341" s="187"/>
    </row>
    <row r="1342" spans="1:6" x14ac:dyDescent="0.2">
      <c r="A1342" s="275"/>
      <c r="B1342" s="78"/>
      <c r="C1342" s="189"/>
      <c r="D1342" s="185"/>
      <c r="E1342" s="186"/>
      <c r="F1342" s="187"/>
    </row>
    <row r="1343" spans="1:6" x14ac:dyDescent="0.2">
      <c r="A1343" s="275"/>
      <c r="B1343" s="78"/>
      <c r="C1343" s="189"/>
      <c r="D1343" s="185"/>
      <c r="E1343" s="186"/>
      <c r="F1343" s="187"/>
    </row>
    <row r="1344" spans="1:6" x14ac:dyDescent="0.2">
      <c r="A1344" s="275"/>
      <c r="B1344" s="78"/>
      <c r="C1344" s="189"/>
      <c r="D1344" s="185"/>
      <c r="E1344" s="186"/>
      <c r="F1344" s="187"/>
    </row>
    <row r="1345" spans="1:6" x14ac:dyDescent="0.2">
      <c r="A1345" s="275"/>
      <c r="B1345" s="78"/>
      <c r="C1345" s="189"/>
      <c r="D1345" s="185"/>
      <c r="E1345" s="186"/>
      <c r="F1345" s="187"/>
    </row>
    <row r="1346" spans="1:6" x14ac:dyDescent="0.2">
      <c r="A1346" s="275"/>
      <c r="B1346" s="78"/>
      <c r="C1346" s="189"/>
      <c r="D1346" s="185"/>
      <c r="E1346" s="186"/>
      <c r="F1346" s="187"/>
    </row>
    <row r="1347" spans="1:6" x14ac:dyDescent="0.2">
      <c r="A1347" s="275"/>
      <c r="B1347" s="78"/>
      <c r="C1347" s="189"/>
      <c r="D1347" s="185"/>
      <c r="E1347" s="186"/>
      <c r="F1347" s="187"/>
    </row>
    <row r="1348" spans="1:6" x14ac:dyDescent="0.2">
      <c r="A1348" s="275"/>
      <c r="B1348" s="78"/>
      <c r="C1348" s="189"/>
      <c r="D1348" s="185"/>
      <c r="E1348" s="186"/>
      <c r="F1348" s="187"/>
    </row>
    <row r="1349" spans="1:6" x14ac:dyDescent="0.2">
      <c r="A1349" s="275"/>
      <c r="B1349" s="78"/>
      <c r="C1349" s="189"/>
      <c r="D1349" s="185"/>
      <c r="E1349" s="186"/>
      <c r="F1349" s="187"/>
    </row>
    <row r="1350" spans="1:6" x14ac:dyDescent="0.2">
      <c r="A1350" s="275"/>
      <c r="B1350" s="78"/>
      <c r="C1350" s="189"/>
      <c r="D1350" s="185"/>
      <c r="E1350" s="186"/>
      <c r="F1350" s="187"/>
    </row>
    <row r="1351" spans="1:6" x14ac:dyDescent="0.2">
      <c r="A1351" s="275"/>
      <c r="B1351" s="78"/>
      <c r="C1351" s="189"/>
      <c r="D1351" s="185"/>
      <c r="E1351" s="186"/>
      <c r="F1351" s="187"/>
    </row>
    <row r="1352" spans="1:6" x14ac:dyDescent="0.2">
      <c r="A1352" s="275"/>
      <c r="B1352" s="78"/>
      <c r="C1352" s="189"/>
      <c r="D1352" s="185"/>
      <c r="E1352" s="186"/>
      <c r="F1352" s="187"/>
    </row>
    <row r="1353" spans="1:6" x14ac:dyDescent="0.2">
      <c r="A1353" s="275"/>
      <c r="B1353" s="78"/>
      <c r="C1353" s="189"/>
      <c r="D1353" s="185"/>
      <c r="E1353" s="186"/>
      <c r="F1353" s="187"/>
    </row>
    <row r="1354" spans="1:6" x14ac:dyDescent="0.2">
      <c r="A1354" s="275"/>
      <c r="B1354" s="78"/>
      <c r="C1354" s="189"/>
      <c r="D1354" s="185"/>
      <c r="E1354" s="186"/>
      <c r="F1354" s="187"/>
    </row>
    <row r="1355" spans="1:6" x14ac:dyDescent="0.2">
      <c r="A1355" s="275"/>
      <c r="B1355" s="78"/>
      <c r="C1355" s="189"/>
      <c r="D1355" s="185"/>
      <c r="E1355" s="186"/>
      <c r="F1355" s="187"/>
    </row>
    <row r="1356" spans="1:6" x14ac:dyDescent="0.2">
      <c r="A1356" s="275"/>
      <c r="B1356" s="78"/>
      <c r="C1356" s="189"/>
      <c r="D1356" s="185"/>
      <c r="E1356" s="186"/>
      <c r="F1356" s="187"/>
    </row>
    <row r="1357" spans="1:6" x14ac:dyDescent="0.2">
      <c r="A1357" s="275"/>
      <c r="B1357" s="78"/>
      <c r="C1357" s="189"/>
      <c r="D1357" s="185"/>
      <c r="E1357" s="186"/>
      <c r="F1357" s="187"/>
    </row>
    <row r="1358" spans="1:6" x14ac:dyDescent="0.2">
      <c r="A1358" s="275"/>
      <c r="B1358" s="78"/>
      <c r="C1358" s="189"/>
      <c r="D1358" s="185"/>
      <c r="E1358" s="186"/>
      <c r="F1358" s="187"/>
    </row>
    <row r="1359" spans="1:6" x14ac:dyDescent="0.2">
      <c r="A1359" s="275"/>
      <c r="B1359" s="78"/>
      <c r="C1359" s="189"/>
      <c r="D1359" s="185"/>
      <c r="E1359" s="186"/>
      <c r="F1359" s="187"/>
    </row>
    <row r="1360" spans="1:6" x14ac:dyDescent="0.2">
      <c r="A1360" s="275"/>
      <c r="B1360" s="78"/>
      <c r="C1360" s="189"/>
      <c r="D1360" s="185"/>
      <c r="E1360" s="186"/>
      <c r="F1360" s="187"/>
    </row>
    <row r="1361" spans="1:6" x14ac:dyDescent="0.2">
      <c r="A1361" s="275"/>
      <c r="B1361" s="78"/>
      <c r="C1361" s="189"/>
      <c r="D1361" s="185"/>
      <c r="E1361" s="186"/>
      <c r="F1361" s="187"/>
    </row>
    <row r="1362" spans="1:6" x14ac:dyDescent="0.2">
      <c r="A1362" s="275"/>
      <c r="B1362" s="78"/>
      <c r="C1362" s="189"/>
      <c r="D1362" s="185"/>
      <c r="E1362" s="186"/>
      <c r="F1362" s="187"/>
    </row>
    <row r="1363" spans="1:6" x14ac:dyDescent="0.2">
      <c r="A1363" s="275"/>
      <c r="B1363" s="78"/>
      <c r="C1363" s="189"/>
      <c r="D1363" s="185"/>
      <c r="E1363" s="186"/>
      <c r="F1363" s="187"/>
    </row>
    <row r="1364" spans="1:6" x14ac:dyDescent="0.2">
      <c r="A1364" s="275"/>
      <c r="B1364" s="78"/>
      <c r="C1364" s="189"/>
      <c r="D1364" s="185"/>
      <c r="E1364" s="186"/>
      <c r="F1364" s="187"/>
    </row>
    <row r="1365" spans="1:6" x14ac:dyDescent="0.2">
      <c r="A1365" s="275"/>
      <c r="B1365" s="78"/>
      <c r="C1365" s="189"/>
      <c r="D1365" s="185"/>
      <c r="E1365" s="186"/>
      <c r="F1365" s="187"/>
    </row>
    <row r="1366" spans="1:6" x14ac:dyDescent="0.2">
      <c r="A1366" s="275"/>
      <c r="B1366" s="78"/>
      <c r="C1366" s="189"/>
      <c r="D1366" s="185"/>
      <c r="E1366" s="186"/>
      <c r="F1366" s="187"/>
    </row>
    <row r="1367" spans="1:6" x14ac:dyDescent="0.2">
      <c r="A1367" s="275"/>
      <c r="B1367" s="78"/>
      <c r="C1367" s="189"/>
      <c r="D1367" s="185"/>
      <c r="E1367" s="186"/>
      <c r="F1367" s="187"/>
    </row>
    <row r="1368" spans="1:6" x14ac:dyDescent="0.2">
      <c r="A1368" s="275"/>
      <c r="B1368" s="78"/>
      <c r="C1368" s="189"/>
      <c r="D1368" s="185"/>
      <c r="E1368" s="186"/>
      <c r="F1368" s="187"/>
    </row>
    <row r="1369" spans="1:6" x14ac:dyDescent="0.2">
      <c r="A1369" s="275"/>
      <c r="B1369" s="78"/>
      <c r="C1369" s="189"/>
      <c r="D1369" s="185"/>
      <c r="E1369" s="186"/>
      <c r="F1369" s="187"/>
    </row>
    <row r="1370" spans="1:6" x14ac:dyDescent="0.2">
      <c r="A1370" s="275"/>
      <c r="B1370" s="78"/>
      <c r="C1370" s="189"/>
      <c r="D1370" s="185"/>
      <c r="E1370" s="186"/>
      <c r="F1370" s="187"/>
    </row>
    <row r="1371" spans="1:6" x14ac:dyDescent="0.2">
      <c r="A1371" s="275"/>
      <c r="B1371" s="78"/>
      <c r="C1371" s="189"/>
      <c r="D1371" s="185"/>
      <c r="E1371" s="186"/>
      <c r="F1371" s="187"/>
    </row>
    <row r="1372" spans="1:6" x14ac:dyDescent="0.2">
      <c r="A1372" s="275"/>
      <c r="B1372" s="78"/>
      <c r="C1372" s="189"/>
      <c r="D1372" s="185"/>
      <c r="E1372" s="186"/>
      <c r="F1372" s="187"/>
    </row>
    <row r="1373" spans="1:6" x14ac:dyDescent="0.2">
      <c r="A1373" s="275"/>
      <c r="B1373" s="78"/>
      <c r="C1373" s="189"/>
      <c r="D1373" s="185"/>
      <c r="E1373" s="186"/>
      <c r="F1373" s="187"/>
    </row>
    <row r="1374" spans="1:6" x14ac:dyDescent="0.2">
      <c r="A1374" s="275"/>
      <c r="B1374" s="78"/>
      <c r="C1374" s="189"/>
      <c r="D1374" s="185"/>
      <c r="E1374" s="186"/>
      <c r="F1374" s="187"/>
    </row>
    <row r="1375" spans="1:6" x14ac:dyDescent="0.2">
      <c r="A1375" s="275"/>
      <c r="B1375" s="78"/>
      <c r="C1375" s="189"/>
      <c r="D1375" s="185"/>
      <c r="E1375" s="186"/>
      <c r="F1375" s="187"/>
    </row>
    <row r="1376" spans="1:6" x14ac:dyDescent="0.2">
      <c r="A1376" s="275"/>
      <c r="B1376" s="78"/>
      <c r="C1376" s="189"/>
      <c r="D1376" s="185"/>
      <c r="E1376" s="186"/>
      <c r="F1376" s="187"/>
    </row>
    <row r="1377" spans="1:6" x14ac:dyDescent="0.2">
      <c r="A1377" s="275"/>
      <c r="B1377" s="78"/>
      <c r="C1377" s="189"/>
      <c r="D1377" s="185"/>
      <c r="E1377" s="186"/>
      <c r="F1377" s="187"/>
    </row>
    <row r="1378" spans="1:6" x14ac:dyDescent="0.2">
      <c r="A1378" s="275"/>
      <c r="B1378" s="78"/>
      <c r="C1378" s="189"/>
      <c r="D1378" s="185"/>
      <c r="E1378" s="186"/>
      <c r="F1378" s="187"/>
    </row>
    <row r="1379" spans="1:6" x14ac:dyDescent="0.2">
      <c r="A1379" s="275"/>
      <c r="B1379" s="78"/>
      <c r="C1379" s="189"/>
      <c r="D1379" s="185"/>
      <c r="E1379" s="186"/>
      <c r="F1379" s="187"/>
    </row>
    <row r="1380" spans="1:6" x14ac:dyDescent="0.2">
      <c r="A1380" s="275"/>
      <c r="B1380" s="78"/>
      <c r="C1380" s="189"/>
      <c r="D1380" s="185"/>
      <c r="E1380" s="186"/>
      <c r="F1380" s="187"/>
    </row>
    <row r="1381" spans="1:6" x14ac:dyDescent="0.2">
      <c r="A1381" s="275"/>
      <c r="B1381" s="78"/>
      <c r="C1381" s="189"/>
      <c r="D1381" s="185"/>
      <c r="E1381" s="186"/>
      <c r="F1381" s="187"/>
    </row>
    <row r="1382" spans="1:6" x14ac:dyDescent="0.2">
      <c r="A1382" s="275"/>
      <c r="B1382" s="78"/>
      <c r="C1382" s="189"/>
      <c r="D1382" s="185"/>
      <c r="E1382" s="186"/>
      <c r="F1382" s="187"/>
    </row>
    <row r="1383" spans="1:6" x14ac:dyDescent="0.2">
      <c r="A1383" s="275"/>
      <c r="B1383" s="78"/>
      <c r="C1383" s="189"/>
      <c r="D1383" s="185"/>
      <c r="E1383" s="186"/>
      <c r="F1383" s="187"/>
    </row>
    <row r="1384" spans="1:6" x14ac:dyDescent="0.2">
      <c r="A1384" s="275"/>
      <c r="B1384" s="78"/>
      <c r="C1384" s="189"/>
      <c r="D1384" s="185"/>
      <c r="E1384" s="186"/>
      <c r="F1384" s="187"/>
    </row>
    <row r="1385" spans="1:6" x14ac:dyDescent="0.2">
      <c r="A1385" s="275"/>
      <c r="B1385" s="78"/>
      <c r="C1385" s="189"/>
      <c r="D1385" s="185"/>
      <c r="E1385" s="186"/>
      <c r="F1385" s="187"/>
    </row>
    <row r="1386" spans="1:6" x14ac:dyDescent="0.2">
      <c r="A1386" s="275"/>
      <c r="B1386" s="78"/>
      <c r="C1386" s="189"/>
      <c r="D1386" s="185"/>
      <c r="E1386" s="186"/>
      <c r="F1386" s="187"/>
    </row>
    <row r="1387" spans="1:6" x14ac:dyDescent="0.2">
      <c r="A1387" s="275"/>
      <c r="B1387" s="78"/>
      <c r="C1387" s="189"/>
      <c r="D1387" s="185"/>
      <c r="E1387" s="186"/>
      <c r="F1387" s="187"/>
    </row>
    <row r="1388" spans="1:6" x14ac:dyDescent="0.2">
      <c r="A1388" s="275"/>
      <c r="B1388" s="78"/>
      <c r="C1388" s="189"/>
      <c r="D1388" s="185"/>
      <c r="E1388" s="186"/>
      <c r="F1388" s="187"/>
    </row>
    <row r="1389" spans="1:6" x14ac:dyDescent="0.2">
      <c r="A1389" s="275"/>
      <c r="B1389" s="78"/>
      <c r="C1389" s="189"/>
      <c r="D1389" s="185"/>
      <c r="E1389" s="186"/>
      <c r="F1389" s="187"/>
    </row>
    <row r="1390" spans="1:6" x14ac:dyDescent="0.2">
      <c r="A1390" s="275"/>
      <c r="B1390" s="78"/>
      <c r="C1390" s="189"/>
      <c r="D1390" s="185"/>
      <c r="E1390" s="186"/>
      <c r="F1390" s="187"/>
    </row>
    <row r="1391" spans="1:6" x14ac:dyDescent="0.2">
      <c r="A1391" s="275"/>
      <c r="B1391" s="78"/>
      <c r="C1391" s="189"/>
      <c r="D1391" s="185"/>
      <c r="E1391" s="186"/>
      <c r="F1391" s="187"/>
    </row>
    <row r="1392" spans="1:6" x14ac:dyDescent="0.2">
      <c r="A1392" s="275"/>
      <c r="B1392" s="78"/>
      <c r="C1392" s="189"/>
      <c r="D1392" s="185"/>
      <c r="E1392" s="186"/>
      <c r="F1392" s="187"/>
    </row>
    <row r="1393" spans="1:6" x14ac:dyDescent="0.2">
      <c r="A1393" s="275"/>
      <c r="B1393" s="78"/>
      <c r="C1393" s="189"/>
      <c r="D1393" s="185"/>
      <c r="E1393" s="186"/>
      <c r="F1393" s="187"/>
    </row>
    <row r="1394" spans="1:6" x14ac:dyDescent="0.2">
      <c r="A1394" s="275"/>
      <c r="B1394" s="78"/>
      <c r="C1394" s="189"/>
      <c r="D1394" s="185"/>
      <c r="E1394" s="186"/>
      <c r="F1394" s="187"/>
    </row>
    <row r="1395" spans="1:6" x14ac:dyDescent="0.2">
      <c r="A1395" s="275"/>
      <c r="B1395" s="78"/>
      <c r="C1395" s="189"/>
      <c r="D1395" s="185"/>
      <c r="E1395" s="186"/>
      <c r="F1395" s="187"/>
    </row>
    <row r="1396" spans="1:6" x14ac:dyDescent="0.2">
      <c r="A1396" s="275"/>
      <c r="B1396" s="78"/>
      <c r="C1396" s="189"/>
      <c r="D1396" s="185"/>
      <c r="E1396" s="186"/>
      <c r="F1396" s="187"/>
    </row>
    <row r="1397" spans="1:6" x14ac:dyDescent="0.2">
      <c r="A1397" s="275"/>
      <c r="B1397" s="78"/>
      <c r="C1397" s="189"/>
      <c r="D1397" s="185"/>
      <c r="E1397" s="186"/>
      <c r="F1397" s="187"/>
    </row>
    <row r="1398" spans="1:6" x14ac:dyDescent="0.2">
      <c r="A1398" s="275"/>
      <c r="B1398" s="78"/>
      <c r="C1398" s="189"/>
      <c r="D1398" s="185"/>
      <c r="E1398" s="186"/>
      <c r="F1398" s="187"/>
    </row>
    <row r="1399" spans="1:6" x14ac:dyDescent="0.2">
      <c r="A1399" s="275"/>
      <c r="B1399" s="78"/>
      <c r="C1399" s="189"/>
      <c r="D1399" s="185"/>
      <c r="E1399" s="186"/>
      <c r="F1399" s="187"/>
    </row>
    <row r="1400" spans="1:6" x14ac:dyDescent="0.2">
      <c r="A1400" s="275"/>
      <c r="B1400" s="78"/>
      <c r="C1400" s="189"/>
      <c r="D1400" s="185"/>
      <c r="E1400" s="186"/>
      <c r="F1400" s="187"/>
    </row>
    <row r="1401" spans="1:6" x14ac:dyDescent="0.2">
      <c r="A1401" s="275"/>
      <c r="B1401" s="78"/>
      <c r="C1401" s="189"/>
      <c r="D1401" s="185"/>
      <c r="E1401" s="186"/>
      <c r="F1401" s="187"/>
    </row>
    <row r="1402" spans="1:6" x14ac:dyDescent="0.2">
      <c r="A1402" s="275"/>
      <c r="B1402" s="78"/>
      <c r="C1402" s="189"/>
      <c r="D1402" s="185"/>
      <c r="E1402" s="186"/>
      <c r="F1402" s="187"/>
    </row>
    <row r="1403" spans="1:6" x14ac:dyDescent="0.2">
      <c r="A1403" s="275"/>
      <c r="B1403" s="78"/>
      <c r="C1403" s="189"/>
      <c r="D1403" s="185"/>
      <c r="E1403" s="186"/>
      <c r="F1403" s="187"/>
    </row>
    <row r="1404" spans="1:6" x14ac:dyDescent="0.2">
      <c r="A1404" s="275"/>
      <c r="B1404" s="78"/>
      <c r="C1404" s="189"/>
      <c r="D1404" s="185"/>
      <c r="E1404" s="186"/>
      <c r="F1404" s="187"/>
    </row>
    <row r="1405" spans="1:6" x14ac:dyDescent="0.2">
      <c r="A1405" s="275"/>
      <c r="B1405" s="78"/>
      <c r="C1405" s="189"/>
      <c r="D1405" s="185"/>
      <c r="E1405" s="186"/>
      <c r="F1405" s="187"/>
    </row>
    <row r="1406" spans="1:6" x14ac:dyDescent="0.2">
      <c r="A1406" s="275"/>
      <c r="B1406" s="78"/>
      <c r="C1406" s="189"/>
      <c r="D1406" s="185"/>
      <c r="E1406" s="186"/>
      <c r="F1406" s="187"/>
    </row>
    <row r="1407" spans="1:6" x14ac:dyDescent="0.2">
      <c r="A1407" s="275"/>
      <c r="B1407" s="78"/>
      <c r="C1407" s="189"/>
      <c r="D1407" s="185"/>
      <c r="E1407" s="186"/>
      <c r="F1407" s="187"/>
    </row>
    <row r="1408" spans="1:6" x14ac:dyDescent="0.2">
      <c r="A1408" s="275"/>
      <c r="B1408" s="78"/>
      <c r="C1408" s="189"/>
      <c r="D1408" s="185"/>
      <c r="E1408" s="186"/>
      <c r="F1408" s="187"/>
    </row>
    <row r="1409" spans="1:6" x14ac:dyDescent="0.2">
      <c r="A1409" s="275"/>
      <c r="B1409" s="78"/>
      <c r="C1409" s="189"/>
      <c r="D1409" s="185"/>
      <c r="E1409" s="186"/>
      <c r="F1409" s="187"/>
    </row>
    <row r="1410" spans="1:6" x14ac:dyDescent="0.2">
      <c r="A1410" s="275"/>
      <c r="B1410" s="78"/>
      <c r="C1410" s="189"/>
      <c r="D1410" s="185"/>
      <c r="E1410" s="186"/>
      <c r="F1410" s="187"/>
    </row>
    <row r="1411" spans="1:6" x14ac:dyDescent="0.2">
      <c r="A1411" s="275"/>
      <c r="B1411" s="78"/>
      <c r="C1411" s="189"/>
      <c r="D1411" s="185"/>
      <c r="E1411" s="186"/>
      <c r="F1411" s="187"/>
    </row>
    <row r="1412" spans="1:6" x14ac:dyDescent="0.2">
      <c r="A1412" s="275"/>
      <c r="B1412" s="78"/>
      <c r="C1412" s="189"/>
      <c r="D1412" s="185"/>
      <c r="E1412" s="186"/>
      <c r="F1412" s="187"/>
    </row>
    <row r="1413" spans="1:6" x14ac:dyDescent="0.2">
      <c r="A1413" s="275"/>
      <c r="B1413" s="78"/>
      <c r="C1413" s="189"/>
      <c r="D1413" s="185"/>
      <c r="E1413" s="186"/>
      <c r="F1413" s="187"/>
    </row>
    <row r="1414" spans="1:6" x14ac:dyDescent="0.2">
      <c r="A1414" s="275"/>
      <c r="B1414" s="78"/>
      <c r="C1414" s="189"/>
      <c r="D1414" s="185"/>
      <c r="E1414" s="186"/>
      <c r="F1414" s="187"/>
    </row>
    <row r="1415" spans="1:6" x14ac:dyDescent="0.2">
      <c r="A1415" s="275"/>
      <c r="B1415" s="78"/>
      <c r="C1415" s="189"/>
      <c r="D1415" s="185"/>
      <c r="E1415" s="186"/>
      <c r="F1415" s="187"/>
    </row>
    <row r="1416" spans="1:6" x14ac:dyDescent="0.2">
      <c r="A1416" s="275"/>
      <c r="B1416" s="78"/>
      <c r="C1416" s="189"/>
      <c r="D1416" s="185"/>
      <c r="E1416" s="186"/>
      <c r="F1416" s="187"/>
    </row>
    <row r="1417" spans="1:6" x14ac:dyDescent="0.2">
      <c r="A1417" s="275"/>
      <c r="B1417" s="78"/>
      <c r="C1417" s="189"/>
      <c r="D1417" s="185"/>
      <c r="E1417" s="186"/>
      <c r="F1417" s="187"/>
    </row>
    <row r="1418" spans="1:6" x14ac:dyDescent="0.2">
      <c r="A1418" s="275"/>
      <c r="B1418" s="78"/>
      <c r="C1418" s="189"/>
      <c r="D1418" s="185"/>
      <c r="E1418" s="186"/>
      <c r="F1418" s="187"/>
    </row>
    <row r="1419" spans="1:6" x14ac:dyDescent="0.2">
      <c r="A1419" s="275"/>
      <c r="B1419" s="78"/>
      <c r="C1419" s="189"/>
      <c r="D1419" s="185"/>
      <c r="E1419" s="186"/>
      <c r="F1419" s="187"/>
    </row>
    <row r="1420" spans="1:6" x14ac:dyDescent="0.2">
      <c r="A1420" s="275"/>
      <c r="B1420" s="78"/>
      <c r="C1420" s="189"/>
      <c r="D1420" s="185"/>
      <c r="E1420" s="186"/>
      <c r="F1420" s="187"/>
    </row>
    <row r="1421" spans="1:6" x14ac:dyDescent="0.2">
      <c r="A1421" s="275"/>
      <c r="B1421" s="78"/>
      <c r="C1421" s="189"/>
      <c r="D1421" s="185"/>
      <c r="E1421" s="186"/>
      <c r="F1421" s="187"/>
    </row>
    <row r="1422" spans="1:6" x14ac:dyDescent="0.2">
      <c r="A1422" s="275"/>
      <c r="B1422" s="78"/>
      <c r="C1422" s="189"/>
      <c r="D1422" s="185"/>
      <c r="E1422" s="186"/>
      <c r="F1422" s="187"/>
    </row>
    <row r="1423" spans="1:6" x14ac:dyDescent="0.2">
      <c r="A1423" s="275"/>
      <c r="B1423" s="78"/>
      <c r="C1423" s="189"/>
      <c r="D1423" s="185"/>
      <c r="E1423" s="186"/>
      <c r="F1423" s="187"/>
    </row>
    <row r="1424" spans="1:6" x14ac:dyDescent="0.2">
      <c r="A1424" s="275"/>
      <c r="B1424" s="78"/>
      <c r="C1424" s="189"/>
      <c r="D1424" s="185"/>
      <c r="E1424" s="186"/>
      <c r="F1424" s="187"/>
    </row>
    <row r="1425" spans="1:6" x14ac:dyDescent="0.2">
      <c r="A1425" s="275"/>
      <c r="B1425" s="78"/>
      <c r="C1425" s="189"/>
      <c r="D1425" s="185"/>
      <c r="E1425" s="186"/>
      <c r="F1425" s="187"/>
    </row>
    <row r="1426" spans="1:6" x14ac:dyDescent="0.2">
      <c r="A1426" s="275"/>
      <c r="B1426" s="78"/>
      <c r="C1426" s="189"/>
      <c r="D1426" s="185"/>
      <c r="E1426" s="186"/>
      <c r="F1426" s="187"/>
    </row>
    <row r="1427" spans="1:6" x14ac:dyDescent="0.2">
      <c r="A1427" s="275"/>
      <c r="B1427" s="78"/>
      <c r="C1427" s="189"/>
      <c r="D1427" s="185"/>
      <c r="E1427" s="186"/>
      <c r="F1427" s="187"/>
    </row>
    <row r="1428" spans="1:6" x14ac:dyDescent="0.2">
      <c r="A1428" s="275"/>
      <c r="B1428" s="78"/>
      <c r="C1428" s="189"/>
      <c r="D1428" s="185"/>
      <c r="E1428" s="186"/>
      <c r="F1428" s="187"/>
    </row>
    <row r="1429" spans="1:6" x14ac:dyDescent="0.2">
      <c r="A1429" s="275"/>
      <c r="B1429" s="78"/>
      <c r="C1429" s="189"/>
      <c r="D1429" s="185"/>
      <c r="E1429" s="186"/>
      <c r="F1429" s="187"/>
    </row>
    <row r="1430" spans="1:6" x14ac:dyDescent="0.2">
      <c r="A1430" s="275"/>
      <c r="B1430" s="78"/>
      <c r="C1430" s="189"/>
      <c r="D1430" s="185"/>
      <c r="E1430" s="186"/>
      <c r="F1430" s="187"/>
    </row>
    <row r="1431" spans="1:6" x14ac:dyDescent="0.2">
      <c r="A1431" s="275"/>
      <c r="B1431" s="78"/>
      <c r="C1431" s="189"/>
      <c r="D1431" s="185"/>
      <c r="E1431" s="186"/>
      <c r="F1431" s="187"/>
    </row>
    <row r="1432" spans="1:6" x14ac:dyDescent="0.2">
      <c r="A1432" s="275"/>
      <c r="B1432" s="78"/>
      <c r="C1432" s="189"/>
      <c r="D1432" s="185"/>
      <c r="E1432" s="186"/>
      <c r="F1432" s="187"/>
    </row>
    <row r="1433" spans="1:6" x14ac:dyDescent="0.2">
      <c r="A1433" s="275"/>
      <c r="B1433" s="78"/>
      <c r="C1433" s="189"/>
      <c r="D1433" s="185"/>
      <c r="E1433" s="186"/>
      <c r="F1433" s="187"/>
    </row>
    <row r="1434" spans="1:6" x14ac:dyDescent="0.2">
      <c r="A1434" s="275"/>
      <c r="B1434" s="78"/>
      <c r="C1434" s="189"/>
      <c r="D1434" s="185"/>
      <c r="E1434" s="186"/>
      <c r="F1434" s="187"/>
    </row>
    <row r="1435" spans="1:6" x14ac:dyDescent="0.2">
      <c r="A1435" s="275"/>
      <c r="B1435" s="78"/>
      <c r="C1435" s="189"/>
      <c r="D1435" s="185"/>
      <c r="E1435" s="186"/>
      <c r="F1435" s="187"/>
    </row>
    <row r="1436" spans="1:6" x14ac:dyDescent="0.2">
      <c r="A1436" s="275"/>
      <c r="B1436" s="78"/>
      <c r="C1436" s="189"/>
      <c r="D1436" s="185"/>
      <c r="E1436" s="186"/>
      <c r="F1436" s="187"/>
    </row>
    <row r="1437" spans="1:6" x14ac:dyDescent="0.2">
      <c r="A1437" s="275"/>
      <c r="B1437" s="78"/>
      <c r="C1437" s="189"/>
      <c r="D1437" s="185"/>
      <c r="E1437" s="186"/>
      <c r="F1437" s="187"/>
    </row>
    <row r="1438" spans="1:6" x14ac:dyDescent="0.2">
      <c r="A1438" s="275"/>
      <c r="B1438" s="78"/>
      <c r="C1438" s="189"/>
      <c r="D1438" s="185"/>
      <c r="E1438" s="186"/>
      <c r="F1438" s="187"/>
    </row>
    <row r="1439" spans="1:6" x14ac:dyDescent="0.2">
      <c r="A1439" s="275"/>
      <c r="B1439" s="78"/>
      <c r="C1439" s="189"/>
      <c r="D1439" s="185"/>
      <c r="E1439" s="186"/>
      <c r="F1439" s="187"/>
    </row>
    <row r="1440" spans="1:6" x14ac:dyDescent="0.2">
      <c r="A1440" s="275"/>
      <c r="B1440" s="78"/>
      <c r="C1440" s="189"/>
      <c r="D1440" s="185"/>
      <c r="E1440" s="186"/>
      <c r="F1440" s="187"/>
    </row>
    <row r="1441" spans="1:6" x14ac:dyDescent="0.2">
      <c r="A1441" s="275"/>
      <c r="B1441" s="78"/>
      <c r="C1441" s="189"/>
      <c r="D1441" s="185"/>
      <c r="E1441" s="186"/>
      <c r="F1441" s="187"/>
    </row>
    <row r="1442" spans="1:6" x14ac:dyDescent="0.2">
      <c r="A1442" s="275"/>
      <c r="B1442" s="78"/>
      <c r="C1442" s="189"/>
      <c r="D1442" s="185"/>
      <c r="E1442" s="186"/>
      <c r="F1442" s="187"/>
    </row>
    <row r="1443" spans="1:6" x14ac:dyDescent="0.2">
      <c r="A1443" s="275"/>
      <c r="B1443" s="78"/>
      <c r="C1443" s="189"/>
      <c r="D1443" s="185"/>
      <c r="E1443" s="186"/>
      <c r="F1443" s="187"/>
    </row>
    <row r="1444" spans="1:6" x14ac:dyDescent="0.2">
      <c r="A1444" s="275"/>
      <c r="B1444" s="78"/>
      <c r="C1444" s="189"/>
      <c r="D1444" s="185"/>
      <c r="E1444" s="186"/>
      <c r="F1444" s="187"/>
    </row>
    <row r="1445" spans="1:6" x14ac:dyDescent="0.2">
      <c r="A1445" s="275"/>
      <c r="B1445" s="78"/>
      <c r="C1445" s="189"/>
      <c r="D1445" s="185"/>
      <c r="E1445" s="186"/>
      <c r="F1445" s="187"/>
    </row>
    <row r="1446" spans="1:6" x14ac:dyDescent="0.2">
      <c r="A1446" s="275"/>
      <c r="B1446" s="78"/>
      <c r="C1446" s="189"/>
      <c r="D1446" s="185"/>
      <c r="E1446" s="186"/>
      <c r="F1446" s="187"/>
    </row>
    <row r="1447" spans="1:6" x14ac:dyDescent="0.2">
      <c r="A1447" s="275"/>
      <c r="B1447" s="78"/>
      <c r="C1447" s="189"/>
      <c r="D1447" s="185"/>
      <c r="E1447" s="186"/>
      <c r="F1447" s="187"/>
    </row>
    <row r="1448" spans="1:6" x14ac:dyDescent="0.2">
      <c r="A1448" s="275"/>
      <c r="B1448" s="78"/>
      <c r="C1448" s="189"/>
      <c r="D1448" s="185"/>
      <c r="E1448" s="186"/>
      <c r="F1448" s="187"/>
    </row>
    <row r="1449" spans="1:6" x14ac:dyDescent="0.2">
      <c r="A1449" s="275"/>
      <c r="B1449" s="78"/>
      <c r="C1449" s="189"/>
      <c r="D1449" s="185"/>
      <c r="E1449" s="186"/>
      <c r="F1449" s="187"/>
    </row>
    <row r="1450" spans="1:6" x14ac:dyDescent="0.2">
      <c r="A1450" s="275"/>
      <c r="B1450" s="78"/>
      <c r="C1450" s="189"/>
      <c r="D1450" s="185"/>
      <c r="E1450" s="186"/>
      <c r="F1450" s="187"/>
    </row>
    <row r="1451" spans="1:6" x14ac:dyDescent="0.2">
      <c r="A1451" s="275"/>
      <c r="B1451" s="78"/>
      <c r="C1451" s="189"/>
      <c r="D1451" s="185"/>
      <c r="E1451" s="186"/>
      <c r="F1451" s="187"/>
    </row>
    <row r="1452" spans="1:6" x14ac:dyDescent="0.2">
      <c r="A1452" s="275"/>
      <c r="B1452" s="78"/>
      <c r="C1452" s="189"/>
      <c r="D1452" s="185"/>
      <c r="E1452" s="186"/>
      <c r="F1452" s="187"/>
    </row>
    <row r="1453" spans="1:6" x14ac:dyDescent="0.2">
      <c r="A1453" s="275"/>
      <c r="B1453" s="78"/>
      <c r="C1453" s="189"/>
      <c r="D1453" s="185"/>
      <c r="E1453" s="186"/>
      <c r="F1453" s="187"/>
    </row>
    <row r="1454" spans="1:6" x14ac:dyDescent="0.2">
      <c r="A1454" s="275"/>
      <c r="B1454" s="78"/>
      <c r="C1454" s="189"/>
      <c r="D1454" s="185"/>
      <c r="E1454" s="186"/>
      <c r="F1454" s="187"/>
    </row>
    <row r="1455" spans="1:6" x14ac:dyDescent="0.2">
      <c r="A1455" s="275"/>
      <c r="B1455" s="78"/>
      <c r="C1455" s="189"/>
      <c r="D1455" s="185"/>
      <c r="E1455" s="186"/>
      <c r="F1455" s="187"/>
    </row>
    <row r="1456" spans="1:6" x14ac:dyDescent="0.2">
      <c r="A1456" s="275"/>
      <c r="B1456" s="78"/>
      <c r="C1456" s="189"/>
      <c r="D1456" s="185"/>
      <c r="E1456" s="186"/>
      <c r="F1456" s="187"/>
    </row>
    <row r="1457" spans="1:6" x14ac:dyDescent="0.2">
      <c r="A1457" s="275"/>
      <c r="B1457" s="78"/>
      <c r="C1457" s="189"/>
      <c r="D1457" s="185"/>
      <c r="E1457" s="186"/>
      <c r="F1457" s="187"/>
    </row>
    <row r="1458" spans="1:6" x14ac:dyDescent="0.2">
      <c r="A1458" s="275"/>
      <c r="B1458" s="78"/>
      <c r="C1458" s="189"/>
      <c r="D1458" s="185"/>
      <c r="E1458" s="186"/>
      <c r="F1458" s="187"/>
    </row>
    <row r="1459" spans="1:6" x14ac:dyDescent="0.2">
      <c r="A1459" s="275"/>
      <c r="B1459" s="78"/>
      <c r="C1459" s="189"/>
      <c r="D1459" s="185"/>
      <c r="E1459" s="186"/>
      <c r="F1459" s="187"/>
    </row>
    <row r="1460" spans="1:6" x14ac:dyDescent="0.2">
      <c r="A1460" s="275"/>
      <c r="B1460" s="78"/>
      <c r="C1460" s="189"/>
      <c r="D1460" s="185"/>
      <c r="E1460" s="186"/>
      <c r="F1460" s="187"/>
    </row>
    <row r="1461" spans="1:6" x14ac:dyDescent="0.2">
      <c r="A1461" s="275"/>
      <c r="B1461" s="78"/>
      <c r="C1461" s="189"/>
      <c r="D1461" s="185"/>
      <c r="E1461" s="186"/>
      <c r="F1461" s="187"/>
    </row>
    <row r="1462" spans="1:6" x14ac:dyDescent="0.2">
      <c r="A1462" s="275"/>
      <c r="B1462" s="78"/>
      <c r="C1462" s="189"/>
      <c r="D1462" s="185"/>
      <c r="E1462" s="186"/>
      <c r="F1462" s="187"/>
    </row>
    <row r="1463" spans="1:6" x14ac:dyDescent="0.2">
      <c r="A1463" s="275"/>
      <c r="B1463" s="78"/>
      <c r="C1463" s="189"/>
      <c r="D1463" s="185"/>
      <c r="E1463" s="186"/>
      <c r="F1463" s="187"/>
    </row>
    <row r="1464" spans="1:6" x14ac:dyDescent="0.2">
      <c r="A1464" s="275"/>
      <c r="B1464" s="78"/>
      <c r="C1464" s="189"/>
      <c r="D1464" s="185"/>
      <c r="E1464" s="186"/>
      <c r="F1464" s="187"/>
    </row>
    <row r="1465" spans="1:6" x14ac:dyDescent="0.2">
      <c r="A1465" s="275"/>
      <c r="B1465" s="78"/>
      <c r="C1465" s="189"/>
      <c r="D1465" s="185"/>
      <c r="E1465" s="186"/>
      <c r="F1465" s="187"/>
    </row>
    <row r="1466" spans="1:6" x14ac:dyDescent="0.2">
      <c r="A1466" s="275"/>
      <c r="B1466" s="78"/>
      <c r="C1466" s="189"/>
      <c r="D1466" s="185"/>
      <c r="E1466" s="186"/>
      <c r="F1466" s="187"/>
    </row>
    <row r="1467" spans="1:6" x14ac:dyDescent="0.2">
      <c r="A1467" s="275"/>
      <c r="B1467" s="78"/>
      <c r="C1467" s="189"/>
      <c r="D1467" s="185"/>
      <c r="E1467" s="186"/>
      <c r="F1467" s="187"/>
    </row>
    <row r="1468" spans="1:6" x14ac:dyDescent="0.2">
      <c r="A1468" s="275"/>
      <c r="B1468" s="78"/>
      <c r="C1468" s="189"/>
      <c r="D1468" s="185"/>
      <c r="E1468" s="186"/>
      <c r="F1468" s="187"/>
    </row>
    <row r="1469" spans="1:6" x14ac:dyDescent="0.2">
      <c r="A1469" s="275"/>
      <c r="B1469" s="78"/>
      <c r="C1469" s="189"/>
      <c r="D1469" s="185"/>
      <c r="E1469" s="186"/>
      <c r="F1469" s="187"/>
    </row>
    <row r="1470" spans="1:6" x14ac:dyDescent="0.2">
      <c r="A1470" s="275"/>
      <c r="B1470" s="78"/>
      <c r="C1470" s="189"/>
      <c r="D1470" s="185"/>
      <c r="E1470" s="186"/>
      <c r="F1470" s="187"/>
    </row>
    <row r="1471" spans="1:6" x14ac:dyDescent="0.2">
      <c r="A1471" s="275"/>
      <c r="B1471" s="78"/>
      <c r="C1471" s="189"/>
      <c r="D1471" s="185"/>
      <c r="E1471" s="186"/>
      <c r="F1471" s="187"/>
    </row>
    <row r="1472" spans="1:6" x14ac:dyDescent="0.2">
      <c r="A1472" s="275"/>
      <c r="B1472" s="78"/>
      <c r="C1472" s="189"/>
      <c r="D1472" s="185"/>
      <c r="E1472" s="186"/>
      <c r="F1472" s="187"/>
    </row>
    <row r="1473" spans="1:6" x14ac:dyDescent="0.2">
      <c r="A1473" s="275"/>
      <c r="B1473" s="78"/>
      <c r="C1473" s="189"/>
      <c r="D1473" s="185"/>
      <c r="E1473" s="186"/>
      <c r="F1473" s="187"/>
    </row>
    <row r="1474" spans="1:6" x14ac:dyDescent="0.2">
      <c r="A1474" s="275"/>
      <c r="B1474" s="78"/>
      <c r="C1474" s="189"/>
      <c r="D1474" s="185"/>
      <c r="E1474" s="186"/>
      <c r="F1474" s="187"/>
    </row>
    <row r="1475" spans="1:6" x14ac:dyDescent="0.2">
      <c r="A1475" s="275"/>
      <c r="B1475" s="78"/>
      <c r="C1475" s="189"/>
      <c r="D1475" s="185"/>
      <c r="E1475" s="186"/>
      <c r="F1475" s="187"/>
    </row>
    <row r="1476" spans="1:6" x14ac:dyDescent="0.2">
      <c r="A1476" s="275"/>
      <c r="B1476" s="78"/>
      <c r="C1476" s="189"/>
      <c r="D1476" s="185"/>
      <c r="E1476" s="186"/>
      <c r="F1476" s="187"/>
    </row>
    <row r="1477" spans="1:6" x14ac:dyDescent="0.2">
      <c r="A1477" s="275"/>
      <c r="B1477" s="78"/>
      <c r="C1477" s="189"/>
      <c r="D1477" s="185"/>
      <c r="E1477" s="186"/>
      <c r="F1477" s="187"/>
    </row>
    <row r="1478" spans="1:6" x14ac:dyDescent="0.2">
      <c r="A1478" s="275"/>
      <c r="B1478" s="78"/>
      <c r="C1478" s="189"/>
      <c r="D1478" s="185"/>
      <c r="E1478" s="186"/>
      <c r="F1478" s="187"/>
    </row>
    <row r="1479" spans="1:6" x14ac:dyDescent="0.2">
      <c r="A1479" s="275"/>
      <c r="B1479" s="78"/>
      <c r="C1479" s="189"/>
      <c r="D1479" s="185"/>
      <c r="E1479" s="186"/>
      <c r="F1479" s="187"/>
    </row>
    <row r="1480" spans="1:6" x14ac:dyDescent="0.2">
      <c r="A1480" s="275"/>
      <c r="B1480" s="78"/>
      <c r="C1480" s="189"/>
      <c r="D1480" s="185"/>
      <c r="E1480" s="186"/>
      <c r="F1480" s="187"/>
    </row>
    <row r="1481" spans="1:6" x14ac:dyDescent="0.2">
      <c r="A1481" s="275"/>
      <c r="B1481" s="78"/>
      <c r="C1481" s="189"/>
      <c r="D1481" s="185"/>
      <c r="E1481" s="186"/>
      <c r="F1481" s="187"/>
    </row>
    <row r="1482" spans="1:6" x14ac:dyDescent="0.2">
      <c r="A1482" s="275"/>
      <c r="B1482" s="78"/>
      <c r="C1482" s="189"/>
      <c r="D1482" s="185"/>
      <c r="E1482" s="186"/>
      <c r="F1482" s="187"/>
    </row>
    <row r="1483" spans="1:6" x14ac:dyDescent="0.2">
      <c r="A1483" s="275"/>
      <c r="B1483" s="78"/>
      <c r="C1483" s="189"/>
      <c r="D1483" s="185"/>
      <c r="E1483" s="186"/>
      <c r="F1483" s="187"/>
    </row>
    <row r="1484" spans="1:6" x14ac:dyDescent="0.2">
      <c r="A1484" s="275"/>
      <c r="B1484" s="78"/>
      <c r="C1484" s="189"/>
      <c r="D1484" s="185"/>
      <c r="E1484" s="186"/>
      <c r="F1484" s="187"/>
    </row>
    <row r="1485" spans="1:6" x14ac:dyDescent="0.2">
      <c r="A1485" s="275"/>
      <c r="B1485" s="78"/>
      <c r="C1485" s="189"/>
      <c r="D1485" s="185"/>
      <c r="E1485" s="186"/>
      <c r="F1485" s="187"/>
    </row>
    <row r="1486" spans="1:6" x14ac:dyDescent="0.2">
      <c r="A1486" s="275"/>
      <c r="B1486" s="78"/>
      <c r="C1486" s="189"/>
      <c r="D1486" s="185"/>
      <c r="E1486" s="186"/>
      <c r="F1486" s="187"/>
    </row>
    <row r="1487" spans="1:6" x14ac:dyDescent="0.2">
      <c r="A1487" s="275"/>
      <c r="B1487" s="78"/>
      <c r="C1487" s="189"/>
      <c r="D1487" s="185"/>
      <c r="E1487" s="186"/>
      <c r="F1487" s="187"/>
    </row>
    <row r="1488" spans="1:6" x14ac:dyDescent="0.2">
      <c r="A1488" s="275"/>
      <c r="B1488" s="78"/>
      <c r="C1488" s="189"/>
      <c r="D1488" s="185"/>
      <c r="E1488" s="186"/>
      <c r="F1488" s="187"/>
    </row>
    <row r="1489" spans="1:6" x14ac:dyDescent="0.2">
      <c r="A1489" s="275"/>
      <c r="B1489" s="78"/>
      <c r="C1489" s="189"/>
      <c r="D1489" s="185"/>
      <c r="E1489" s="186"/>
      <c r="F1489" s="187"/>
    </row>
    <row r="1490" spans="1:6" x14ac:dyDescent="0.2">
      <c r="A1490" s="275"/>
      <c r="B1490" s="78"/>
      <c r="C1490" s="189"/>
      <c r="D1490" s="185"/>
      <c r="E1490" s="186"/>
      <c r="F1490" s="187"/>
    </row>
    <row r="1491" spans="1:6" x14ac:dyDescent="0.2">
      <c r="A1491" s="275"/>
      <c r="B1491" s="78"/>
      <c r="C1491" s="189"/>
      <c r="D1491" s="185"/>
      <c r="E1491" s="186"/>
      <c r="F1491" s="187"/>
    </row>
    <row r="1492" spans="1:6" x14ac:dyDescent="0.2">
      <c r="A1492" s="275"/>
      <c r="B1492" s="78"/>
      <c r="C1492" s="189"/>
      <c r="D1492" s="185"/>
      <c r="E1492" s="186"/>
      <c r="F1492" s="187"/>
    </row>
    <row r="1493" spans="1:6" x14ac:dyDescent="0.2">
      <c r="A1493" s="275"/>
      <c r="B1493" s="78"/>
      <c r="C1493" s="189"/>
      <c r="D1493" s="185"/>
      <c r="E1493" s="186"/>
      <c r="F1493" s="187"/>
    </row>
    <row r="1494" spans="1:6" x14ac:dyDescent="0.2">
      <c r="A1494" s="275"/>
      <c r="B1494" s="78"/>
      <c r="C1494" s="189"/>
      <c r="D1494" s="185"/>
      <c r="E1494" s="186"/>
      <c r="F1494" s="187"/>
    </row>
    <row r="1495" spans="1:6" x14ac:dyDescent="0.2">
      <c r="A1495" s="275"/>
      <c r="B1495" s="78"/>
      <c r="C1495" s="189"/>
      <c r="D1495" s="185"/>
      <c r="E1495" s="186"/>
      <c r="F1495" s="187"/>
    </row>
    <row r="1496" spans="1:6" x14ac:dyDescent="0.2">
      <c r="A1496" s="275"/>
      <c r="B1496" s="78"/>
      <c r="C1496" s="189"/>
      <c r="D1496" s="185"/>
      <c r="E1496" s="186"/>
      <c r="F1496" s="187"/>
    </row>
    <row r="1497" spans="1:6" x14ac:dyDescent="0.2">
      <c r="A1497" s="275"/>
      <c r="B1497" s="78"/>
      <c r="C1497" s="189"/>
      <c r="D1497" s="185"/>
      <c r="E1497" s="186"/>
      <c r="F1497" s="187"/>
    </row>
    <row r="1498" spans="1:6" x14ac:dyDescent="0.2">
      <c r="A1498" s="275"/>
      <c r="B1498" s="78"/>
      <c r="C1498" s="189"/>
      <c r="D1498" s="185"/>
      <c r="E1498" s="186"/>
      <c r="F1498" s="187"/>
    </row>
    <row r="1499" spans="1:6" x14ac:dyDescent="0.2">
      <c r="A1499" s="275"/>
      <c r="B1499" s="78"/>
      <c r="C1499" s="189"/>
      <c r="D1499" s="185"/>
      <c r="E1499" s="186"/>
      <c r="F1499" s="187"/>
    </row>
    <row r="1500" spans="1:6" x14ac:dyDescent="0.2">
      <c r="A1500" s="275"/>
      <c r="B1500" s="78"/>
      <c r="C1500" s="189"/>
      <c r="D1500" s="185"/>
      <c r="E1500" s="186"/>
      <c r="F1500" s="187"/>
    </row>
    <row r="1501" spans="1:6" x14ac:dyDescent="0.2">
      <c r="A1501" s="275"/>
      <c r="B1501" s="78"/>
      <c r="C1501" s="189"/>
      <c r="D1501" s="185"/>
      <c r="E1501" s="186"/>
      <c r="F1501" s="187"/>
    </row>
    <row r="1502" spans="1:6" x14ac:dyDescent="0.2">
      <c r="A1502" s="275"/>
      <c r="B1502" s="78"/>
      <c r="C1502" s="189"/>
      <c r="D1502" s="185"/>
      <c r="E1502" s="186"/>
      <c r="F1502" s="187"/>
    </row>
    <row r="1503" spans="1:6" x14ac:dyDescent="0.2">
      <c r="A1503" s="275"/>
      <c r="B1503" s="78"/>
      <c r="C1503" s="189"/>
      <c r="D1503" s="185"/>
      <c r="E1503" s="186"/>
      <c r="F1503" s="187"/>
    </row>
    <row r="1504" spans="1:6" x14ac:dyDescent="0.2">
      <c r="A1504" s="275"/>
      <c r="B1504" s="78"/>
      <c r="C1504" s="189"/>
      <c r="D1504" s="185"/>
      <c r="E1504" s="186"/>
      <c r="F1504" s="187"/>
    </row>
    <row r="1505" spans="1:6" x14ac:dyDescent="0.2">
      <c r="A1505" s="275"/>
      <c r="B1505" s="78"/>
      <c r="C1505" s="189"/>
      <c r="D1505" s="185"/>
      <c r="E1505" s="186"/>
      <c r="F1505" s="187"/>
    </row>
    <row r="1506" spans="1:6" x14ac:dyDescent="0.2">
      <c r="A1506" s="275"/>
      <c r="B1506" s="78"/>
      <c r="C1506" s="189"/>
      <c r="D1506" s="185"/>
      <c r="E1506" s="186"/>
      <c r="F1506" s="187"/>
    </row>
    <row r="1507" spans="1:6" x14ac:dyDescent="0.2">
      <c r="A1507" s="275"/>
      <c r="B1507" s="78"/>
      <c r="C1507" s="189"/>
      <c r="D1507" s="185"/>
      <c r="E1507" s="186"/>
      <c r="F1507" s="187"/>
    </row>
    <row r="1508" spans="1:6" x14ac:dyDescent="0.2">
      <c r="A1508" s="275"/>
      <c r="B1508" s="78"/>
      <c r="C1508" s="189"/>
      <c r="D1508" s="185"/>
      <c r="E1508" s="186"/>
      <c r="F1508" s="187"/>
    </row>
    <row r="1509" spans="1:6" x14ac:dyDescent="0.2">
      <c r="A1509" s="275"/>
      <c r="B1509" s="78"/>
      <c r="C1509" s="189"/>
      <c r="D1509" s="185"/>
      <c r="E1509" s="186"/>
      <c r="F1509" s="187"/>
    </row>
    <row r="1510" spans="1:6" x14ac:dyDescent="0.2">
      <c r="A1510" s="275"/>
      <c r="B1510" s="78"/>
      <c r="C1510" s="189"/>
      <c r="D1510" s="185"/>
      <c r="E1510" s="186"/>
      <c r="F1510" s="187"/>
    </row>
    <row r="1511" spans="1:6" x14ac:dyDescent="0.2">
      <c r="A1511" s="275"/>
      <c r="B1511" s="78"/>
      <c r="C1511" s="189"/>
      <c r="D1511" s="185"/>
      <c r="E1511" s="186"/>
      <c r="F1511" s="187"/>
    </row>
    <row r="1512" spans="1:6" x14ac:dyDescent="0.2">
      <c r="A1512" s="275"/>
      <c r="B1512" s="78"/>
      <c r="C1512" s="189"/>
      <c r="D1512" s="185"/>
      <c r="E1512" s="186"/>
      <c r="F1512" s="187"/>
    </row>
    <row r="1513" spans="1:6" x14ac:dyDescent="0.2">
      <c r="A1513" s="275"/>
      <c r="B1513" s="78"/>
      <c r="C1513" s="189"/>
      <c r="D1513" s="185"/>
      <c r="E1513" s="186"/>
      <c r="F1513" s="187"/>
    </row>
    <row r="1514" spans="1:6" x14ac:dyDescent="0.2">
      <c r="A1514" s="275"/>
      <c r="B1514" s="78"/>
      <c r="C1514" s="189"/>
      <c r="D1514" s="185"/>
      <c r="E1514" s="186"/>
      <c r="F1514" s="187"/>
    </row>
    <row r="1515" spans="1:6" x14ac:dyDescent="0.2">
      <c r="A1515" s="275"/>
      <c r="B1515" s="78"/>
      <c r="C1515" s="189"/>
      <c r="D1515" s="185"/>
      <c r="E1515" s="186"/>
      <c r="F1515" s="187"/>
    </row>
    <row r="1516" spans="1:6" x14ac:dyDescent="0.2">
      <c r="A1516" s="275"/>
      <c r="B1516" s="78"/>
      <c r="C1516" s="189"/>
      <c r="D1516" s="185"/>
      <c r="E1516" s="186"/>
      <c r="F1516" s="187"/>
    </row>
    <row r="1517" spans="1:6" x14ac:dyDescent="0.2">
      <c r="A1517" s="275"/>
      <c r="B1517" s="78"/>
      <c r="C1517" s="189"/>
      <c r="D1517" s="185"/>
      <c r="E1517" s="186"/>
      <c r="F1517" s="187"/>
    </row>
    <row r="1518" spans="1:6" x14ac:dyDescent="0.2">
      <c r="A1518" s="275"/>
      <c r="B1518" s="78"/>
      <c r="C1518" s="189"/>
      <c r="D1518" s="185"/>
      <c r="E1518" s="186"/>
      <c r="F1518" s="187"/>
    </row>
    <row r="1519" spans="1:6" x14ac:dyDescent="0.2">
      <c r="A1519" s="275"/>
      <c r="B1519" s="78"/>
      <c r="C1519" s="189"/>
      <c r="D1519" s="185"/>
      <c r="E1519" s="186"/>
      <c r="F1519" s="187"/>
    </row>
    <row r="1520" spans="1:6" x14ac:dyDescent="0.2">
      <c r="A1520" s="275"/>
      <c r="B1520" s="78"/>
      <c r="C1520" s="189"/>
      <c r="D1520" s="185"/>
      <c r="E1520" s="186"/>
      <c r="F1520" s="187"/>
    </row>
    <row r="1521" spans="1:6" x14ac:dyDescent="0.2">
      <c r="A1521" s="275"/>
      <c r="B1521" s="78"/>
      <c r="C1521" s="189"/>
      <c r="D1521" s="185"/>
      <c r="E1521" s="186"/>
      <c r="F1521" s="187"/>
    </row>
    <row r="1522" spans="1:6" x14ac:dyDescent="0.2">
      <c r="A1522" s="275"/>
      <c r="B1522" s="78"/>
      <c r="C1522" s="189"/>
      <c r="D1522" s="185"/>
      <c r="E1522" s="186"/>
      <c r="F1522" s="187"/>
    </row>
    <row r="1523" spans="1:6" x14ac:dyDescent="0.2">
      <c r="A1523" s="275"/>
      <c r="B1523" s="78"/>
      <c r="C1523" s="189"/>
      <c r="D1523" s="185"/>
      <c r="E1523" s="186"/>
      <c r="F1523" s="187"/>
    </row>
    <row r="1524" spans="1:6" x14ac:dyDescent="0.2">
      <c r="A1524" s="275"/>
      <c r="B1524" s="78"/>
      <c r="C1524" s="189"/>
      <c r="D1524" s="185"/>
      <c r="E1524" s="186"/>
      <c r="F1524" s="187"/>
    </row>
    <row r="1525" spans="1:6" x14ac:dyDescent="0.2">
      <c r="A1525" s="275"/>
      <c r="B1525" s="78"/>
      <c r="C1525" s="189"/>
      <c r="D1525" s="185"/>
      <c r="E1525" s="186"/>
      <c r="F1525" s="187"/>
    </row>
    <row r="1526" spans="1:6" x14ac:dyDescent="0.2">
      <c r="A1526" s="275"/>
      <c r="B1526" s="78"/>
      <c r="C1526" s="189"/>
      <c r="D1526" s="185"/>
      <c r="E1526" s="186"/>
      <c r="F1526" s="187"/>
    </row>
    <row r="1527" spans="1:6" x14ac:dyDescent="0.2">
      <c r="A1527" s="275"/>
      <c r="B1527" s="78"/>
      <c r="C1527" s="189"/>
      <c r="D1527" s="185"/>
      <c r="E1527" s="186"/>
      <c r="F1527" s="187"/>
    </row>
    <row r="1528" spans="1:6" x14ac:dyDescent="0.2">
      <c r="A1528" s="275"/>
      <c r="B1528" s="78"/>
      <c r="C1528" s="189"/>
      <c r="D1528" s="185"/>
      <c r="E1528" s="186"/>
      <c r="F1528" s="187"/>
    </row>
    <row r="1529" spans="1:6" x14ac:dyDescent="0.2">
      <c r="A1529" s="275"/>
      <c r="B1529" s="78"/>
      <c r="C1529" s="189"/>
      <c r="D1529" s="185"/>
      <c r="E1529" s="186"/>
      <c r="F1529" s="187"/>
    </row>
    <row r="1530" spans="1:6" x14ac:dyDescent="0.2">
      <c r="A1530" s="275"/>
      <c r="B1530" s="78"/>
      <c r="C1530" s="189"/>
      <c r="D1530" s="185"/>
      <c r="E1530" s="186"/>
      <c r="F1530" s="187"/>
    </row>
    <row r="1531" spans="1:6" x14ac:dyDescent="0.2">
      <c r="A1531" s="275"/>
      <c r="B1531" s="78"/>
      <c r="C1531" s="189"/>
      <c r="D1531" s="185"/>
      <c r="E1531" s="186"/>
      <c r="F1531" s="187"/>
    </row>
    <row r="1532" spans="1:6" x14ac:dyDescent="0.2">
      <c r="A1532" s="275"/>
      <c r="B1532" s="78"/>
      <c r="C1532" s="189"/>
      <c r="D1532" s="185"/>
      <c r="E1532" s="186"/>
      <c r="F1532" s="187"/>
    </row>
    <row r="1533" spans="1:6" x14ac:dyDescent="0.2">
      <c r="A1533" s="275"/>
      <c r="B1533" s="78"/>
      <c r="C1533" s="189"/>
      <c r="D1533" s="185"/>
      <c r="E1533" s="186"/>
      <c r="F1533" s="187"/>
    </row>
    <row r="1534" spans="1:6" x14ac:dyDescent="0.2">
      <c r="A1534" s="275"/>
      <c r="B1534" s="78"/>
      <c r="C1534" s="189"/>
      <c r="D1534" s="185"/>
      <c r="E1534" s="186"/>
      <c r="F1534" s="187"/>
    </row>
    <row r="1535" spans="1:6" x14ac:dyDescent="0.2">
      <c r="A1535" s="275"/>
      <c r="B1535" s="78"/>
      <c r="C1535" s="189"/>
      <c r="D1535" s="185"/>
      <c r="E1535" s="186"/>
      <c r="F1535" s="187"/>
    </row>
    <row r="1536" spans="1:6" x14ac:dyDescent="0.2">
      <c r="A1536" s="275"/>
      <c r="B1536" s="78"/>
      <c r="C1536" s="189"/>
      <c r="D1536" s="185"/>
      <c r="E1536" s="186"/>
      <c r="F1536" s="187"/>
    </row>
    <row r="1537" spans="1:6" x14ac:dyDescent="0.2">
      <c r="A1537" s="275"/>
      <c r="B1537" s="78"/>
      <c r="C1537" s="189"/>
      <c r="D1537" s="185"/>
      <c r="E1537" s="186"/>
      <c r="F1537" s="187"/>
    </row>
    <row r="1538" spans="1:6" x14ac:dyDescent="0.2">
      <c r="A1538" s="275"/>
      <c r="B1538" s="78"/>
      <c r="C1538" s="189"/>
      <c r="D1538" s="185"/>
      <c r="E1538" s="186"/>
      <c r="F1538" s="187"/>
    </row>
    <row r="1539" spans="1:6" x14ac:dyDescent="0.2">
      <c r="A1539" s="275"/>
      <c r="B1539" s="78"/>
      <c r="C1539" s="189"/>
      <c r="D1539" s="185"/>
      <c r="E1539" s="186"/>
      <c r="F1539" s="187"/>
    </row>
    <row r="1540" spans="1:6" x14ac:dyDescent="0.2">
      <c r="A1540" s="275"/>
      <c r="B1540" s="78"/>
      <c r="C1540" s="189"/>
      <c r="D1540" s="185"/>
      <c r="E1540" s="186"/>
      <c r="F1540" s="187"/>
    </row>
    <row r="1541" spans="1:6" x14ac:dyDescent="0.2">
      <c r="A1541" s="275"/>
      <c r="B1541" s="78"/>
      <c r="C1541" s="189"/>
      <c r="D1541" s="185"/>
      <c r="E1541" s="186"/>
      <c r="F1541" s="187"/>
    </row>
    <row r="1542" spans="1:6" x14ac:dyDescent="0.2">
      <c r="A1542" s="275"/>
      <c r="B1542" s="78"/>
      <c r="C1542" s="189"/>
      <c r="D1542" s="185"/>
      <c r="E1542" s="186"/>
      <c r="F1542" s="187"/>
    </row>
    <row r="1543" spans="1:6" x14ac:dyDescent="0.2">
      <c r="A1543" s="275"/>
      <c r="B1543" s="78"/>
      <c r="C1543" s="189"/>
      <c r="D1543" s="185"/>
      <c r="E1543" s="186"/>
      <c r="F1543" s="187"/>
    </row>
    <row r="1544" spans="1:6" x14ac:dyDescent="0.2">
      <c r="A1544" s="275"/>
      <c r="B1544" s="78"/>
      <c r="C1544" s="189"/>
      <c r="D1544" s="185"/>
      <c r="E1544" s="186"/>
      <c r="F1544" s="187"/>
    </row>
    <row r="1545" spans="1:6" x14ac:dyDescent="0.2">
      <c r="A1545" s="275"/>
      <c r="B1545" s="78"/>
      <c r="C1545" s="189"/>
      <c r="D1545" s="185"/>
      <c r="E1545" s="186"/>
      <c r="F1545" s="187"/>
    </row>
    <row r="1546" spans="1:6" x14ac:dyDescent="0.2">
      <c r="A1546" s="275"/>
      <c r="B1546" s="78"/>
      <c r="C1546" s="189"/>
      <c r="D1546" s="185"/>
      <c r="E1546" s="186"/>
      <c r="F1546" s="187"/>
    </row>
    <row r="1547" spans="1:6" x14ac:dyDescent="0.2">
      <c r="A1547" s="275"/>
      <c r="B1547" s="78"/>
      <c r="C1547" s="189"/>
      <c r="D1547" s="185"/>
      <c r="E1547" s="186"/>
      <c r="F1547" s="187"/>
    </row>
    <row r="1548" spans="1:6" x14ac:dyDescent="0.2">
      <c r="A1548" s="275"/>
      <c r="B1548" s="78"/>
      <c r="C1548" s="189"/>
      <c r="D1548" s="185"/>
      <c r="E1548" s="186"/>
      <c r="F1548" s="187"/>
    </row>
    <row r="1549" spans="1:6" x14ac:dyDescent="0.2">
      <c r="A1549" s="275"/>
      <c r="B1549" s="78"/>
      <c r="C1549" s="189"/>
      <c r="D1549" s="185"/>
      <c r="E1549" s="186"/>
      <c r="F1549" s="187"/>
    </row>
    <row r="1550" spans="1:6" x14ac:dyDescent="0.2">
      <c r="A1550" s="275"/>
      <c r="B1550" s="78"/>
      <c r="C1550" s="189"/>
      <c r="D1550" s="185"/>
      <c r="E1550" s="186"/>
      <c r="F1550" s="187"/>
    </row>
    <row r="1551" spans="1:6" x14ac:dyDescent="0.2">
      <c r="A1551" s="275"/>
      <c r="B1551" s="78"/>
      <c r="C1551" s="189"/>
      <c r="D1551" s="185"/>
      <c r="E1551" s="186"/>
      <c r="F1551" s="187"/>
    </row>
    <row r="1552" spans="1:6" x14ac:dyDescent="0.2">
      <c r="A1552" s="275"/>
      <c r="B1552" s="78"/>
      <c r="C1552" s="189"/>
      <c r="D1552" s="185"/>
      <c r="E1552" s="186"/>
      <c r="F1552" s="187"/>
    </row>
    <row r="1553" spans="1:6" x14ac:dyDescent="0.2">
      <c r="A1553" s="275"/>
      <c r="B1553" s="78"/>
      <c r="C1553" s="189"/>
      <c r="D1553" s="185"/>
      <c r="E1553" s="186"/>
      <c r="F1553" s="187"/>
    </row>
    <row r="1554" spans="1:6" x14ac:dyDescent="0.2">
      <c r="A1554" s="275"/>
      <c r="B1554" s="78"/>
      <c r="C1554" s="189"/>
      <c r="D1554" s="185"/>
      <c r="E1554" s="186"/>
      <c r="F1554" s="187"/>
    </row>
    <row r="1555" spans="1:6" x14ac:dyDescent="0.2">
      <c r="A1555" s="275"/>
      <c r="B1555" s="78"/>
      <c r="C1555" s="189"/>
      <c r="D1555" s="185"/>
      <c r="E1555" s="186"/>
      <c r="F1555" s="187"/>
    </row>
    <row r="1556" spans="1:6" x14ac:dyDescent="0.2">
      <c r="A1556" s="275"/>
      <c r="B1556" s="78"/>
      <c r="C1556" s="189"/>
      <c r="D1556" s="185"/>
      <c r="E1556" s="186"/>
      <c r="F1556" s="187"/>
    </row>
    <row r="1557" spans="1:6" x14ac:dyDescent="0.2">
      <c r="A1557" s="275"/>
      <c r="B1557" s="78"/>
      <c r="C1557" s="189"/>
      <c r="D1557" s="185"/>
      <c r="E1557" s="186"/>
      <c r="F1557" s="187"/>
    </row>
    <row r="1558" spans="1:6" x14ac:dyDescent="0.2">
      <c r="A1558" s="275"/>
      <c r="B1558" s="78"/>
      <c r="C1558" s="189"/>
      <c r="D1558" s="185"/>
      <c r="E1558" s="186"/>
      <c r="F1558" s="187"/>
    </row>
    <row r="1559" spans="1:6" x14ac:dyDescent="0.2">
      <c r="A1559" s="275"/>
      <c r="B1559" s="78"/>
      <c r="C1559" s="189"/>
      <c r="D1559" s="185"/>
      <c r="E1559" s="186"/>
      <c r="F1559" s="187"/>
    </row>
    <row r="1560" spans="1:6" x14ac:dyDescent="0.2">
      <c r="A1560" s="275"/>
      <c r="B1560" s="78"/>
      <c r="C1560" s="189"/>
      <c r="D1560" s="185"/>
      <c r="E1560" s="186"/>
      <c r="F1560" s="187"/>
    </row>
    <row r="1561" spans="1:6" x14ac:dyDescent="0.2">
      <c r="A1561" s="275"/>
      <c r="B1561" s="78"/>
      <c r="C1561" s="189"/>
      <c r="D1561" s="185"/>
      <c r="E1561" s="186"/>
      <c r="F1561" s="187"/>
    </row>
    <row r="1562" spans="1:6" x14ac:dyDescent="0.2">
      <c r="A1562" s="275"/>
      <c r="B1562" s="78"/>
      <c r="C1562" s="189"/>
      <c r="D1562" s="185"/>
      <c r="E1562" s="186"/>
      <c r="F1562" s="187"/>
    </row>
    <row r="1563" spans="1:6" x14ac:dyDescent="0.2">
      <c r="A1563" s="275"/>
      <c r="B1563" s="78"/>
      <c r="C1563" s="189"/>
      <c r="D1563" s="185"/>
      <c r="E1563" s="186"/>
      <c r="F1563" s="187"/>
    </row>
    <row r="1564" spans="1:6" x14ac:dyDescent="0.2">
      <c r="A1564" s="275"/>
      <c r="B1564" s="78"/>
      <c r="C1564" s="189"/>
      <c r="D1564" s="185"/>
      <c r="E1564" s="186"/>
      <c r="F1564" s="187"/>
    </row>
    <row r="1565" spans="1:6" x14ac:dyDescent="0.2">
      <c r="A1565" s="275"/>
      <c r="B1565" s="78"/>
      <c r="C1565" s="189"/>
      <c r="D1565" s="185"/>
      <c r="E1565" s="186"/>
      <c r="F1565" s="187"/>
    </row>
    <row r="1566" spans="1:6" x14ac:dyDescent="0.2">
      <c r="A1566" s="275"/>
      <c r="B1566" s="78"/>
      <c r="C1566" s="189"/>
      <c r="D1566" s="185"/>
      <c r="E1566" s="186"/>
      <c r="F1566" s="187"/>
    </row>
    <row r="1567" spans="1:6" x14ac:dyDescent="0.2">
      <c r="A1567" s="275"/>
      <c r="B1567" s="78"/>
      <c r="C1567" s="189"/>
      <c r="D1567" s="185"/>
      <c r="E1567" s="186"/>
      <c r="F1567" s="187"/>
    </row>
    <row r="1568" spans="1:6" x14ac:dyDescent="0.2">
      <c r="A1568" s="275"/>
      <c r="B1568" s="78"/>
      <c r="C1568" s="189"/>
      <c r="D1568" s="185"/>
      <c r="E1568" s="186"/>
      <c r="F1568" s="187"/>
    </row>
    <row r="1569" spans="1:6" x14ac:dyDescent="0.2">
      <c r="A1569" s="275"/>
      <c r="B1569" s="78"/>
      <c r="C1569" s="189"/>
      <c r="D1569" s="185"/>
      <c r="E1569" s="186"/>
      <c r="F1569" s="187"/>
    </row>
    <row r="1570" spans="1:6" x14ac:dyDescent="0.2">
      <c r="A1570" s="275"/>
      <c r="B1570" s="78"/>
      <c r="C1570" s="189"/>
      <c r="D1570" s="185"/>
      <c r="E1570" s="186"/>
      <c r="F1570" s="187"/>
    </row>
    <row r="1571" spans="1:6" x14ac:dyDescent="0.2">
      <c r="A1571" s="275"/>
      <c r="B1571" s="78"/>
      <c r="C1571" s="189"/>
      <c r="D1571" s="185"/>
      <c r="E1571" s="186"/>
      <c r="F1571" s="187"/>
    </row>
    <row r="1572" spans="1:6" x14ac:dyDescent="0.2">
      <c r="A1572" s="275"/>
      <c r="B1572" s="78"/>
      <c r="C1572" s="189"/>
      <c r="D1572" s="185"/>
      <c r="E1572" s="186"/>
      <c r="F1572" s="187"/>
    </row>
    <row r="1573" spans="1:6" x14ac:dyDescent="0.2">
      <c r="A1573" s="275"/>
      <c r="B1573" s="78"/>
      <c r="C1573" s="189"/>
      <c r="D1573" s="185"/>
      <c r="E1573" s="186"/>
      <c r="F1573" s="187"/>
    </row>
    <row r="1574" spans="1:6" x14ac:dyDescent="0.2">
      <c r="A1574" s="275"/>
      <c r="B1574" s="78"/>
      <c r="C1574" s="189"/>
      <c r="D1574" s="185"/>
      <c r="E1574" s="186"/>
      <c r="F1574" s="187"/>
    </row>
    <row r="1575" spans="1:6" x14ac:dyDescent="0.2">
      <c r="A1575" s="275"/>
      <c r="B1575" s="78"/>
      <c r="C1575" s="189"/>
      <c r="D1575" s="185"/>
      <c r="E1575" s="186"/>
      <c r="F1575" s="187"/>
    </row>
    <row r="1576" spans="1:6" x14ac:dyDescent="0.2">
      <c r="A1576" s="275"/>
      <c r="B1576" s="78"/>
      <c r="C1576" s="189"/>
      <c r="D1576" s="185"/>
      <c r="E1576" s="186"/>
      <c r="F1576" s="187"/>
    </row>
    <row r="1577" spans="1:6" x14ac:dyDescent="0.2">
      <c r="A1577" s="275"/>
      <c r="B1577" s="78"/>
      <c r="C1577" s="189"/>
      <c r="D1577" s="185"/>
      <c r="E1577" s="186"/>
      <c r="F1577" s="187"/>
    </row>
    <row r="1578" spans="1:6" x14ac:dyDescent="0.2">
      <c r="A1578" s="275"/>
      <c r="B1578" s="78"/>
      <c r="C1578" s="189"/>
      <c r="D1578" s="185"/>
      <c r="E1578" s="186"/>
      <c r="F1578" s="187"/>
    </row>
    <row r="1579" spans="1:6" x14ac:dyDescent="0.2">
      <c r="A1579" s="275"/>
      <c r="B1579" s="78"/>
      <c r="C1579" s="189"/>
      <c r="D1579" s="185"/>
      <c r="E1579" s="186"/>
      <c r="F1579" s="187"/>
    </row>
    <row r="1580" spans="1:6" x14ac:dyDescent="0.2">
      <c r="A1580" s="275"/>
      <c r="B1580" s="78"/>
      <c r="C1580" s="189"/>
      <c r="D1580" s="185"/>
      <c r="E1580" s="186"/>
      <c r="F1580" s="187"/>
    </row>
    <row r="1581" spans="1:6" x14ac:dyDescent="0.2">
      <c r="A1581" s="275"/>
      <c r="B1581" s="78"/>
      <c r="C1581" s="189"/>
      <c r="D1581" s="185"/>
      <c r="E1581" s="186"/>
      <c r="F1581" s="187"/>
    </row>
    <row r="1582" spans="1:6" x14ac:dyDescent="0.2">
      <c r="A1582" s="275"/>
      <c r="B1582" s="78"/>
      <c r="C1582" s="189"/>
      <c r="D1582" s="185"/>
      <c r="E1582" s="186"/>
      <c r="F1582" s="187"/>
    </row>
    <row r="1583" spans="1:6" x14ac:dyDescent="0.2">
      <c r="A1583" s="275"/>
      <c r="B1583" s="78"/>
      <c r="C1583" s="189"/>
      <c r="D1583" s="185"/>
      <c r="E1583" s="186"/>
      <c r="F1583" s="187"/>
    </row>
    <row r="1584" spans="1:6" x14ac:dyDescent="0.2">
      <c r="A1584" s="275"/>
      <c r="B1584" s="78"/>
      <c r="C1584" s="189"/>
      <c r="D1584" s="185"/>
      <c r="E1584" s="186"/>
      <c r="F1584" s="187"/>
    </row>
    <row r="1585" spans="1:6" x14ac:dyDescent="0.2">
      <c r="A1585" s="275"/>
      <c r="B1585" s="78"/>
      <c r="C1585" s="189"/>
      <c r="D1585" s="185"/>
      <c r="E1585" s="186"/>
      <c r="F1585" s="187"/>
    </row>
    <row r="1586" spans="1:6" x14ac:dyDescent="0.2">
      <c r="A1586" s="275"/>
      <c r="B1586" s="78"/>
      <c r="C1586" s="189"/>
      <c r="D1586" s="185"/>
      <c r="E1586" s="186"/>
      <c r="F1586" s="187"/>
    </row>
    <row r="1587" spans="1:6" x14ac:dyDescent="0.2">
      <c r="A1587" s="275"/>
      <c r="B1587" s="78"/>
      <c r="C1587" s="189"/>
      <c r="D1587" s="185"/>
      <c r="E1587" s="186"/>
      <c r="F1587" s="187"/>
    </row>
    <row r="1588" spans="1:6" x14ac:dyDescent="0.2">
      <c r="A1588" s="275"/>
      <c r="B1588" s="78"/>
      <c r="C1588" s="189"/>
      <c r="D1588" s="185"/>
      <c r="E1588" s="186"/>
      <c r="F1588" s="187"/>
    </row>
    <row r="1589" spans="1:6" x14ac:dyDescent="0.2">
      <c r="A1589" s="275"/>
      <c r="B1589" s="78"/>
      <c r="C1589" s="189"/>
      <c r="D1589" s="185"/>
      <c r="E1589" s="186"/>
      <c r="F1589" s="187"/>
    </row>
    <row r="1590" spans="1:6" x14ac:dyDescent="0.2">
      <c r="A1590" s="275"/>
      <c r="B1590" s="78"/>
      <c r="C1590" s="189"/>
      <c r="D1590" s="185"/>
      <c r="E1590" s="186"/>
      <c r="F1590" s="187"/>
    </row>
    <row r="1591" spans="1:6" x14ac:dyDescent="0.2">
      <c r="A1591" s="275"/>
      <c r="B1591" s="78"/>
      <c r="C1591" s="189"/>
      <c r="D1591" s="185"/>
      <c r="E1591" s="186"/>
      <c r="F1591" s="187"/>
    </row>
    <row r="1592" spans="1:6" x14ac:dyDescent="0.2">
      <c r="A1592" s="275"/>
      <c r="B1592" s="78"/>
      <c r="C1592" s="189"/>
      <c r="D1592" s="185"/>
      <c r="E1592" s="186"/>
      <c r="F1592" s="187"/>
    </row>
    <row r="1593" spans="1:6" x14ac:dyDescent="0.2">
      <c r="A1593" s="275"/>
      <c r="B1593" s="78"/>
      <c r="C1593" s="189"/>
      <c r="D1593" s="185"/>
      <c r="E1593" s="186"/>
      <c r="F1593" s="187"/>
    </row>
    <row r="1594" spans="1:6" x14ac:dyDescent="0.2">
      <c r="A1594" s="275"/>
      <c r="B1594" s="78"/>
      <c r="C1594" s="189"/>
      <c r="D1594" s="185"/>
      <c r="E1594" s="186"/>
      <c r="F1594" s="187"/>
    </row>
    <row r="1595" spans="1:6" x14ac:dyDescent="0.2">
      <c r="A1595" s="275"/>
      <c r="B1595" s="78"/>
      <c r="C1595" s="189"/>
      <c r="D1595" s="185"/>
      <c r="E1595" s="186"/>
      <c r="F1595" s="187"/>
    </row>
    <row r="1596" spans="1:6" x14ac:dyDescent="0.2">
      <c r="A1596" s="275"/>
      <c r="B1596" s="78"/>
      <c r="C1596" s="189"/>
      <c r="D1596" s="185"/>
      <c r="E1596" s="186"/>
      <c r="F1596" s="187"/>
    </row>
    <row r="1597" spans="1:6" x14ac:dyDescent="0.2">
      <c r="A1597" s="275"/>
      <c r="B1597" s="78"/>
      <c r="C1597" s="189"/>
      <c r="D1597" s="185"/>
      <c r="E1597" s="186"/>
      <c r="F1597" s="187"/>
    </row>
    <row r="1598" spans="1:6" x14ac:dyDescent="0.2">
      <c r="A1598" s="275"/>
      <c r="B1598" s="78"/>
      <c r="C1598" s="189"/>
      <c r="D1598" s="185"/>
      <c r="E1598" s="186"/>
      <c r="F1598" s="187"/>
    </row>
    <row r="1599" spans="1:6" x14ac:dyDescent="0.2">
      <c r="A1599" s="275"/>
      <c r="B1599" s="78"/>
      <c r="C1599" s="189"/>
      <c r="D1599" s="185"/>
      <c r="E1599" s="186"/>
      <c r="F1599" s="187"/>
    </row>
    <row r="1600" spans="1:6" x14ac:dyDescent="0.2">
      <c r="A1600" s="275"/>
      <c r="B1600" s="78"/>
      <c r="C1600" s="189"/>
      <c r="D1600" s="185"/>
      <c r="E1600" s="186"/>
      <c r="F1600" s="187"/>
    </row>
    <row r="1601" spans="1:6" x14ac:dyDescent="0.2">
      <c r="A1601" s="275"/>
      <c r="B1601" s="78"/>
      <c r="C1601" s="189"/>
      <c r="D1601" s="185"/>
      <c r="E1601" s="186"/>
      <c r="F1601" s="187"/>
    </row>
    <row r="1602" spans="1:6" x14ac:dyDescent="0.2">
      <c r="A1602" s="275"/>
      <c r="B1602" s="78"/>
      <c r="C1602" s="189"/>
      <c r="D1602" s="185"/>
      <c r="E1602" s="186"/>
      <c r="F1602" s="187"/>
    </row>
    <row r="1603" spans="1:6" x14ac:dyDescent="0.2">
      <c r="A1603" s="275"/>
      <c r="B1603" s="78"/>
      <c r="C1603" s="189"/>
      <c r="D1603" s="185"/>
      <c r="E1603" s="186"/>
      <c r="F1603" s="187"/>
    </row>
    <row r="1604" spans="1:6" x14ac:dyDescent="0.2">
      <c r="A1604" s="275"/>
      <c r="B1604" s="78"/>
      <c r="C1604" s="189"/>
      <c r="D1604" s="185"/>
      <c r="E1604" s="186"/>
      <c r="F1604" s="187"/>
    </row>
    <row r="1605" spans="1:6" x14ac:dyDescent="0.2">
      <c r="A1605" s="275"/>
      <c r="B1605" s="78"/>
      <c r="C1605" s="189"/>
      <c r="D1605" s="185"/>
      <c r="E1605" s="186"/>
      <c r="F1605" s="187"/>
    </row>
    <row r="1606" spans="1:6" x14ac:dyDescent="0.2">
      <c r="A1606" s="275"/>
      <c r="B1606" s="78"/>
      <c r="C1606" s="189"/>
      <c r="D1606" s="185"/>
      <c r="E1606" s="186"/>
      <c r="F1606" s="187"/>
    </row>
    <row r="1607" spans="1:6" x14ac:dyDescent="0.2">
      <c r="A1607" s="275"/>
      <c r="B1607" s="78"/>
      <c r="C1607" s="189"/>
      <c r="D1607" s="185"/>
      <c r="E1607" s="186"/>
      <c r="F1607" s="187"/>
    </row>
    <row r="1608" spans="1:6" x14ac:dyDescent="0.2">
      <c r="A1608" s="275"/>
      <c r="B1608" s="78"/>
      <c r="C1608" s="189"/>
      <c r="D1608" s="185"/>
      <c r="E1608" s="186"/>
      <c r="F1608" s="187"/>
    </row>
    <row r="1609" spans="1:6" x14ac:dyDescent="0.2">
      <c r="A1609" s="275"/>
      <c r="B1609" s="78"/>
      <c r="C1609" s="189"/>
      <c r="D1609" s="185"/>
      <c r="E1609" s="186"/>
      <c r="F1609" s="187"/>
    </row>
    <row r="1610" spans="1:6" x14ac:dyDescent="0.2">
      <c r="A1610" s="275"/>
      <c r="B1610" s="78"/>
      <c r="C1610" s="189"/>
      <c r="D1610" s="185"/>
      <c r="E1610" s="186"/>
      <c r="F1610" s="187"/>
    </row>
    <row r="1611" spans="1:6" x14ac:dyDescent="0.2">
      <c r="A1611" s="275"/>
      <c r="B1611" s="78"/>
      <c r="C1611" s="189"/>
      <c r="D1611" s="185"/>
      <c r="E1611" s="186"/>
      <c r="F1611" s="187"/>
    </row>
    <row r="1612" spans="1:6" x14ac:dyDescent="0.2">
      <c r="A1612" s="275"/>
      <c r="B1612" s="78"/>
      <c r="C1612" s="189"/>
      <c r="D1612" s="185"/>
      <c r="E1612" s="186"/>
      <c r="F1612" s="187"/>
    </row>
    <row r="1613" spans="1:6" x14ac:dyDescent="0.2">
      <c r="A1613" s="275"/>
      <c r="B1613" s="78"/>
      <c r="C1613" s="189"/>
      <c r="D1613" s="185"/>
      <c r="E1613" s="186"/>
      <c r="F1613" s="187"/>
    </row>
    <row r="1614" spans="1:6" x14ac:dyDescent="0.2">
      <c r="A1614" s="275"/>
      <c r="B1614" s="78"/>
      <c r="C1614" s="189"/>
      <c r="D1614" s="185"/>
      <c r="E1614" s="186"/>
      <c r="F1614" s="187"/>
    </row>
    <row r="1615" spans="1:6" x14ac:dyDescent="0.2">
      <c r="A1615" s="275"/>
      <c r="B1615" s="78"/>
      <c r="C1615" s="189"/>
      <c r="D1615" s="185"/>
      <c r="E1615" s="186"/>
      <c r="F1615" s="187"/>
    </row>
    <row r="1616" spans="1:6" x14ac:dyDescent="0.2">
      <c r="A1616" s="275"/>
      <c r="B1616" s="78"/>
      <c r="C1616" s="189"/>
      <c r="D1616" s="185"/>
      <c r="E1616" s="186"/>
      <c r="F1616" s="187"/>
    </row>
    <row r="1617" spans="1:6" x14ac:dyDescent="0.2">
      <c r="A1617" s="275"/>
      <c r="B1617" s="78"/>
      <c r="C1617" s="189"/>
      <c r="D1617" s="185"/>
      <c r="E1617" s="186"/>
      <c r="F1617" s="187"/>
    </row>
    <row r="1618" spans="1:6" x14ac:dyDescent="0.2">
      <c r="A1618" s="275"/>
      <c r="B1618" s="78"/>
      <c r="C1618" s="189"/>
      <c r="D1618" s="185"/>
      <c r="E1618" s="186"/>
      <c r="F1618" s="187"/>
    </row>
    <row r="1619" spans="1:6" x14ac:dyDescent="0.2">
      <c r="A1619" s="275"/>
      <c r="B1619" s="78"/>
      <c r="C1619" s="189"/>
      <c r="D1619" s="185"/>
      <c r="E1619" s="186"/>
      <c r="F1619" s="187"/>
    </row>
    <row r="1620" spans="1:6" x14ac:dyDescent="0.2">
      <c r="A1620" s="275"/>
      <c r="B1620" s="78"/>
      <c r="C1620" s="189"/>
      <c r="D1620" s="185"/>
      <c r="E1620" s="186"/>
      <c r="F1620" s="187"/>
    </row>
    <row r="1621" spans="1:6" x14ac:dyDescent="0.2">
      <c r="A1621" s="275"/>
      <c r="B1621" s="78"/>
      <c r="C1621" s="189"/>
      <c r="D1621" s="185"/>
      <c r="E1621" s="186"/>
      <c r="F1621" s="187"/>
    </row>
    <row r="1622" spans="1:6" x14ac:dyDescent="0.2">
      <c r="A1622" s="275"/>
      <c r="B1622" s="78"/>
      <c r="C1622" s="189"/>
      <c r="D1622" s="185"/>
      <c r="E1622" s="186"/>
      <c r="F1622" s="187"/>
    </row>
    <row r="1623" spans="1:6" x14ac:dyDescent="0.2">
      <c r="A1623" s="275"/>
      <c r="B1623" s="78"/>
      <c r="C1623" s="189"/>
      <c r="D1623" s="185"/>
      <c r="E1623" s="186"/>
      <c r="F1623" s="187"/>
    </row>
    <row r="1624" spans="1:6" x14ac:dyDescent="0.2">
      <c r="A1624" s="275"/>
      <c r="B1624" s="78"/>
      <c r="C1624" s="189"/>
      <c r="D1624" s="185"/>
      <c r="E1624" s="186"/>
      <c r="F1624" s="187"/>
    </row>
    <row r="1625" spans="1:6" x14ac:dyDescent="0.2">
      <c r="A1625" s="275"/>
      <c r="B1625" s="78"/>
      <c r="C1625" s="189"/>
      <c r="D1625" s="185"/>
      <c r="E1625" s="186"/>
      <c r="F1625" s="187"/>
    </row>
    <row r="1626" spans="1:6" x14ac:dyDescent="0.2">
      <c r="A1626" s="275"/>
      <c r="B1626" s="78"/>
      <c r="C1626" s="189"/>
      <c r="D1626" s="185"/>
      <c r="E1626" s="186"/>
      <c r="F1626" s="187"/>
    </row>
    <row r="1627" spans="1:6" x14ac:dyDescent="0.2">
      <c r="A1627" s="275"/>
      <c r="B1627" s="78"/>
      <c r="C1627" s="189"/>
      <c r="D1627" s="185"/>
      <c r="E1627" s="186"/>
      <c r="F1627" s="187"/>
    </row>
    <row r="1628" spans="1:6" x14ac:dyDescent="0.2">
      <c r="A1628" s="275"/>
      <c r="B1628" s="78"/>
      <c r="C1628" s="189"/>
      <c r="D1628" s="185"/>
      <c r="E1628" s="186"/>
      <c r="F1628" s="187"/>
    </row>
    <row r="1629" spans="1:6" x14ac:dyDescent="0.2">
      <c r="A1629" s="275"/>
      <c r="B1629" s="78"/>
      <c r="C1629" s="189"/>
      <c r="D1629" s="185"/>
      <c r="E1629" s="186"/>
      <c r="F1629" s="187"/>
    </row>
    <row r="1630" spans="1:6" x14ac:dyDescent="0.2">
      <c r="A1630" s="275"/>
      <c r="B1630" s="78"/>
      <c r="C1630" s="189"/>
      <c r="D1630" s="185"/>
      <c r="E1630" s="186"/>
      <c r="F1630" s="187"/>
    </row>
    <row r="1631" spans="1:6" x14ac:dyDescent="0.2">
      <c r="A1631" s="275"/>
      <c r="B1631" s="78"/>
      <c r="C1631" s="189"/>
      <c r="D1631" s="185"/>
      <c r="E1631" s="186"/>
      <c r="F1631" s="187"/>
    </row>
    <row r="1632" spans="1:6" x14ac:dyDescent="0.2">
      <c r="A1632" s="275"/>
      <c r="B1632" s="78"/>
      <c r="C1632" s="189"/>
      <c r="D1632" s="185"/>
      <c r="E1632" s="186"/>
      <c r="F1632" s="187"/>
    </row>
    <row r="1633" spans="1:6" x14ac:dyDescent="0.2">
      <c r="A1633" s="275"/>
      <c r="B1633" s="78"/>
      <c r="C1633" s="189"/>
      <c r="D1633" s="185"/>
      <c r="E1633" s="186"/>
      <c r="F1633" s="187"/>
    </row>
    <row r="1634" spans="1:6" x14ac:dyDescent="0.2">
      <c r="A1634" s="275"/>
      <c r="B1634" s="78"/>
      <c r="C1634" s="189"/>
      <c r="D1634" s="185"/>
      <c r="E1634" s="186"/>
      <c r="F1634" s="187"/>
    </row>
    <row r="1635" spans="1:6" x14ac:dyDescent="0.2">
      <c r="A1635" s="275"/>
      <c r="B1635" s="78"/>
      <c r="C1635" s="189"/>
      <c r="D1635" s="185"/>
      <c r="E1635" s="186"/>
      <c r="F1635" s="187"/>
    </row>
    <row r="1636" spans="1:6" x14ac:dyDescent="0.2">
      <c r="A1636" s="275"/>
      <c r="B1636" s="78"/>
      <c r="C1636" s="189"/>
      <c r="D1636" s="185"/>
      <c r="E1636" s="186"/>
      <c r="F1636" s="187"/>
    </row>
    <row r="1637" spans="1:6" x14ac:dyDescent="0.2">
      <c r="A1637" s="275"/>
      <c r="B1637" s="78"/>
      <c r="C1637" s="189"/>
      <c r="D1637" s="185"/>
      <c r="E1637" s="186"/>
      <c r="F1637" s="187"/>
    </row>
    <row r="1638" spans="1:6" x14ac:dyDescent="0.2">
      <c r="A1638" s="275"/>
      <c r="B1638" s="78"/>
      <c r="C1638" s="189"/>
      <c r="D1638" s="185"/>
      <c r="E1638" s="186"/>
      <c r="F1638" s="187"/>
    </row>
    <row r="1639" spans="1:6" x14ac:dyDescent="0.2">
      <c r="A1639" s="275"/>
      <c r="B1639" s="78"/>
      <c r="C1639" s="189"/>
      <c r="D1639" s="185"/>
      <c r="E1639" s="186"/>
      <c r="F1639" s="187"/>
    </row>
    <row r="1640" spans="1:6" x14ac:dyDescent="0.2">
      <c r="A1640" s="275"/>
      <c r="B1640" s="78"/>
      <c r="C1640" s="189"/>
      <c r="D1640" s="185"/>
      <c r="E1640" s="186"/>
      <c r="F1640" s="187"/>
    </row>
    <row r="1641" spans="1:6" x14ac:dyDescent="0.2">
      <c r="A1641" s="275"/>
      <c r="B1641" s="78"/>
      <c r="C1641" s="189"/>
      <c r="D1641" s="185"/>
      <c r="E1641" s="186"/>
      <c r="F1641" s="187"/>
    </row>
    <row r="1642" spans="1:6" x14ac:dyDescent="0.2">
      <c r="A1642" s="275"/>
      <c r="B1642" s="78"/>
      <c r="C1642" s="189"/>
      <c r="D1642" s="185"/>
      <c r="E1642" s="186"/>
      <c r="F1642" s="187"/>
    </row>
    <row r="1643" spans="1:6" x14ac:dyDescent="0.2">
      <c r="A1643" s="275"/>
      <c r="B1643" s="78"/>
      <c r="C1643" s="189"/>
      <c r="D1643" s="185"/>
      <c r="E1643" s="186"/>
      <c r="F1643" s="187"/>
    </row>
    <row r="1644" spans="1:6" x14ac:dyDescent="0.2">
      <c r="A1644" s="275"/>
      <c r="B1644" s="78"/>
      <c r="C1644" s="189"/>
      <c r="D1644" s="185"/>
      <c r="E1644" s="186"/>
      <c r="F1644" s="187"/>
    </row>
    <row r="1645" spans="1:6" x14ac:dyDescent="0.2">
      <c r="A1645" s="275"/>
      <c r="B1645" s="78"/>
      <c r="C1645" s="189"/>
      <c r="D1645" s="185"/>
      <c r="E1645" s="186"/>
      <c r="F1645" s="187"/>
    </row>
    <row r="1646" spans="1:6" x14ac:dyDescent="0.2">
      <c r="A1646" s="275"/>
      <c r="B1646" s="78"/>
      <c r="C1646" s="189"/>
      <c r="D1646" s="185"/>
      <c r="E1646" s="186"/>
      <c r="F1646" s="187"/>
    </row>
    <row r="1647" spans="1:6" x14ac:dyDescent="0.2">
      <c r="A1647" s="275"/>
      <c r="B1647" s="78"/>
      <c r="C1647" s="189"/>
      <c r="D1647" s="185"/>
      <c r="E1647" s="186"/>
      <c r="F1647" s="187"/>
    </row>
    <row r="1648" spans="1:6" x14ac:dyDescent="0.2">
      <c r="A1648" s="275"/>
      <c r="B1648" s="78"/>
      <c r="C1648" s="189"/>
      <c r="D1648" s="185"/>
      <c r="E1648" s="186"/>
      <c r="F1648" s="187"/>
    </row>
    <row r="1649" spans="1:6" x14ac:dyDescent="0.2">
      <c r="A1649" s="275"/>
      <c r="B1649" s="78"/>
      <c r="C1649" s="189"/>
      <c r="D1649" s="185"/>
      <c r="E1649" s="186"/>
      <c r="F1649" s="187"/>
    </row>
    <row r="1650" spans="1:6" x14ac:dyDescent="0.2">
      <c r="A1650" s="275"/>
      <c r="B1650" s="78"/>
      <c r="C1650" s="189"/>
      <c r="D1650" s="185"/>
      <c r="E1650" s="186"/>
      <c r="F1650" s="187"/>
    </row>
    <row r="1651" spans="1:6" x14ac:dyDescent="0.2">
      <c r="A1651" s="275"/>
      <c r="B1651" s="78"/>
      <c r="C1651" s="189"/>
      <c r="D1651" s="185"/>
      <c r="E1651" s="186"/>
      <c r="F1651" s="187"/>
    </row>
    <row r="1652" spans="1:6" x14ac:dyDescent="0.2">
      <c r="A1652" s="275"/>
      <c r="B1652" s="78"/>
      <c r="C1652" s="189"/>
      <c r="D1652" s="185"/>
      <c r="E1652" s="186"/>
      <c r="F1652" s="187"/>
    </row>
    <row r="1653" spans="1:6" x14ac:dyDescent="0.2">
      <c r="A1653" s="275"/>
      <c r="B1653" s="78"/>
      <c r="C1653" s="189"/>
      <c r="D1653" s="185"/>
      <c r="E1653" s="186"/>
      <c r="F1653" s="187"/>
    </row>
    <row r="1654" spans="1:6" x14ac:dyDescent="0.2">
      <c r="A1654" s="275"/>
      <c r="B1654" s="78"/>
      <c r="C1654" s="189"/>
      <c r="D1654" s="185"/>
      <c r="E1654" s="186"/>
      <c r="F1654" s="187"/>
    </row>
    <row r="1655" spans="1:6" x14ac:dyDescent="0.2">
      <c r="A1655" s="275"/>
      <c r="B1655" s="78"/>
      <c r="C1655" s="189"/>
      <c r="D1655" s="185"/>
      <c r="E1655" s="186"/>
      <c r="F1655" s="187"/>
    </row>
    <row r="1656" spans="1:6" x14ac:dyDescent="0.2">
      <c r="A1656" s="275"/>
      <c r="B1656" s="78"/>
      <c r="C1656" s="189"/>
      <c r="D1656" s="185"/>
      <c r="E1656" s="186"/>
      <c r="F1656" s="187"/>
    </row>
    <row r="1657" spans="1:6" x14ac:dyDescent="0.2">
      <c r="A1657" s="275"/>
      <c r="B1657" s="78"/>
      <c r="C1657" s="189"/>
      <c r="D1657" s="185"/>
      <c r="E1657" s="186"/>
      <c r="F1657" s="187"/>
    </row>
    <row r="1658" spans="1:6" x14ac:dyDescent="0.2">
      <c r="A1658" s="275"/>
      <c r="B1658" s="78"/>
      <c r="C1658" s="189"/>
      <c r="D1658" s="185"/>
      <c r="E1658" s="186"/>
      <c r="F1658" s="187"/>
    </row>
    <row r="1659" spans="1:6" x14ac:dyDescent="0.2">
      <c r="A1659" s="275"/>
      <c r="B1659" s="78"/>
      <c r="C1659" s="189"/>
      <c r="D1659" s="185"/>
      <c r="E1659" s="186"/>
      <c r="F1659" s="187"/>
    </row>
    <row r="1660" spans="1:6" x14ac:dyDescent="0.2">
      <c r="A1660" s="275"/>
      <c r="B1660" s="78"/>
      <c r="C1660" s="189"/>
      <c r="D1660" s="185"/>
      <c r="E1660" s="186"/>
      <c r="F1660" s="187"/>
    </row>
    <row r="1661" spans="1:6" x14ac:dyDescent="0.2">
      <c r="A1661" s="275"/>
      <c r="B1661" s="78"/>
      <c r="C1661" s="189"/>
      <c r="D1661" s="185"/>
      <c r="E1661" s="186"/>
      <c r="F1661" s="187"/>
    </row>
    <row r="1662" spans="1:6" x14ac:dyDescent="0.2">
      <c r="A1662" s="275"/>
      <c r="B1662" s="78"/>
      <c r="C1662" s="189"/>
      <c r="D1662" s="185"/>
      <c r="E1662" s="186"/>
      <c r="F1662" s="187"/>
    </row>
    <row r="1663" spans="1:6" x14ac:dyDescent="0.2">
      <c r="A1663" s="275"/>
      <c r="B1663" s="78"/>
      <c r="C1663" s="189"/>
      <c r="D1663" s="185"/>
      <c r="E1663" s="186"/>
      <c r="F1663" s="187"/>
    </row>
    <row r="1664" spans="1:6" x14ac:dyDescent="0.2">
      <c r="A1664" s="275"/>
      <c r="B1664" s="78"/>
      <c r="C1664" s="189"/>
      <c r="D1664" s="185"/>
      <c r="E1664" s="186"/>
      <c r="F1664" s="187"/>
    </row>
    <row r="1665" spans="1:6" x14ac:dyDescent="0.2">
      <c r="A1665" s="275"/>
      <c r="B1665" s="78"/>
      <c r="C1665" s="189"/>
      <c r="D1665" s="185"/>
      <c r="E1665" s="186"/>
      <c r="F1665" s="187"/>
    </row>
    <row r="1666" spans="1:6" x14ac:dyDescent="0.2">
      <c r="A1666" s="275"/>
      <c r="B1666" s="78"/>
      <c r="C1666" s="189"/>
      <c r="D1666" s="185"/>
      <c r="E1666" s="186"/>
      <c r="F1666" s="187"/>
    </row>
    <row r="1667" spans="1:6" x14ac:dyDescent="0.2">
      <c r="A1667" s="275"/>
      <c r="B1667" s="78"/>
      <c r="C1667" s="189"/>
      <c r="D1667" s="185"/>
      <c r="E1667" s="186"/>
      <c r="F1667" s="187"/>
    </row>
    <row r="1668" spans="1:6" x14ac:dyDescent="0.2">
      <c r="A1668" s="275"/>
      <c r="B1668" s="78"/>
      <c r="C1668" s="189"/>
      <c r="D1668" s="185"/>
      <c r="E1668" s="186"/>
      <c r="F1668" s="187"/>
    </row>
    <row r="1669" spans="1:6" x14ac:dyDescent="0.2">
      <c r="A1669" s="275"/>
      <c r="B1669" s="78"/>
      <c r="C1669" s="189"/>
      <c r="D1669" s="185"/>
      <c r="E1669" s="186"/>
      <c r="F1669" s="187"/>
    </row>
    <row r="1670" spans="1:6" x14ac:dyDescent="0.2">
      <c r="A1670" s="275"/>
      <c r="B1670" s="78"/>
      <c r="C1670" s="189"/>
      <c r="D1670" s="185"/>
      <c r="E1670" s="186"/>
      <c r="F1670" s="187"/>
    </row>
    <row r="1671" spans="1:6" x14ac:dyDescent="0.2">
      <c r="A1671" s="275"/>
      <c r="B1671" s="78"/>
      <c r="C1671" s="189"/>
      <c r="D1671" s="185"/>
      <c r="E1671" s="186"/>
      <c r="F1671" s="187"/>
    </row>
    <row r="1672" spans="1:6" x14ac:dyDescent="0.2">
      <c r="A1672" s="275"/>
      <c r="B1672" s="78"/>
      <c r="C1672" s="189"/>
      <c r="D1672" s="185"/>
      <c r="E1672" s="186"/>
      <c r="F1672" s="187"/>
    </row>
    <row r="1673" spans="1:6" x14ac:dyDescent="0.2">
      <c r="A1673" s="275"/>
      <c r="B1673" s="78"/>
      <c r="C1673" s="189"/>
      <c r="D1673" s="185"/>
      <c r="E1673" s="186"/>
      <c r="F1673" s="187"/>
    </row>
    <row r="1674" spans="1:6" x14ac:dyDescent="0.2">
      <c r="A1674" s="275"/>
      <c r="B1674" s="78"/>
      <c r="C1674" s="189"/>
      <c r="D1674" s="185"/>
      <c r="E1674" s="186"/>
      <c r="F1674" s="187"/>
    </row>
    <row r="1675" spans="1:6" x14ac:dyDescent="0.2">
      <c r="A1675" s="275"/>
      <c r="B1675" s="78"/>
      <c r="C1675" s="189"/>
      <c r="D1675" s="185"/>
      <c r="E1675" s="186"/>
      <c r="F1675" s="187"/>
    </row>
    <row r="1676" spans="1:6" x14ac:dyDescent="0.2">
      <c r="A1676" s="275"/>
      <c r="B1676" s="78"/>
      <c r="C1676" s="189"/>
      <c r="D1676" s="185"/>
      <c r="E1676" s="186"/>
      <c r="F1676" s="187"/>
    </row>
    <row r="1677" spans="1:6" x14ac:dyDescent="0.2">
      <c r="A1677" s="275"/>
      <c r="B1677" s="78"/>
      <c r="C1677" s="189"/>
      <c r="D1677" s="185"/>
      <c r="E1677" s="186"/>
      <c r="F1677" s="187"/>
    </row>
    <row r="1678" spans="1:6" x14ac:dyDescent="0.2">
      <c r="A1678" s="275"/>
      <c r="B1678" s="78"/>
      <c r="C1678" s="189"/>
      <c r="D1678" s="185"/>
      <c r="E1678" s="186"/>
      <c r="F1678" s="187"/>
    </row>
    <row r="1679" spans="1:6" x14ac:dyDescent="0.2">
      <c r="A1679" s="275"/>
      <c r="B1679" s="78"/>
      <c r="C1679" s="189"/>
      <c r="D1679" s="185"/>
      <c r="E1679" s="186"/>
      <c r="F1679" s="187"/>
    </row>
    <row r="1680" spans="1:6" x14ac:dyDescent="0.2">
      <c r="A1680" s="275"/>
      <c r="B1680" s="78"/>
      <c r="C1680" s="189"/>
      <c r="D1680" s="185"/>
      <c r="E1680" s="186"/>
      <c r="F1680" s="187"/>
    </row>
    <row r="1681" spans="1:6" x14ac:dyDescent="0.2">
      <c r="A1681" s="275"/>
      <c r="B1681" s="78"/>
      <c r="C1681" s="189"/>
      <c r="D1681" s="185"/>
      <c r="E1681" s="186"/>
      <c r="F1681" s="187"/>
    </row>
    <row r="1682" spans="1:6" x14ac:dyDescent="0.2">
      <c r="A1682" s="275"/>
      <c r="B1682" s="78"/>
      <c r="C1682" s="189"/>
      <c r="D1682" s="185"/>
      <c r="E1682" s="186"/>
      <c r="F1682" s="187"/>
    </row>
    <row r="1683" spans="1:6" x14ac:dyDescent="0.2">
      <c r="A1683" s="275"/>
      <c r="B1683" s="78"/>
      <c r="C1683" s="189"/>
      <c r="D1683" s="185"/>
      <c r="E1683" s="186"/>
      <c r="F1683" s="187"/>
    </row>
    <row r="1684" spans="1:6" x14ac:dyDescent="0.2">
      <c r="A1684" s="275"/>
      <c r="B1684" s="78"/>
      <c r="C1684" s="189"/>
      <c r="D1684" s="185"/>
      <c r="E1684" s="186"/>
      <c r="F1684" s="187"/>
    </row>
    <row r="1685" spans="1:6" x14ac:dyDescent="0.2">
      <c r="A1685" s="275"/>
      <c r="B1685" s="78"/>
      <c r="C1685" s="189"/>
      <c r="D1685" s="185"/>
      <c r="E1685" s="186"/>
      <c r="F1685" s="187"/>
    </row>
    <row r="1686" spans="1:6" x14ac:dyDescent="0.2">
      <c r="A1686" s="275"/>
      <c r="B1686" s="78"/>
      <c r="C1686" s="189"/>
      <c r="D1686" s="185"/>
      <c r="E1686" s="186"/>
      <c r="F1686" s="187"/>
    </row>
    <row r="1687" spans="1:6" x14ac:dyDescent="0.2">
      <c r="A1687" s="275"/>
      <c r="B1687" s="78"/>
      <c r="C1687" s="189"/>
      <c r="D1687" s="185"/>
      <c r="E1687" s="186"/>
      <c r="F1687" s="187"/>
    </row>
    <row r="1688" spans="1:6" x14ac:dyDescent="0.2">
      <c r="A1688" s="275"/>
      <c r="B1688" s="78"/>
      <c r="C1688" s="189"/>
      <c r="D1688" s="185"/>
      <c r="E1688" s="186"/>
      <c r="F1688" s="187"/>
    </row>
    <row r="1689" spans="1:6" x14ac:dyDescent="0.2">
      <c r="A1689" s="275"/>
      <c r="B1689" s="78"/>
      <c r="C1689" s="189"/>
      <c r="D1689" s="185"/>
      <c r="E1689" s="186"/>
      <c r="F1689" s="187"/>
    </row>
    <row r="1690" spans="1:6" x14ac:dyDescent="0.2">
      <c r="A1690" s="275"/>
      <c r="B1690" s="78"/>
      <c r="C1690" s="189"/>
      <c r="D1690" s="185"/>
      <c r="E1690" s="186"/>
      <c r="F1690" s="187"/>
    </row>
    <row r="1691" spans="1:6" x14ac:dyDescent="0.2">
      <c r="A1691" s="275"/>
      <c r="B1691" s="78"/>
      <c r="C1691" s="189"/>
      <c r="D1691" s="185"/>
      <c r="E1691" s="186"/>
      <c r="F1691" s="187"/>
    </row>
    <row r="1692" spans="1:6" x14ac:dyDescent="0.2">
      <c r="A1692" s="275"/>
      <c r="B1692" s="78"/>
      <c r="C1692" s="189"/>
      <c r="D1692" s="185"/>
      <c r="E1692" s="186"/>
      <c r="F1692" s="187"/>
    </row>
    <row r="1693" spans="1:6" x14ac:dyDescent="0.2">
      <c r="A1693" s="275"/>
      <c r="B1693" s="78"/>
      <c r="C1693" s="189"/>
      <c r="D1693" s="185"/>
      <c r="E1693" s="186"/>
      <c r="F1693" s="187"/>
    </row>
    <row r="1694" spans="1:6" x14ac:dyDescent="0.2">
      <c r="A1694" s="275"/>
      <c r="B1694" s="78"/>
      <c r="C1694" s="189"/>
      <c r="D1694" s="185"/>
      <c r="E1694" s="186"/>
      <c r="F1694" s="187"/>
    </row>
    <row r="1695" spans="1:6" x14ac:dyDescent="0.2">
      <c r="A1695" s="275"/>
      <c r="B1695" s="78"/>
      <c r="C1695" s="189"/>
      <c r="D1695" s="185"/>
      <c r="E1695" s="186"/>
      <c r="F1695" s="187"/>
    </row>
    <row r="1696" spans="1:6" x14ac:dyDescent="0.2">
      <c r="A1696" s="275"/>
      <c r="B1696" s="78"/>
      <c r="C1696" s="189"/>
      <c r="D1696" s="185"/>
      <c r="E1696" s="186"/>
      <c r="F1696" s="187"/>
    </row>
    <row r="1697" spans="1:6" x14ac:dyDescent="0.2">
      <c r="A1697" s="275"/>
      <c r="B1697" s="78"/>
      <c r="C1697" s="189"/>
      <c r="D1697" s="185"/>
      <c r="E1697" s="186"/>
      <c r="F1697" s="187"/>
    </row>
    <row r="1698" spans="1:6" x14ac:dyDescent="0.2">
      <c r="A1698" s="275"/>
      <c r="B1698" s="78"/>
      <c r="C1698" s="189"/>
      <c r="D1698" s="185"/>
      <c r="E1698" s="186"/>
      <c r="F1698" s="187"/>
    </row>
    <row r="1699" spans="1:6" x14ac:dyDescent="0.2">
      <c r="A1699" s="275"/>
      <c r="B1699" s="78"/>
      <c r="C1699" s="189"/>
      <c r="D1699" s="185"/>
      <c r="E1699" s="186"/>
      <c r="F1699" s="187"/>
    </row>
    <row r="1700" spans="1:6" x14ac:dyDescent="0.2">
      <c r="A1700" s="275"/>
      <c r="B1700" s="78"/>
      <c r="C1700" s="189"/>
      <c r="D1700" s="185"/>
      <c r="E1700" s="186"/>
      <c r="F1700" s="187"/>
    </row>
    <row r="1701" spans="1:6" x14ac:dyDescent="0.2">
      <c r="A1701" s="275"/>
      <c r="B1701" s="78"/>
      <c r="C1701" s="189"/>
      <c r="D1701" s="185"/>
      <c r="E1701" s="186"/>
      <c r="F1701" s="187"/>
    </row>
    <row r="1702" spans="1:6" x14ac:dyDescent="0.2">
      <c r="A1702" s="275"/>
      <c r="B1702" s="78"/>
      <c r="C1702" s="189"/>
      <c r="D1702" s="185"/>
      <c r="E1702" s="186"/>
      <c r="F1702" s="187"/>
    </row>
    <row r="1703" spans="1:6" x14ac:dyDescent="0.2">
      <c r="A1703" s="275"/>
      <c r="B1703" s="78"/>
      <c r="C1703" s="189"/>
      <c r="D1703" s="185"/>
      <c r="E1703" s="186"/>
      <c r="F1703" s="187"/>
    </row>
    <row r="1704" spans="1:6" x14ac:dyDescent="0.2">
      <c r="A1704" s="275"/>
      <c r="B1704" s="78"/>
      <c r="C1704" s="189"/>
      <c r="D1704" s="185"/>
      <c r="E1704" s="186"/>
      <c r="F1704" s="187"/>
    </row>
    <row r="1705" spans="1:6" x14ac:dyDescent="0.2">
      <c r="A1705" s="275"/>
      <c r="B1705" s="78"/>
      <c r="C1705" s="189"/>
      <c r="D1705" s="185"/>
      <c r="E1705" s="186"/>
      <c r="F1705" s="187"/>
    </row>
    <row r="1706" spans="1:6" x14ac:dyDescent="0.2">
      <c r="A1706" s="275"/>
      <c r="B1706" s="78"/>
      <c r="C1706" s="189"/>
      <c r="D1706" s="185"/>
      <c r="E1706" s="186"/>
      <c r="F1706" s="187"/>
    </row>
    <row r="1707" spans="1:6" x14ac:dyDescent="0.2">
      <c r="A1707" s="275"/>
      <c r="B1707" s="78"/>
      <c r="C1707" s="189"/>
      <c r="D1707" s="185"/>
      <c r="E1707" s="186"/>
      <c r="F1707" s="187"/>
    </row>
    <row r="1708" spans="1:6" x14ac:dyDescent="0.2">
      <c r="A1708" s="275"/>
      <c r="B1708" s="78"/>
      <c r="C1708" s="189"/>
      <c r="D1708" s="185"/>
      <c r="E1708" s="186"/>
      <c r="F1708" s="187"/>
    </row>
    <row r="1709" spans="1:6" x14ac:dyDescent="0.2">
      <c r="A1709" s="275"/>
      <c r="B1709" s="78"/>
      <c r="C1709" s="189"/>
      <c r="D1709" s="185"/>
      <c r="E1709" s="186"/>
      <c r="F1709" s="187"/>
    </row>
    <row r="1710" spans="1:6" x14ac:dyDescent="0.2">
      <c r="A1710" s="275"/>
      <c r="B1710" s="78"/>
      <c r="C1710" s="189"/>
      <c r="D1710" s="185"/>
      <c r="E1710" s="186"/>
      <c r="F1710" s="187"/>
    </row>
    <row r="1711" spans="1:6" x14ac:dyDescent="0.2">
      <c r="A1711" s="275"/>
      <c r="B1711" s="78"/>
      <c r="C1711" s="189"/>
      <c r="D1711" s="185"/>
      <c r="E1711" s="186"/>
      <c r="F1711" s="187"/>
    </row>
    <row r="1712" spans="1:6" x14ac:dyDescent="0.2">
      <c r="A1712" s="275"/>
      <c r="B1712" s="78"/>
      <c r="C1712" s="189"/>
      <c r="D1712" s="185"/>
      <c r="E1712" s="186"/>
      <c r="F1712" s="187"/>
    </row>
    <row r="1713" spans="1:6" x14ac:dyDescent="0.2">
      <c r="A1713" s="275"/>
      <c r="B1713" s="78"/>
      <c r="C1713" s="189"/>
      <c r="D1713" s="185"/>
      <c r="E1713" s="186"/>
      <c r="F1713" s="187"/>
    </row>
    <row r="1714" spans="1:6" x14ac:dyDescent="0.2">
      <c r="A1714" s="275"/>
      <c r="B1714" s="78"/>
      <c r="C1714" s="189"/>
      <c r="D1714" s="185"/>
      <c r="E1714" s="186"/>
      <c r="F1714" s="187"/>
    </row>
    <row r="1715" spans="1:6" x14ac:dyDescent="0.2">
      <c r="A1715" s="275"/>
      <c r="B1715" s="78"/>
      <c r="C1715" s="189"/>
      <c r="D1715" s="185"/>
      <c r="E1715" s="186"/>
      <c r="F1715" s="187"/>
    </row>
    <row r="1716" spans="1:6" x14ac:dyDescent="0.2">
      <c r="A1716" s="275"/>
      <c r="B1716" s="78"/>
      <c r="C1716" s="189"/>
      <c r="D1716" s="185"/>
      <c r="E1716" s="186"/>
      <c r="F1716" s="187"/>
    </row>
    <row r="1717" spans="1:6" x14ac:dyDescent="0.2">
      <c r="A1717" s="275"/>
      <c r="B1717" s="78"/>
      <c r="C1717" s="189"/>
      <c r="D1717" s="185"/>
      <c r="E1717" s="186"/>
      <c r="F1717" s="187"/>
    </row>
    <row r="1718" spans="1:6" x14ac:dyDescent="0.2">
      <c r="A1718" s="275"/>
      <c r="B1718" s="78"/>
      <c r="C1718" s="189"/>
      <c r="D1718" s="185"/>
      <c r="E1718" s="186"/>
      <c r="F1718" s="187"/>
    </row>
    <row r="1719" spans="1:6" x14ac:dyDescent="0.2">
      <c r="A1719" s="275"/>
      <c r="B1719" s="78"/>
      <c r="C1719" s="189"/>
      <c r="D1719" s="185"/>
      <c r="E1719" s="186"/>
      <c r="F1719" s="187"/>
    </row>
    <row r="1720" spans="1:6" x14ac:dyDescent="0.2">
      <c r="A1720" s="275"/>
      <c r="B1720" s="78"/>
      <c r="C1720" s="189"/>
      <c r="D1720" s="185"/>
      <c r="E1720" s="186"/>
      <c r="F1720" s="187"/>
    </row>
    <row r="1721" spans="1:6" x14ac:dyDescent="0.2">
      <c r="A1721" s="275"/>
      <c r="B1721" s="78"/>
      <c r="C1721" s="189"/>
      <c r="D1721" s="185"/>
      <c r="E1721" s="186"/>
      <c r="F1721" s="187"/>
    </row>
    <row r="1722" spans="1:6" x14ac:dyDescent="0.2">
      <c r="A1722" s="275"/>
      <c r="B1722" s="78"/>
      <c r="C1722" s="189"/>
      <c r="D1722" s="185"/>
      <c r="E1722" s="186"/>
      <c r="F1722" s="187"/>
    </row>
    <row r="1723" spans="1:6" x14ac:dyDescent="0.2">
      <c r="A1723" s="275"/>
      <c r="B1723" s="78"/>
      <c r="C1723" s="189"/>
      <c r="D1723" s="185"/>
      <c r="E1723" s="186"/>
      <c r="F1723" s="187"/>
    </row>
    <row r="1724" spans="1:6" x14ac:dyDescent="0.2">
      <c r="A1724" s="275"/>
      <c r="B1724" s="78"/>
      <c r="C1724" s="189"/>
      <c r="D1724" s="185"/>
      <c r="E1724" s="186"/>
      <c r="F1724" s="187"/>
    </row>
    <row r="1725" spans="1:6" x14ac:dyDescent="0.2">
      <c r="A1725" s="275"/>
      <c r="B1725" s="78"/>
      <c r="C1725" s="189"/>
      <c r="D1725" s="185"/>
      <c r="E1725" s="186"/>
      <c r="F1725" s="187"/>
    </row>
    <row r="1726" spans="1:6" x14ac:dyDescent="0.2">
      <c r="A1726" s="275"/>
      <c r="B1726" s="78"/>
      <c r="C1726" s="189"/>
      <c r="D1726" s="185"/>
      <c r="E1726" s="186"/>
      <c r="F1726" s="187"/>
    </row>
    <row r="1727" spans="1:6" x14ac:dyDescent="0.2">
      <c r="A1727" s="275"/>
      <c r="B1727" s="78"/>
      <c r="C1727" s="189"/>
      <c r="D1727" s="185"/>
      <c r="E1727" s="186"/>
      <c r="F1727" s="187"/>
    </row>
    <row r="1728" spans="1:6" x14ac:dyDescent="0.2">
      <c r="A1728" s="275"/>
      <c r="B1728" s="78"/>
      <c r="C1728" s="189"/>
      <c r="D1728" s="185"/>
      <c r="E1728" s="186"/>
      <c r="F1728" s="187"/>
    </row>
    <row r="1729" spans="1:6" x14ac:dyDescent="0.2">
      <c r="A1729" s="275"/>
      <c r="B1729" s="78"/>
      <c r="C1729" s="189"/>
      <c r="D1729" s="185"/>
      <c r="E1729" s="186"/>
      <c r="F1729" s="187"/>
    </row>
    <row r="1730" spans="1:6" x14ac:dyDescent="0.2">
      <c r="A1730" s="275"/>
      <c r="B1730" s="78"/>
      <c r="C1730" s="189"/>
      <c r="D1730" s="185"/>
      <c r="E1730" s="186"/>
      <c r="F1730" s="187"/>
    </row>
    <row r="1731" spans="1:6" x14ac:dyDescent="0.2">
      <c r="A1731" s="275"/>
      <c r="B1731" s="78"/>
      <c r="C1731" s="189"/>
      <c r="D1731" s="185"/>
      <c r="E1731" s="186"/>
      <c r="F1731" s="187"/>
    </row>
    <row r="1732" spans="1:6" x14ac:dyDescent="0.2">
      <c r="A1732" s="275"/>
      <c r="B1732" s="78"/>
      <c r="C1732" s="189"/>
      <c r="D1732" s="185"/>
      <c r="E1732" s="186"/>
      <c r="F1732" s="187"/>
    </row>
    <row r="1733" spans="1:6" x14ac:dyDescent="0.2">
      <c r="A1733" s="275"/>
      <c r="B1733" s="78"/>
      <c r="C1733" s="189"/>
      <c r="D1733" s="185"/>
      <c r="E1733" s="186"/>
      <c r="F1733" s="187"/>
    </row>
    <row r="1734" spans="1:6" x14ac:dyDescent="0.2">
      <c r="A1734" s="275"/>
      <c r="B1734" s="78"/>
      <c r="C1734" s="189"/>
      <c r="D1734" s="185"/>
      <c r="E1734" s="186"/>
      <c r="F1734" s="187"/>
    </row>
    <row r="1735" spans="1:6" x14ac:dyDescent="0.2">
      <c r="A1735" s="275"/>
      <c r="B1735" s="78"/>
      <c r="C1735" s="189"/>
      <c r="D1735" s="185"/>
      <c r="E1735" s="186"/>
      <c r="F1735" s="187"/>
    </row>
    <row r="1736" spans="1:6" x14ac:dyDescent="0.2">
      <c r="A1736" s="275"/>
      <c r="B1736" s="78"/>
      <c r="C1736" s="189"/>
      <c r="D1736" s="185"/>
      <c r="E1736" s="186"/>
      <c r="F1736" s="187"/>
    </row>
    <row r="1737" spans="1:6" x14ac:dyDescent="0.2">
      <c r="A1737" s="275"/>
      <c r="B1737" s="78"/>
      <c r="C1737" s="189"/>
      <c r="D1737" s="185"/>
      <c r="E1737" s="186"/>
      <c r="F1737" s="187"/>
    </row>
    <row r="1738" spans="1:6" x14ac:dyDescent="0.2">
      <c r="A1738" s="275"/>
      <c r="B1738" s="78"/>
      <c r="C1738" s="189"/>
      <c r="D1738" s="185"/>
      <c r="E1738" s="186"/>
      <c r="F1738" s="187"/>
    </row>
    <row r="1739" spans="1:6" x14ac:dyDescent="0.2">
      <c r="A1739" s="275"/>
      <c r="B1739" s="78"/>
      <c r="C1739" s="189"/>
      <c r="D1739" s="185"/>
      <c r="E1739" s="186"/>
      <c r="F1739" s="187"/>
    </row>
    <row r="1740" spans="1:6" x14ac:dyDescent="0.2">
      <c r="A1740" s="275"/>
      <c r="B1740" s="78"/>
      <c r="C1740" s="189"/>
      <c r="D1740" s="185"/>
      <c r="E1740" s="186"/>
      <c r="F1740" s="187"/>
    </row>
    <row r="1741" spans="1:6" x14ac:dyDescent="0.2">
      <c r="A1741" s="275"/>
      <c r="B1741" s="78"/>
      <c r="C1741" s="189"/>
      <c r="D1741" s="185"/>
      <c r="E1741" s="186"/>
      <c r="F1741" s="187"/>
    </row>
    <row r="1742" spans="1:6" x14ac:dyDescent="0.2">
      <c r="A1742" s="275"/>
      <c r="B1742" s="78"/>
      <c r="C1742" s="189"/>
      <c r="D1742" s="185"/>
      <c r="E1742" s="186"/>
      <c r="F1742" s="187"/>
    </row>
    <row r="1743" spans="1:6" x14ac:dyDescent="0.2">
      <c r="A1743" s="275"/>
      <c r="B1743" s="78"/>
      <c r="C1743" s="189"/>
      <c r="D1743" s="185"/>
      <c r="E1743" s="186"/>
      <c r="F1743" s="187"/>
    </row>
    <row r="1744" spans="1:6" x14ac:dyDescent="0.2">
      <c r="A1744" s="275"/>
      <c r="B1744" s="78"/>
      <c r="C1744" s="189"/>
      <c r="D1744" s="185"/>
      <c r="E1744" s="186"/>
      <c r="F1744" s="187"/>
    </row>
    <row r="1745" spans="1:6" x14ac:dyDescent="0.2">
      <c r="A1745" s="275"/>
      <c r="B1745" s="78"/>
      <c r="C1745" s="189"/>
      <c r="D1745" s="185"/>
      <c r="E1745" s="186"/>
      <c r="F1745" s="187"/>
    </row>
    <row r="1746" spans="1:6" x14ac:dyDescent="0.2">
      <c r="A1746" s="275"/>
      <c r="B1746" s="78"/>
      <c r="C1746" s="189"/>
      <c r="D1746" s="185"/>
      <c r="E1746" s="186"/>
      <c r="F1746" s="187"/>
    </row>
    <row r="1747" spans="1:6" x14ac:dyDescent="0.2">
      <c r="A1747" s="275"/>
      <c r="B1747" s="78"/>
      <c r="C1747" s="189"/>
      <c r="D1747" s="185"/>
      <c r="E1747" s="186"/>
      <c r="F1747" s="187"/>
    </row>
    <row r="1748" spans="1:6" x14ac:dyDescent="0.2">
      <c r="A1748" s="275"/>
      <c r="B1748" s="78"/>
      <c r="C1748" s="189"/>
      <c r="D1748" s="185"/>
      <c r="E1748" s="186"/>
      <c r="F1748" s="187"/>
    </row>
    <row r="1749" spans="1:6" x14ac:dyDescent="0.2">
      <c r="A1749" s="275"/>
      <c r="B1749" s="78"/>
      <c r="C1749" s="189"/>
      <c r="D1749" s="185"/>
      <c r="E1749" s="186"/>
      <c r="F1749" s="187"/>
    </row>
    <row r="1750" spans="1:6" x14ac:dyDescent="0.2">
      <c r="A1750" s="275"/>
      <c r="B1750" s="78"/>
      <c r="C1750" s="189"/>
      <c r="D1750" s="185"/>
      <c r="E1750" s="186"/>
      <c r="F1750" s="187"/>
    </row>
    <row r="1751" spans="1:6" x14ac:dyDescent="0.2">
      <c r="A1751" s="275"/>
      <c r="B1751" s="78"/>
      <c r="C1751" s="189"/>
      <c r="D1751" s="185"/>
      <c r="E1751" s="186"/>
      <c r="F1751" s="187"/>
    </row>
    <row r="1752" spans="1:6" x14ac:dyDescent="0.2">
      <c r="A1752" s="275"/>
      <c r="B1752" s="78"/>
      <c r="C1752" s="189"/>
      <c r="D1752" s="185"/>
      <c r="E1752" s="186"/>
      <c r="F1752" s="187"/>
    </row>
    <row r="1753" spans="1:6" x14ac:dyDescent="0.2">
      <c r="A1753" s="275"/>
      <c r="B1753" s="78"/>
      <c r="C1753" s="189"/>
      <c r="D1753" s="185"/>
      <c r="E1753" s="186"/>
      <c r="F1753" s="187"/>
    </row>
    <row r="1754" spans="1:6" x14ac:dyDescent="0.2">
      <c r="A1754" s="275"/>
      <c r="B1754" s="78"/>
      <c r="C1754" s="189"/>
      <c r="D1754" s="185"/>
      <c r="E1754" s="186"/>
      <c r="F1754" s="187"/>
    </row>
    <row r="1755" spans="1:6" x14ac:dyDescent="0.2">
      <c r="A1755" s="275"/>
      <c r="B1755" s="78"/>
      <c r="C1755" s="189"/>
      <c r="D1755" s="185"/>
      <c r="E1755" s="186"/>
      <c r="F1755" s="187"/>
    </row>
    <row r="1756" spans="1:6" x14ac:dyDescent="0.2">
      <c r="A1756" s="275"/>
      <c r="B1756" s="78"/>
      <c r="C1756" s="189"/>
      <c r="D1756" s="185"/>
      <c r="E1756" s="186"/>
      <c r="F1756" s="187"/>
    </row>
    <row r="1757" spans="1:6" x14ac:dyDescent="0.2">
      <c r="A1757" s="275"/>
      <c r="B1757" s="78"/>
      <c r="C1757" s="189"/>
      <c r="D1757" s="185"/>
      <c r="E1757" s="186"/>
      <c r="F1757" s="187"/>
    </row>
    <row r="1758" spans="1:6" x14ac:dyDescent="0.2">
      <c r="A1758" s="275"/>
      <c r="B1758" s="78"/>
      <c r="C1758" s="189"/>
      <c r="D1758" s="185"/>
      <c r="E1758" s="186"/>
      <c r="F1758" s="187"/>
    </row>
    <row r="1759" spans="1:6" x14ac:dyDescent="0.2">
      <c r="A1759" s="275"/>
      <c r="B1759" s="78"/>
      <c r="C1759" s="189"/>
      <c r="D1759" s="185"/>
      <c r="E1759" s="186"/>
      <c r="F1759" s="187"/>
    </row>
    <row r="1760" spans="1:6" x14ac:dyDescent="0.2">
      <c r="A1760" s="275"/>
      <c r="B1760" s="78"/>
      <c r="C1760" s="189"/>
      <c r="D1760" s="185"/>
      <c r="E1760" s="186"/>
      <c r="F1760" s="187"/>
    </row>
    <row r="1761" spans="1:6" x14ac:dyDescent="0.2">
      <c r="A1761" s="275"/>
      <c r="B1761" s="78"/>
      <c r="C1761" s="189"/>
      <c r="D1761" s="185"/>
      <c r="E1761" s="186"/>
      <c r="F1761" s="187"/>
    </row>
    <row r="1762" spans="1:6" x14ac:dyDescent="0.2">
      <c r="A1762" s="275"/>
      <c r="B1762" s="78"/>
      <c r="C1762" s="189"/>
      <c r="D1762" s="185"/>
      <c r="E1762" s="186"/>
      <c r="F1762" s="187"/>
    </row>
    <row r="1763" spans="1:6" x14ac:dyDescent="0.2">
      <c r="A1763" s="275"/>
      <c r="B1763" s="78"/>
      <c r="C1763" s="189"/>
      <c r="D1763" s="185"/>
      <c r="E1763" s="186"/>
      <c r="F1763" s="187"/>
    </row>
    <row r="1764" spans="1:6" x14ac:dyDescent="0.2">
      <c r="A1764" s="275"/>
      <c r="B1764" s="78"/>
      <c r="C1764" s="189"/>
      <c r="D1764" s="185"/>
      <c r="E1764" s="186"/>
      <c r="F1764" s="187"/>
    </row>
    <row r="1765" spans="1:6" x14ac:dyDescent="0.2">
      <c r="A1765" s="275"/>
      <c r="B1765" s="78"/>
      <c r="C1765" s="189"/>
      <c r="D1765" s="185"/>
      <c r="E1765" s="186"/>
      <c r="F1765" s="187"/>
    </row>
    <row r="1766" spans="1:6" x14ac:dyDescent="0.2">
      <c r="A1766" s="275"/>
      <c r="B1766" s="78"/>
      <c r="C1766" s="189"/>
      <c r="D1766" s="185"/>
      <c r="E1766" s="186"/>
      <c r="F1766" s="187"/>
    </row>
    <row r="1767" spans="1:6" x14ac:dyDescent="0.2">
      <c r="A1767" s="275"/>
      <c r="B1767" s="78"/>
      <c r="C1767" s="189"/>
      <c r="D1767" s="185"/>
      <c r="E1767" s="186"/>
      <c r="F1767" s="187"/>
    </row>
    <row r="1768" spans="1:6" x14ac:dyDescent="0.2">
      <c r="A1768" s="275"/>
      <c r="B1768" s="78"/>
      <c r="C1768" s="189"/>
      <c r="D1768" s="185"/>
      <c r="E1768" s="186"/>
      <c r="F1768" s="187"/>
    </row>
    <row r="1769" spans="1:6" x14ac:dyDescent="0.2">
      <c r="A1769" s="275"/>
      <c r="B1769" s="78"/>
      <c r="C1769" s="189"/>
      <c r="D1769" s="185"/>
      <c r="E1769" s="186"/>
      <c r="F1769" s="187"/>
    </row>
    <row r="1770" spans="1:6" x14ac:dyDescent="0.2">
      <c r="A1770" s="275"/>
      <c r="B1770" s="78"/>
      <c r="C1770" s="189"/>
      <c r="D1770" s="185"/>
      <c r="E1770" s="186"/>
      <c r="F1770" s="187"/>
    </row>
    <row r="1771" spans="1:6" x14ac:dyDescent="0.2">
      <c r="A1771" s="275"/>
      <c r="B1771" s="78"/>
      <c r="C1771" s="189"/>
      <c r="D1771" s="185"/>
      <c r="E1771" s="186"/>
      <c r="F1771" s="187"/>
    </row>
    <row r="1772" spans="1:6" x14ac:dyDescent="0.2">
      <c r="A1772" s="275"/>
      <c r="B1772" s="78"/>
      <c r="C1772" s="189"/>
      <c r="D1772" s="185"/>
      <c r="E1772" s="186"/>
      <c r="F1772" s="187"/>
    </row>
    <row r="1773" spans="1:6" x14ac:dyDescent="0.2">
      <c r="A1773" s="275"/>
      <c r="B1773" s="78"/>
      <c r="C1773" s="189"/>
      <c r="D1773" s="185"/>
      <c r="E1773" s="186"/>
      <c r="F1773" s="187"/>
    </row>
    <row r="1774" spans="1:6" x14ac:dyDescent="0.2">
      <c r="A1774" s="275"/>
      <c r="B1774" s="78"/>
      <c r="C1774" s="189"/>
      <c r="D1774" s="185"/>
      <c r="E1774" s="186"/>
      <c r="F1774" s="187"/>
    </row>
    <row r="1775" spans="1:6" x14ac:dyDescent="0.2">
      <c r="A1775" s="275"/>
      <c r="B1775" s="78"/>
      <c r="C1775" s="189"/>
      <c r="D1775" s="185"/>
      <c r="E1775" s="186"/>
      <c r="F1775" s="187"/>
    </row>
    <row r="1776" spans="1:6" x14ac:dyDescent="0.2">
      <c r="A1776" s="275"/>
      <c r="B1776" s="78"/>
      <c r="C1776" s="189"/>
      <c r="D1776" s="185"/>
      <c r="E1776" s="186"/>
      <c r="F1776" s="187"/>
    </row>
    <row r="1777" spans="1:6" x14ac:dyDescent="0.2">
      <c r="A1777" s="275"/>
      <c r="B1777" s="78"/>
      <c r="C1777" s="189"/>
      <c r="D1777" s="185"/>
      <c r="E1777" s="186"/>
      <c r="F1777" s="187"/>
    </row>
    <row r="1778" spans="1:6" x14ac:dyDescent="0.2">
      <c r="A1778" s="275"/>
      <c r="B1778" s="78"/>
      <c r="C1778" s="189"/>
      <c r="D1778" s="185"/>
      <c r="E1778" s="186"/>
      <c r="F1778" s="187"/>
    </row>
    <row r="1779" spans="1:6" x14ac:dyDescent="0.2">
      <c r="A1779" s="275"/>
      <c r="B1779" s="78"/>
      <c r="C1779" s="189"/>
      <c r="D1779" s="185"/>
      <c r="E1779" s="186"/>
      <c r="F1779" s="187"/>
    </row>
    <row r="1780" spans="1:6" x14ac:dyDescent="0.2">
      <c r="A1780" s="275"/>
      <c r="B1780" s="78"/>
      <c r="C1780" s="189"/>
      <c r="D1780" s="185"/>
      <c r="E1780" s="186"/>
      <c r="F1780" s="187"/>
    </row>
    <row r="1781" spans="1:6" x14ac:dyDescent="0.2">
      <c r="A1781" s="275"/>
      <c r="B1781" s="78"/>
      <c r="C1781" s="189"/>
      <c r="D1781" s="185"/>
      <c r="E1781" s="186"/>
      <c r="F1781" s="187"/>
    </row>
    <row r="1782" spans="1:6" x14ac:dyDescent="0.2">
      <c r="A1782" s="275"/>
      <c r="B1782" s="78"/>
      <c r="C1782" s="189"/>
      <c r="D1782" s="185"/>
      <c r="E1782" s="186"/>
      <c r="F1782" s="187"/>
    </row>
    <row r="1783" spans="1:6" x14ac:dyDescent="0.2">
      <c r="A1783" s="275"/>
      <c r="B1783" s="78"/>
      <c r="C1783" s="189"/>
      <c r="D1783" s="185"/>
      <c r="E1783" s="186"/>
      <c r="F1783" s="187"/>
    </row>
    <row r="1784" spans="1:6" x14ac:dyDescent="0.2">
      <c r="A1784" s="275"/>
      <c r="B1784" s="78"/>
      <c r="C1784" s="189"/>
      <c r="D1784" s="185"/>
      <c r="E1784" s="186"/>
      <c r="F1784" s="187"/>
    </row>
    <row r="1785" spans="1:6" x14ac:dyDescent="0.2">
      <c r="A1785" s="275"/>
      <c r="B1785" s="78"/>
      <c r="C1785" s="189"/>
      <c r="D1785" s="185"/>
      <c r="E1785" s="186"/>
      <c r="F1785" s="187"/>
    </row>
    <row r="1786" spans="1:6" x14ac:dyDescent="0.2">
      <c r="A1786" s="275"/>
      <c r="B1786" s="78"/>
      <c r="C1786" s="189"/>
      <c r="D1786" s="185"/>
      <c r="E1786" s="186"/>
      <c r="F1786" s="187"/>
    </row>
    <row r="1787" spans="1:6" x14ac:dyDescent="0.2">
      <c r="A1787" s="275"/>
      <c r="B1787" s="78"/>
      <c r="C1787" s="189"/>
      <c r="D1787" s="185"/>
      <c r="E1787" s="186"/>
      <c r="F1787" s="187"/>
    </row>
    <row r="1788" spans="1:6" x14ac:dyDescent="0.2">
      <c r="A1788" s="275"/>
      <c r="B1788" s="78"/>
      <c r="C1788" s="189"/>
      <c r="D1788" s="185"/>
      <c r="E1788" s="186"/>
      <c r="F1788" s="187"/>
    </row>
    <row r="1789" spans="1:6" x14ac:dyDescent="0.2">
      <c r="A1789" s="275"/>
      <c r="B1789" s="78"/>
      <c r="C1789" s="189"/>
      <c r="D1789" s="185"/>
      <c r="E1789" s="186"/>
      <c r="F1789" s="187"/>
    </row>
    <row r="1790" spans="1:6" x14ac:dyDescent="0.2">
      <c r="A1790" s="275"/>
      <c r="B1790" s="78"/>
      <c r="C1790" s="189"/>
      <c r="D1790" s="185"/>
      <c r="E1790" s="186"/>
      <c r="F1790" s="187"/>
    </row>
    <row r="1791" spans="1:6" x14ac:dyDescent="0.2">
      <c r="A1791" s="275"/>
      <c r="B1791" s="78"/>
      <c r="C1791" s="189"/>
      <c r="D1791" s="185"/>
      <c r="E1791" s="186"/>
      <c r="F1791" s="187"/>
    </row>
    <row r="1792" spans="1:6" x14ac:dyDescent="0.2">
      <c r="A1792" s="275"/>
      <c r="B1792" s="78"/>
      <c r="C1792" s="189"/>
      <c r="D1792" s="185"/>
      <c r="E1792" s="186"/>
      <c r="F1792" s="187"/>
    </row>
    <row r="1793" spans="1:6" x14ac:dyDescent="0.2">
      <c r="A1793" s="275"/>
      <c r="B1793" s="78"/>
      <c r="C1793" s="189"/>
      <c r="D1793" s="185"/>
      <c r="E1793" s="186"/>
      <c r="F1793" s="187"/>
    </row>
    <row r="1794" spans="1:6" x14ac:dyDescent="0.2">
      <c r="A1794" s="275"/>
      <c r="B1794" s="78"/>
      <c r="C1794" s="189"/>
      <c r="D1794" s="185"/>
      <c r="E1794" s="186"/>
      <c r="F1794" s="187"/>
    </row>
    <row r="1795" spans="1:6" x14ac:dyDescent="0.2">
      <c r="A1795" s="275"/>
      <c r="B1795" s="78"/>
      <c r="C1795" s="189"/>
      <c r="D1795" s="185"/>
      <c r="E1795" s="186"/>
      <c r="F1795" s="187"/>
    </row>
    <row r="1796" spans="1:6" x14ac:dyDescent="0.2">
      <c r="A1796" s="275"/>
      <c r="B1796" s="78"/>
      <c r="C1796" s="189"/>
      <c r="D1796" s="185"/>
      <c r="E1796" s="186"/>
      <c r="F1796" s="187"/>
    </row>
    <row r="1797" spans="1:6" x14ac:dyDescent="0.2">
      <c r="A1797" s="275"/>
      <c r="B1797" s="78"/>
      <c r="C1797" s="189"/>
      <c r="D1797" s="185"/>
      <c r="E1797" s="186"/>
      <c r="F1797" s="187"/>
    </row>
    <row r="1798" spans="1:6" x14ac:dyDescent="0.2">
      <c r="A1798" s="275"/>
      <c r="B1798" s="78"/>
      <c r="C1798" s="189"/>
      <c r="D1798" s="185"/>
      <c r="E1798" s="186"/>
      <c r="F1798" s="187"/>
    </row>
    <row r="1799" spans="1:6" x14ac:dyDescent="0.2">
      <c r="A1799" s="275"/>
      <c r="B1799" s="78"/>
      <c r="C1799" s="189"/>
      <c r="D1799" s="185"/>
      <c r="E1799" s="186"/>
      <c r="F1799" s="187"/>
    </row>
    <row r="1800" spans="1:6" x14ac:dyDescent="0.2">
      <c r="A1800" s="275"/>
      <c r="B1800" s="78"/>
      <c r="C1800" s="189"/>
      <c r="D1800" s="185"/>
      <c r="E1800" s="186"/>
      <c r="F1800" s="187"/>
    </row>
    <row r="1801" spans="1:6" x14ac:dyDescent="0.2">
      <c r="A1801" s="275"/>
      <c r="B1801" s="78"/>
      <c r="C1801" s="189"/>
      <c r="D1801" s="185"/>
      <c r="E1801" s="186"/>
      <c r="F1801" s="187"/>
    </row>
    <row r="1802" spans="1:6" x14ac:dyDescent="0.2">
      <c r="A1802" s="275"/>
      <c r="B1802" s="78"/>
      <c r="C1802" s="189"/>
      <c r="D1802" s="185"/>
      <c r="E1802" s="186"/>
      <c r="F1802" s="187"/>
    </row>
    <row r="1803" spans="1:6" x14ac:dyDescent="0.2">
      <c r="A1803" s="275"/>
      <c r="B1803" s="78"/>
      <c r="C1803" s="189"/>
      <c r="D1803" s="185"/>
      <c r="E1803" s="186"/>
      <c r="F1803" s="187"/>
    </row>
    <row r="1804" spans="1:6" x14ac:dyDescent="0.2">
      <c r="A1804" s="275"/>
      <c r="B1804" s="78"/>
      <c r="C1804" s="189"/>
      <c r="D1804" s="185"/>
      <c r="E1804" s="186"/>
      <c r="F1804" s="187"/>
    </row>
    <row r="1805" spans="1:6" x14ac:dyDescent="0.2">
      <c r="A1805" s="275"/>
      <c r="B1805" s="78"/>
      <c r="C1805" s="189"/>
      <c r="D1805" s="185"/>
      <c r="E1805" s="186"/>
      <c r="F1805" s="187"/>
    </row>
    <row r="1806" spans="1:6" x14ac:dyDescent="0.2">
      <c r="A1806" s="275"/>
      <c r="B1806" s="78"/>
      <c r="C1806" s="189"/>
      <c r="D1806" s="185"/>
      <c r="E1806" s="186"/>
      <c r="F1806" s="187"/>
    </row>
    <row r="1807" spans="1:6" x14ac:dyDescent="0.2">
      <c r="A1807" s="275"/>
      <c r="B1807" s="78"/>
      <c r="C1807" s="189"/>
      <c r="D1807" s="185"/>
      <c r="E1807" s="186"/>
      <c r="F1807" s="187"/>
    </row>
    <row r="1808" spans="1:6" x14ac:dyDescent="0.2">
      <c r="A1808" s="275"/>
      <c r="B1808" s="78"/>
      <c r="C1808" s="189"/>
      <c r="D1808" s="185"/>
      <c r="E1808" s="186"/>
      <c r="F1808" s="187"/>
    </row>
    <row r="1809" spans="1:6" x14ac:dyDescent="0.2">
      <c r="A1809" s="275"/>
      <c r="B1809" s="78"/>
      <c r="C1809" s="189"/>
      <c r="D1809" s="185"/>
      <c r="E1809" s="186"/>
      <c r="F1809" s="187"/>
    </row>
    <row r="1810" spans="1:6" x14ac:dyDescent="0.2">
      <c r="A1810" s="275"/>
      <c r="B1810" s="78"/>
      <c r="C1810" s="189"/>
      <c r="D1810" s="185"/>
      <c r="E1810" s="186"/>
      <c r="F1810" s="187"/>
    </row>
    <row r="1811" spans="1:6" x14ac:dyDescent="0.2">
      <c r="A1811" s="275"/>
      <c r="B1811" s="78"/>
      <c r="C1811" s="189"/>
      <c r="D1811" s="185"/>
      <c r="E1811" s="186"/>
      <c r="F1811" s="187"/>
    </row>
    <row r="1812" spans="1:6" x14ac:dyDescent="0.2">
      <c r="A1812" s="275"/>
      <c r="B1812" s="78"/>
      <c r="C1812" s="189"/>
      <c r="D1812" s="185"/>
      <c r="E1812" s="186"/>
      <c r="F1812" s="187"/>
    </row>
    <row r="1813" spans="1:6" x14ac:dyDescent="0.2">
      <c r="A1813" s="275"/>
      <c r="B1813" s="78"/>
      <c r="C1813" s="189"/>
      <c r="D1813" s="185"/>
      <c r="E1813" s="186"/>
      <c r="F1813" s="187"/>
    </row>
    <row r="1814" spans="1:6" x14ac:dyDescent="0.2">
      <c r="A1814" s="275"/>
      <c r="B1814" s="78"/>
      <c r="C1814" s="189"/>
      <c r="D1814" s="185"/>
      <c r="E1814" s="186"/>
      <c r="F1814" s="187"/>
    </row>
    <row r="1815" spans="1:6" x14ac:dyDescent="0.2">
      <c r="A1815" s="275"/>
      <c r="B1815" s="78"/>
      <c r="C1815" s="189"/>
      <c r="D1815" s="185"/>
      <c r="E1815" s="186"/>
      <c r="F1815" s="187"/>
    </row>
    <row r="1816" spans="1:6" x14ac:dyDescent="0.2">
      <c r="A1816" s="275"/>
      <c r="B1816" s="78"/>
      <c r="C1816" s="189"/>
      <c r="D1816" s="185"/>
      <c r="E1816" s="186"/>
      <c r="F1816" s="187"/>
    </row>
    <row r="1817" spans="1:6" x14ac:dyDescent="0.2">
      <c r="A1817" s="275"/>
      <c r="B1817" s="78"/>
      <c r="C1817" s="189"/>
      <c r="D1817" s="185"/>
      <c r="E1817" s="186"/>
      <c r="F1817" s="187"/>
    </row>
    <row r="1818" spans="1:6" x14ac:dyDescent="0.2">
      <c r="A1818" s="275"/>
      <c r="B1818" s="78"/>
      <c r="C1818" s="189"/>
      <c r="D1818" s="185"/>
      <c r="E1818" s="186"/>
      <c r="F1818" s="187"/>
    </row>
    <row r="1819" spans="1:6" x14ac:dyDescent="0.2">
      <c r="A1819" s="275"/>
      <c r="B1819" s="78"/>
      <c r="C1819" s="189"/>
      <c r="D1819" s="185"/>
      <c r="E1819" s="186"/>
      <c r="F1819" s="187"/>
    </row>
    <row r="1820" spans="1:6" x14ac:dyDescent="0.2">
      <c r="A1820" s="275"/>
      <c r="B1820" s="78"/>
      <c r="C1820" s="189"/>
      <c r="D1820" s="185"/>
      <c r="E1820" s="186"/>
      <c r="F1820" s="187"/>
    </row>
    <row r="1821" spans="1:6" x14ac:dyDescent="0.2">
      <c r="A1821" s="275"/>
      <c r="B1821" s="78"/>
      <c r="C1821" s="189"/>
      <c r="D1821" s="185"/>
      <c r="E1821" s="186"/>
      <c r="F1821" s="187"/>
    </row>
    <row r="1822" spans="1:6" x14ac:dyDescent="0.2">
      <c r="A1822" s="275"/>
      <c r="B1822" s="78"/>
      <c r="C1822" s="189"/>
      <c r="D1822" s="185"/>
      <c r="E1822" s="186"/>
      <c r="F1822" s="187"/>
    </row>
    <row r="1823" spans="1:6" x14ac:dyDescent="0.2">
      <c r="A1823" s="275"/>
      <c r="B1823" s="78"/>
      <c r="C1823" s="189"/>
      <c r="D1823" s="185"/>
      <c r="E1823" s="186"/>
      <c r="F1823" s="187"/>
    </row>
    <row r="1824" spans="1:6" x14ac:dyDescent="0.2">
      <c r="A1824" s="275"/>
      <c r="B1824" s="78"/>
      <c r="C1824" s="189"/>
      <c r="D1824" s="185"/>
      <c r="E1824" s="186"/>
      <c r="F1824" s="187"/>
    </row>
    <row r="1825" spans="1:6" x14ac:dyDescent="0.2">
      <c r="A1825" s="275"/>
      <c r="B1825" s="78"/>
      <c r="C1825" s="189"/>
      <c r="D1825" s="185"/>
      <c r="E1825" s="186"/>
      <c r="F1825" s="187"/>
    </row>
    <row r="1826" spans="1:6" x14ac:dyDescent="0.2">
      <c r="A1826" s="275"/>
      <c r="B1826" s="78"/>
      <c r="C1826" s="189"/>
      <c r="D1826" s="185"/>
      <c r="E1826" s="186"/>
      <c r="F1826" s="187"/>
    </row>
    <row r="1827" spans="1:6" x14ac:dyDescent="0.2">
      <c r="A1827" s="275"/>
      <c r="B1827" s="78"/>
      <c r="C1827" s="189"/>
      <c r="D1827" s="185"/>
      <c r="E1827" s="186"/>
      <c r="F1827" s="187"/>
    </row>
    <row r="1828" spans="1:6" x14ac:dyDescent="0.2">
      <c r="A1828" s="275"/>
      <c r="B1828" s="78"/>
      <c r="C1828" s="189"/>
      <c r="D1828" s="185"/>
      <c r="E1828" s="186"/>
      <c r="F1828" s="187"/>
    </row>
    <row r="1829" spans="1:6" x14ac:dyDescent="0.2">
      <c r="A1829" s="275"/>
      <c r="B1829" s="78"/>
      <c r="C1829" s="189"/>
      <c r="D1829" s="185"/>
      <c r="E1829" s="186"/>
      <c r="F1829" s="187"/>
    </row>
    <row r="1830" spans="1:6" x14ac:dyDescent="0.2">
      <c r="A1830" s="275"/>
      <c r="B1830" s="78"/>
      <c r="C1830" s="189"/>
      <c r="D1830" s="185"/>
      <c r="E1830" s="186"/>
      <c r="F1830" s="187"/>
    </row>
    <row r="1831" spans="1:6" x14ac:dyDescent="0.2">
      <c r="A1831" s="275"/>
      <c r="B1831" s="78"/>
      <c r="C1831" s="189"/>
      <c r="D1831" s="185"/>
      <c r="E1831" s="186"/>
      <c r="F1831" s="187"/>
    </row>
    <row r="1832" spans="1:6" x14ac:dyDescent="0.2">
      <c r="A1832" s="275"/>
      <c r="B1832" s="78"/>
      <c r="C1832" s="189"/>
      <c r="D1832" s="185"/>
      <c r="E1832" s="186"/>
      <c r="F1832" s="187"/>
    </row>
    <row r="1833" spans="1:6" x14ac:dyDescent="0.2">
      <c r="A1833" s="275"/>
      <c r="B1833" s="78"/>
      <c r="C1833" s="189"/>
      <c r="D1833" s="185"/>
      <c r="E1833" s="186"/>
      <c r="F1833" s="187"/>
    </row>
    <row r="1834" spans="1:6" x14ac:dyDescent="0.2">
      <c r="A1834" s="275"/>
      <c r="B1834" s="78"/>
      <c r="C1834" s="189"/>
      <c r="D1834" s="185"/>
      <c r="E1834" s="186"/>
      <c r="F1834" s="187"/>
    </row>
    <row r="1835" spans="1:6" x14ac:dyDescent="0.2">
      <c r="A1835" s="275"/>
      <c r="B1835" s="78"/>
      <c r="C1835" s="189"/>
      <c r="D1835" s="185"/>
      <c r="E1835" s="186"/>
      <c r="F1835" s="187"/>
    </row>
    <row r="1836" spans="1:6" x14ac:dyDescent="0.2">
      <c r="A1836" s="275"/>
      <c r="B1836" s="78"/>
      <c r="C1836" s="189"/>
      <c r="D1836" s="185"/>
      <c r="E1836" s="186"/>
      <c r="F1836" s="187"/>
    </row>
    <row r="1837" spans="1:6" x14ac:dyDescent="0.2">
      <c r="A1837" s="275"/>
      <c r="B1837" s="78"/>
      <c r="C1837" s="189"/>
      <c r="D1837" s="185"/>
      <c r="E1837" s="186"/>
      <c r="F1837" s="187"/>
    </row>
    <row r="1838" spans="1:6" x14ac:dyDescent="0.2">
      <c r="A1838" s="275"/>
      <c r="B1838" s="78"/>
      <c r="C1838" s="189"/>
      <c r="D1838" s="185"/>
      <c r="E1838" s="186"/>
      <c r="F1838" s="187"/>
    </row>
    <row r="1839" spans="1:6" x14ac:dyDescent="0.2">
      <c r="A1839" s="275"/>
      <c r="B1839" s="78"/>
      <c r="C1839" s="189"/>
      <c r="D1839" s="185"/>
      <c r="E1839" s="186"/>
      <c r="F1839" s="187"/>
    </row>
    <row r="1840" spans="1:6" x14ac:dyDescent="0.2">
      <c r="A1840" s="275"/>
      <c r="B1840" s="78"/>
      <c r="C1840" s="189"/>
      <c r="D1840" s="185"/>
      <c r="E1840" s="186"/>
      <c r="F1840" s="187"/>
    </row>
    <row r="1841" spans="1:6" x14ac:dyDescent="0.2">
      <c r="A1841" s="275"/>
      <c r="B1841" s="78"/>
      <c r="C1841" s="189"/>
      <c r="D1841" s="185"/>
      <c r="E1841" s="186"/>
      <c r="F1841" s="187"/>
    </row>
  </sheetData>
  <sheetProtection algorithmName="SHA-512" hashValue="cVwvaa1fDvhTF2vNd1M3Er81NBN6xZrOX5xvM5AuTsrdE0THYXOXitQmk1DF70IIPU61FlpT6PZi3KEHOYvk6A==" saltValue="jBOO0aMgBXyHFqXigFCJ8Q==" spinCount="100000" sheet="1" objects="1" scenarios="1"/>
  <mergeCells count="7">
    <mergeCell ref="C53:E53"/>
    <mergeCell ref="B1:F1"/>
    <mergeCell ref="C18:E18"/>
    <mergeCell ref="C32:E32"/>
    <mergeCell ref="C39:E39"/>
    <mergeCell ref="C45:E45"/>
    <mergeCell ref="C51:E51"/>
  </mergeCells>
  <dataValidations disablePrompts="1" count="1">
    <dataValidation type="custom" showErrorMessage="1" errorTitle="Nepravilen vnos cene" error="Cena mora biti nenegativno število z največ dvema decimalkama!" sqref="E34:E38 E41:E44 E48:E50 E11:E13 E15:E17 E20:E26 E29:E31">
      <formula1>AND(ISNUMBER(E11),E11&gt;=0,ROUND(E11*100,6)-INT(E11*100)=0,NOT(ISBLANK(E11)))</formula1>
    </dataValidation>
  </dataValidations>
  <printOptions horizontalCentered="1"/>
  <pageMargins left="0.78740157480314965" right="0.39370078740157483" top="0.39370078740157483" bottom="0.98425196850393704" header="0.19685039370078741" footer="0.19685039370078741"/>
  <pageSetup paperSize="9" scale="89" fitToHeight="0" orientation="landscape" r:id="rId1"/>
  <headerFooter>
    <oddHeader>&amp;LRTP 110/20 kV Izola&amp;R&amp;G</oddHeader>
    <oddFooter>&amp;LDZR: Ponudbeni predračun
Datoteka: 4407.6G01.PP.rev1.xlsx&amp;R Stran: &amp;P od &amp;N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H1823"/>
  <sheetViews>
    <sheetView view="pageBreakPreview" topLeftCell="A38" zoomScale="85" zoomScaleNormal="100" zoomScaleSheetLayoutView="85" workbookViewId="0">
      <selection activeCell="F8" sqref="F8:F52"/>
    </sheetView>
  </sheetViews>
  <sheetFormatPr defaultColWidth="6.7109375" defaultRowHeight="12.75" x14ac:dyDescent="0.2"/>
  <cols>
    <col min="1" max="1" width="7.85546875" style="190" customWidth="1"/>
    <col min="2" max="2" width="99.140625" style="179" customWidth="1"/>
    <col min="3" max="3" width="9" style="191" customWidth="1"/>
    <col min="4" max="4" width="11.42578125" style="192" customWidth="1"/>
    <col min="5" max="5" width="12.7109375" style="193" customWidth="1"/>
    <col min="6" max="6" width="13.5703125" style="194" customWidth="1"/>
    <col min="7" max="16384" width="6.7109375" style="78"/>
  </cols>
  <sheetData>
    <row r="1" spans="1:7" ht="15.95" customHeight="1" thickBot="1" x14ac:dyDescent="0.3">
      <c r="A1" s="7"/>
      <c r="B1" s="329"/>
      <c r="C1" s="329"/>
      <c r="D1" s="329"/>
      <c r="E1" s="329"/>
      <c r="F1" s="329"/>
    </row>
    <row r="2" spans="1:7" ht="32.450000000000003" customHeight="1" x14ac:dyDescent="0.2">
      <c r="A2" s="1" t="s">
        <v>1</v>
      </c>
      <c r="B2" s="2" t="s">
        <v>1741</v>
      </c>
      <c r="C2" s="3" t="s">
        <v>1742</v>
      </c>
      <c r="D2" s="4" t="s">
        <v>1743</v>
      </c>
      <c r="E2" s="5" t="s">
        <v>1744</v>
      </c>
      <c r="F2" s="6" t="s">
        <v>1745</v>
      </c>
    </row>
    <row r="3" spans="1:7" ht="15" x14ac:dyDescent="0.2">
      <c r="A3" s="273" t="s">
        <v>44</v>
      </c>
      <c r="B3" s="22" t="s">
        <v>2915</v>
      </c>
      <c r="C3" s="23"/>
      <c r="D3" s="24"/>
      <c r="E3" s="25"/>
      <c r="F3" s="26"/>
    </row>
    <row r="4" spans="1:7" ht="42.75" x14ac:dyDescent="0.2">
      <c r="A4" s="261"/>
      <c r="B4" s="201" t="s">
        <v>1747</v>
      </c>
      <c r="C4" s="23"/>
      <c r="D4" s="24"/>
      <c r="E4" s="25"/>
      <c r="F4" s="26"/>
    </row>
    <row r="5" spans="1:7" ht="271.5" x14ac:dyDescent="0.25">
      <c r="A5" s="29"/>
      <c r="B5" s="17" t="s">
        <v>2916</v>
      </c>
      <c r="C5" s="15"/>
      <c r="D5" s="16"/>
      <c r="E5" s="25"/>
      <c r="F5" s="26"/>
      <c r="G5" s="8"/>
    </row>
    <row r="6" spans="1:7" ht="186" x14ac:dyDescent="0.25">
      <c r="A6" s="29"/>
      <c r="B6" s="17" t="s">
        <v>2917</v>
      </c>
      <c r="C6" s="15"/>
      <c r="D6" s="16"/>
      <c r="E6" s="25"/>
      <c r="F6" s="26"/>
      <c r="G6" s="8"/>
    </row>
    <row r="7" spans="1:7" ht="15" x14ac:dyDescent="0.2">
      <c r="A7" s="29" t="s">
        <v>2918</v>
      </c>
      <c r="B7" s="30" t="s">
        <v>2919</v>
      </c>
      <c r="C7" s="15"/>
      <c r="D7" s="16"/>
      <c r="E7" s="25"/>
      <c r="F7" s="26"/>
    </row>
    <row r="8" spans="1:7" ht="28.5" x14ac:dyDescent="0.2">
      <c r="A8" s="29" t="s">
        <v>2920</v>
      </c>
      <c r="B8" s="17" t="s">
        <v>2921</v>
      </c>
      <c r="C8" s="15" t="s">
        <v>1826</v>
      </c>
      <c r="D8" s="16">
        <v>1</v>
      </c>
      <c r="E8" s="31">
        <v>0</v>
      </c>
      <c r="F8" s="28">
        <f t="shared" ref="F8:F14" si="0">ROUND(D8*E8,2)</f>
        <v>0</v>
      </c>
    </row>
    <row r="9" spans="1:7" ht="14.25" x14ac:dyDescent="0.2">
      <c r="A9" s="29" t="s">
        <v>2922</v>
      </c>
      <c r="B9" s="17" t="s">
        <v>2923</v>
      </c>
      <c r="C9" s="15" t="s">
        <v>1826</v>
      </c>
      <c r="D9" s="16">
        <v>2</v>
      </c>
      <c r="E9" s="31">
        <v>0</v>
      </c>
      <c r="F9" s="28">
        <f t="shared" si="0"/>
        <v>0</v>
      </c>
    </row>
    <row r="10" spans="1:7" ht="42.75" x14ac:dyDescent="0.2">
      <c r="A10" s="29" t="s">
        <v>2924</v>
      </c>
      <c r="B10" s="17" t="s">
        <v>2925</v>
      </c>
      <c r="C10" s="15" t="s">
        <v>1826</v>
      </c>
      <c r="D10" s="16">
        <v>1</v>
      </c>
      <c r="E10" s="31">
        <v>0</v>
      </c>
      <c r="F10" s="28">
        <f t="shared" si="0"/>
        <v>0</v>
      </c>
    </row>
    <row r="11" spans="1:7" ht="42.75" x14ac:dyDescent="0.2">
      <c r="A11" s="29" t="s">
        <v>2926</v>
      </c>
      <c r="B11" s="17" t="s">
        <v>2927</v>
      </c>
      <c r="C11" s="15" t="s">
        <v>1826</v>
      </c>
      <c r="D11" s="16">
        <v>1</v>
      </c>
      <c r="E11" s="31">
        <v>0</v>
      </c>
      <c r="F11" s="28">
        <f>ROUND(D11*E11,2)</f>
        <v>0</v>
      </c>
    </row>
    <row r="12" spans="1:7" ht="14.25" x14ac:dyDescent="0.2">
      <c r="A12" s="29" t="s">
        <v>2928</v>
      </c>
      <c r="B12" s="17" t="s">
        <v>2929</v>
      </c>
      <c r="C12" s="15" t="s">
        <v>1826</v>
      </c>
      <c r="D12" s="16">
        <v>1</v>
      </c>
      <c r="E12" s="31">
        <v>0</v>
      </c>
      <c r="F12" s="28">
        <f t="shared" si="0"/>
        <v>0</v>
      </c>
    </row>
    <row r="13" spans="1:7" ht="14.25" x14ac:dyDescent="0.2">
      <c r="A13" s="29" t="s">
        <v>2930</v>
      </c>
      <c r="B13" s="17" t="s">
        <v>2931</v>
      </c>
      <c r="C13" s="15" t="s">
        <v>1826</v>
      </c>
      <c r="D13" s="16">
        <v>1</v>
      </c>
      <c r="E13" s="31">
        <v>0</v>
      </c>
      <c r="F13" s="28">
        <f t="shared" si="0"/>
        <v>0</v>
      </c>
    </row>
    <row r="14" spans="1:7" ht="42.75" x14ac:dyDescent="0.2">
      <c r="A14" s="29" t="s">
        <v>2932</v>
      </c>
      <c r="B14" s="17" t="s">
        <v>2933</v>
      </c>
      <c r="C14" s="15" t="s">
        <v>1826</v>
      </c>
      <c r="D14" s="16">
        <v>1</v>
      </c>
      <c r="E14" s="31">
        <v>0</v>
      </c>
      <c r="F14" s="28">
        <f t="shared" si="0"/>
        <v>0</v>
      </c>
    </row>
    <row r="15" spans="1:7" ht="15" x14ac:dyDescent="0.2">
      <c r="A15" s="29" t="s">
        <v>2934</v>
      </c>
      <c r="B15" s="30" t="s">
        <v>2935</v>
      </c>
      <c r="C15" s="15"/>
      <c r="D15" s="16"/>
      <c r="E15" s="25"/>
      <c r="F15" s="26"/>
    </row>
    <row r="16" spans="1:7" ht="28.5" x14ac:dyDescent="0.2">
      <c r="A16" s="29" t="s">
        <v>2936</v>
      </c>
      <c r="B16" s="17" t="s">
        <v>2937</v>
      </c>
      <c r="C16" s="15" t="s">
        <v>1826</v>
      </c>
      <c r="D16" s="16">
        <v>1</v>
      </c>
      <c r="E16" s="31">
        <v>0</v>
      </c>
      <c r="F16" s="28">
        <f>ROUND(D16*E16,2)</f>
        <v>0</v>
      </c>
    </row>
    <row r="17" spans="1:8" ht="48.75" customHeight="1" x14ac:dyDescent="0.2">
      <c r="A17" s="29" t="s">
        <v>2938</v>
      </c>
      <c r="B17" s="17" t="s">
        <v>2939</v>
      </c>
      <c r="C17" s="15" t="s">
        <v>1826</v>
      </c>
      <c r="D17" s="16">
        <v>1</v>
      </c>
      <c r="E17" s="31">
        <v>0</v>
      </c>
      <c r="F17" s="28">
        <f>ROUND(D17*E17,2)</f>
        <v>0</v>
      </c>
      <c r="H17" s="196"/>
    </row>
    <row r="18" spans="1:8" ht="42.75" x14ac:dyDescent="0.2">
      <c r="A18" s="29" t="s">
        <v>2940</v>
      </c>
      <c r="B18" s="17" t="s">
        <v>2941</v>
      </c>
      <c r="C18" s="15" t="s">
        <v>1826</v>
      </c>
      <c r="D18" s="16">
        <v>1</v>
      </c>
      <c r="E18" s="31">
        <v>0</v>
      </c>
      <c r="F18" s="28">
        <f>ROUND(D18*E18,2)</f>
        <v>0</v>
      </c>
      <c r="H18" s="196"/>
    </row>
    <row r="19" spans="1:8" ht="28.5" x14ac:dyDescent="0.2">
      <c r="A19" s="29" t="s">
        <v>2942</v>
      </c>
      <c r="B19" s="17" t="s">
        <v>2943</v>
      </c>
      <c r="C19" s="15" t="s">
        <v>1826</v>
      </c>
      <c r="D19" s="16">
        <v>1</v>
      </c>
      <c r="E19" s="31">
        <v>0</v>
      </c>
      <c r="F19" s="28">
        <f>ROUND(D19*E19,2)</f>
        <v>0</v>
      </c>
    </row>
    <row r="20" spans="1:8" ht="15" x14ac:dyDescent="0.2">
      <c r="A20" s="29" t="s">
        <v>2944</v>
      </c>
      <c r="B20" s="17" t="s">
        <v>2945</v>
      </c>
      <c r="C20" s="15"/>
      <c r="D20" s="16"/>
      <c r="E20" s="25"/>
      <c r="F20" s="26"/>
    </row>
    <row r="21" spans="1:8" ht="14.25" x14ac:dyDescent="0.2">
      <c r="A21" s="29" t="s">
        <v>2946</v>
      </c>
      <c r="B21" s="17" t="s">
        <v>2947</v>
      </c>
      <c r="C21" s="15" t="s">
        <v>1826</v>
      </c>
      <c r="D21" s="16">
        <v>1</v>
      </c>
      <c r="E21" s="31">
        <v>0</v>
      </c>
      <c r="F21" s="28">
        <f t="shared" ref="F21:F27" si="1">ROUND(D21*E21,2)</f>
        <v>0</v>
      </c>
    </row>
    <row r="22" spans="1:8" ht="18" customHeight="1" x14ac:dyDescent="0.2">
      <c r="A22" s="29" t="s">
        <v>2948</v>
      </c>
      <c r="B22" s="17" t="s">
        <v>2949</v>
      </c>
      <c r="C22" s="15" t="s">
        <v>1826</v>
      </c>
      <c r="D22" s="16">
        <v>1</v>
      </c>
      <c r="E22" s="31">
        <v>0</v>
      </c>
      <c r="F22" s="28">
        <f t="shared" si="1"/>
        <v>0</v>
      </c>
    </row>
    <row r="23" spans="1:8" ht="14.25" x14ac:dyDescent="0.2">
      <c r="A23" s="29" t="s">
        <v>2950</v>
      </c>
      <c r="B23" s="17" t="s">
        <v>2951</v>
      </c>
      <c r="C23" s="15" t="s">
        <v>1826</v>
      </c>
      <c r="D23" s="16">
        <v>1</v>
      </c>
      <c r="E23" s="31">
        <v>0</v>
      </c>
      <c r="F23" s="28">
        <f t="shared" si="1"/>
        <v>0</v>
      </c>
    </row>
    <row r="24" spans="1:8" ht="14.25" x14ac:dyDescent="0.2">
      <c r="A24" s="29" t="s">
        <v>2952</v>
      </c>
      <c r="B24" s="17" t="s">
        <v>2953</v>
      </c>
      <c r="C24" s="15" t="s">
        <v>1826</v>
      </c>
      <c r="D24" s="16">
        <v>1</v>
      </c>
      <c r="E24" s="31">
        <v>0</v>
      </c>
      <c r="F24" s="28">
        <f t="shared" si="1"/>
        <v>0</v>
      </c>
    </row>
    <row r="25" spans="1:8" ht="18.75" customHeight="1" x14ac:dyDescent="0.2">
      <c r="A25" s="29" t="s">
        <v>2954</v>
      </c>
      <c r="B25" s="17" t="s">
        <v>2955</v>
      </c>
      <c r="C25" s="15" t="s">
        <v>1826</v>
      </c>
      <c r="D25" s="16">
        <v>1</v>
      </c>
      <c r="E25" s="31">
        <v>0</v>
      </c>
      <c r="F25" s="28">
        <f t="shared" si="1"/>
        <v>0</v>
      </c>
    </row>
    <row r="26" spans="1:8" ht="14.25" x14ac:dyDescent="0.2">
      <c r="A26" s="29" t="s">
        <v>2956</v>
      </c>
      <c r="B26" s="17" t="s">
        <v>2957</v>
      </c>
      <c r="C26" s="15" t="s">
        <v>1826</v>
      </c>
      <c r="D26" s="16">
        <v>1</v>
      </c>
      <c r="E26" s="31">
        <v>0</v>
      </c>
      <c r="F26" s="28">
        <f t="shared" si="1"/>
        <v>0</v>
      </c>
    </row>
    <row r="27" spans="1:8" ht="14.25" x14ac:dyDescent="0.2">
      <c r="A27" s="29" t="s">
        <v>2958</v>
      </c>
      <c r="B27" s="17" t="s">
        <v>2959</v>
      </c>
      <c r="C27" s="15" t="s">
        <v>1826</v>
      </c>
      <c r="D27" s="16">
        <v>1</v>
      </c>
      <c r="E27" s="31">
        <v>0</v>
      </c>
      <c r="F27" s="28">
        <f t="shared" si="1"/>
        <v>0</v>
      </c>
    </row>
    <row r="28" spans="1:8" ht="15" x14ac:dyDescent="0.2">
      <c r="A28" s="29" t="s">
        <v>2960</v>
      </c>
      <c r="B28" s="30" t="s">
        <v>2961</v>
      </c>
      <c r="C28" s="15"/>
      <c r="D28" s="16"/>
      <c r="E28" s="25"/>
      <c r="F28" s="26"/>
    </row>
    <row r="29" spans="1:8" ht="71.25" x14ac:dyDescent="0.2">
      <c r="A29" s="29" t="s">
        <v>2962</v>
      </c>
      <c r="B29" s="17" t="s">
        <v>2963</v>
      </c>
      <c r="C29" s="15" t="s">
        <v>1826</v>
      </c>
      <c r="D29" s="16">
        <v>1</v>
      </c>
      <c r="E29" s="31">
        <v>0</v>
      </c>
      <c r="F29" s="28">
        <f t="shared" ref="F29:F36" si="2">ROUND(D29*E29,2)</f>
        <v>0</v>
      </c>
    </row>
    <row r="30" spans="1:8" ht="28.5" x14ac:dyDescent="0.2">
      <c r="A30" s="29" t="s">
        <v>2964</v>
      </c>
      <c r="B30" s="17" t="s">
        <v>2965</v>
      </c>
      <c r="C30" s="15" t="s">
        <v>1826</v>
      </c>
      <c r="D30" s="16">
        <v>2</v>
      </c>
      <c r="E30" s="31">
        <v>0</v>
      </c>
      <c r="F30" s="28">
        <f t="shared" si="2"/>
        <v>0</v>
      </c>
    </row>
    <row r="31" spans="1:8" ht="28.5" x14ac:dyDescent="0.2">
      <c r="A31" s="29" t="s">
        <v>2966</v>
      </c>
      <c r="B31" s="17" t="s">
        <v>2967</v>
      </c>
      <c r="C31" s="15" t="s">
        <v>1826</v>
      </c>
      <c r="D31" s="16">
        <v>3</v>
      </c>
      <c r="E31" s="31">
        <v>0</v>
      </c>
      <c r="F31" s="28">
        <f t="shared" si="2"/>
        <v>0</v>
      </c>
    </row>
    <row r="32" spans="1:8" ht="28.5" x14ac:dyDescent="0.2">
      <c r="A32" s="29" t="s">
        <v>2968</v>
      </c>
      <c r="B32" s="17" t="s">
        <v>2969</v>
      </c>
      <c r="C32" s="15" t="s">
        <v>1826</v>
      </c>
      <c r="D32" s="16">
        <v>1</v>
      </c>
      <c r="E32" s="31">
        <v>0</v>
      </c>
      <c r="F32" s="28">
        <f t="shared" si="2"/>
        <v>0</v>
      </c>
    </row>
    <row r="33" spans="1:6" ht="28.5" x14ac:dyDescent="0.2">
      <c r="A33" s="29" t="s">
        <v>2970</v>
      </c>
      <c r="B33" s="17" t="s">
        <v>2971</v>
      </c>
      <c r="C33" s="15" t="s">
        <v>1826</v>
      </c>
      <c r="D33" s="16">
        <v>1</v>
      </c>
      <c r="E33" s="31">
        <v>0</v>
      </c>
      <c r="F33" s="28">
        <f t="shared" si="2"/>
        <v>0</v>
      </c>
    </row>
    <row r="34" spans="1:6" ht="14.25" x14ac:dyDescent="0.2">
      <c r="A34" s="29" t="s">
        <v>2972</v>
      </c>
      <c r="B34" s="17" t="s">
        <v>2957</v>
      </c>
      <c r="C34" s="15" t="s">
        <v>1826</v>
      </c>
      <c r="D34" s="16">
        <v>1</v>
      </c>
      <c r="E34" s="31">
        <v>0</v>
      </c>
      <c r="F34" s="28">
        <f t="shared" si="2"/>
        <v>0</v>
      </c>
    </row>
    <row r="35" spans="1:6" ht="28.5" x14ac:dyDescent="0.2">
      <c r="A35" s="29" t="s">
        <v>2973</v>
      </c>
      <c r="B35" s="17" t="s">
        <v>2974</v>
      </c>
      <c r="C35" s="15" t="s">
        <v>1826</v>
      </c>
      <c r="D35" s="16">
        <v>1</v>
      </c>
      <c r="E35" s="31">
        <v>0</v>
      </c>
      <c r="F35" s="28">
        <f t="shared" si="2"/>
        <v>0</v>
      </c>
    </row>
    <row r="36" spans="1:6" ht="28.5" x14ac:dyDescent="0.2">
      <c r="A36" s="29" t="s">
        <v>2975</v>
      </c>
      <c r="B36" s="17" t="s">
        <v>2976</v>
      </c>
      <c r="C36" s="15" t="s">
        <v>1826</v>
      </c>
      <c r="D36" s="16">
        <v>1</v>
      </c>
      <c r="E36" s="31">
        <v>0</v>
      </c>
      <c r="F36" s="28">
        <f t="shared" si="2"/>
        <v>0</v>
      </c>
    </row>
    <row r="37" spans="1:6" ht="15" x14ac:dyDescent="0.2">
      <c r="A37" s="29" t="s">
        <v>2977</v>
      </c>
      <c r="B37" s="30" t="s">
        <v>2978</v>
      </c>
      <c r="C37" s="15"/>
      <c r="D37" s="16"/>
      <c r="E37" s="25"/>
      <c r="F37" s="26"/>
    </row>
    <row r="38" spans="1:6" ht="57" customHeight="1" x14ac:dyDescent="0.2">
      <c r="A38" s="29" t="s">
        <v>2979</v>
      </c>
      <c r="B38" s="17" t="s">
        <v>2980</v>
      </c>
      <c r="C38" s="15" t="s">
        <v>1826</v>
      </c>
      <c r="D38" s="16">
        <v>1</v>
      </c>
      <c r="E38" s="31">
        <v>0</v>
      </c>
      <c r="F38" s="28">
        <f t="shared" ref="F38:F45" si="3">ROUND(D38*E38,2)</f>
        <v>0</v>
      </c>
    </row>
    <row r="39" spans="1:6" ht="28.5" x14ac:dyDescent="0.2">
      <c r="A39" s="29" t="s">
        <v>2981</v>
      </c>
      <c r="B39" s="17" t="s">
        <v>2965</v>
      </c>
      <c r="C39" s="15" t="s">
        <v>1826</v>
      </c>
      <c r="D39" s="16">
        <v>1</v>
      </c>
      <c r="E39" s="31">
        <v>0</v>
      </c>
      <c r="F39" s="28">
        <f t="shared" si="3"/>
        <v>0</v>
      </c>
    </row>
    <row r="40" spans="1:6" ht="28.5" x14ac:dyDescent="0.2">
      <c r="A40" s="29" t="s">
        <v>2982</v>
      </c>
      <c r="B40" s="17" t="s">
        <v>2967</v>
      </c>
      <c r="C40" s="15" t="s">
        <v>1826</v>
      </c>
      <c r="D40" s="16">
        <v>2</v>
      </c>
      <c r="E40" s="31">
        <v>0</v>
      </c>
      <c r="F40" s="28">
        <f t="shared" si="3"/>
        <v>0</v>
      </c>
    </row>
    <row r="41" spans="1:6" ht="28.5" x14ac:dyDescent="0.2">
      <c r="A41" s="29" t="s">
        <v>2983</v>
      </c>
      <c r="B41" s="17" t="s">
        <v>2984</v>
      </c>
      <c r="C41" s="15" t="s">
        <v>1826</v>
      </c>
      <c r="D41" s="16">
        <v>1</v>
      </c>
      <c r="E41" s="31">
        <v>0</v>
      </c>
      <c r="F41" s="28">
        <f t="shared" si="3"/>
        <v>0</v>
      </c>
    </row>
    <row r="42" spans="1:6" ht="28.5" x14ac:dyDescent="0.2">
      <c r="A42" s="29" t="s">
        <v>2985</v>
      </c>
      <c r="B42" s="17" t="s">
        <v>2971</v>
      </c>
      <c r="C42" s="15" t="s">
        <v>1826</v>
      </c>
      <c r="D42" s="16">
        <v>1</v>
      </c>
      <c r="E42" s="31">
        <v>0</v>
      </c>
      <c r="F42" s="28">
        <f t="shared" si="3"/>
        <v>0</v>
      </c>
    </row>
    <row r="43" spans="1:6" ht="14.25" x14ac:dyDescent="0.2">
      <c r="A43" s="29" t="s">
        <v>2986</v>
      </c>
      <c r="B43" s="17" t="s">
        <v>2987</v>
      </c>
      <c r="C43" s="15" t="s">
        <v>1826</v>
      </c>
      <c r="D43" s="16">
        <v>1</v>
      </c>
      <c r="E43" s="31">
        <v>0</v>
      </c>
      <c r="F43" s="28">
        <f t="shared" si="3"/>
        <v>0</v>
      </c>
    </row>
    <row r="44" spans="1:6" ht="28.5" x14ac:dyDescent="0.2">
      <c r="A44" s="29" t="s">
        <v>2988</v>
      </c>
      <c r="B44" s="17" t="s">
        <v>2974</v>
      </c>
      <c r="C44" s="15" t="s">
        <v>1826</v>
      </c>
      <c r="D44" s="16">
        <v>1</v>
      </c>
      <c r="E44" s="31">
        <v>0</v>
      </c>
      <c r="F44" s="28">
        <f t="shared" si="3"/>
        <v>0</v>
      </c>
    </row>
    <row r="45" spans="1:6" ht="28.5" x14ac:dyDescent="0.2">
      <c r="A45" s="29" t="s">
        <v>2989</v>
      </c>
      <c r="B45" s="17" t="s">
        <v>2976</v>
      </c>
      <c r="C45" s="15" t="s">
        <v>1826</v>
      </c>
      <c r="D45" s="16">
        <v>1</v>
      </c>
      <c r="E45" s="31">
        <v>0</v>
      </c>
      <c r="F45" s="28">
        <f t="shared" si="3"/>
        <v>0</v>
      </c>
    </row>
    <row r="46" spans="1:6" ht="15" x14ac:dyDescent="0.2">
      <c r="A46" s="29" t="s">
        <v>2990</v>
      </c>
      <c r="B46" s="30" t="s">
        <v>2991</v>
      </c>
      <c r="C46" s="15"/>
      <c r="D46" s="16"/>
      <c r="E46" s="25"/>
      <c r="F46" s="26"/>
    </row>
    <row r="47" spans="1:6" ht="28.5" x14ac:dyDescent="0.2">
      <c r="A47" s="29"/>
      <c r="B47" s="17" t="s">
        <v>2992</v>
      </c>
      <c r="C47" s="15"/>
      <c r="D47" s="16"/>
      <c r="E47" s="25"/>
      <c r="F47" s="26"/>
    </row>
    <row r="48" spans="1:6" ht="42.75" x14ac:dyDescent="0.2">
      <c r="A48" s="29" t="s">
        <v>2993</v>
      </c>
      <c r="B48" s="17" t="s">
        <v>2994</v>
      </c>
      <c r="C48" s="15" t="s">
        <v>1826</v>
      </c>
      <c r="D48" s="16">
        <v>20</v>
      </c>
      <c r="E48" s="31">
        <v>0</v>
      </c>
      <c r="F48" s="28">
        <f>ROUND(D48*E48,2)</f>
        <v>0</v>
      </c>
    </row>
    <row r="49" spans="1:7" ht="28.5" x14ac:dyDescent="0.2">
      <c r="A49" s="29" t="s">
        <v>2995</v>
      </c>
      <c r="B49" s="17" t="s">
        <v>2996</v>
      </c>
      <c r="C49" s="15" t="s">
        <v>1826</v>
      </c>
      <c r="D49" s="16">
        <v>5</v>
      </c>
      <c r="E49" s="31">
        <v>0</v>
      </c>
      <c r="F49" s="28">
        <f>ROUND(D49*E49,2)</f>
        <v>0</v>
      </c>
    </row>
    <row r="50" spans="1:7" ht="28.5" x14ac:dyDescent="0.2">
      <c r="A50" s="29" t="s">
        <v>2997</v>
      </c>
      <c r="B50" s="17" t="s">
        <v>2998</v>
      </c>
      <c r="C50" s="15" t="s">
        <v>1826</v>
      </c>
      <c r="D50" s="16">
        <v>2</v>
      </c>
      <c r="E50" s="31">
        <v>0</v>
      </c>
      <c r="F50" s="28">
        <f>ROUND(D50*E50,2)</f>
        <v>0</v>
      </c>
    </row>
    <row r="51" spans="1:7" ht="28.5" x14ac:dyDescent="0.2">
      <c r="A51" s="29" t="s">
        <v>2999</v>
      </c>
      <c r="B51" s="17" t="s">
        <v>3000</v>
      </c>
      <c r="C51" s="15" t="s">
        <v>1826</v>
      </c>
      <c r="D51" s="16">
        <v>2</v>
      </c>
      <c r="E51" s="31">
        <v>0</v>
      </c>
      <c r="F51" s="28">
        <f>ROUND(D51*E51,2)</f>
        <v>0</v>
      </c>
    </row>
    <row r="52" spans="1:7" ht="29.25" thickBot="1" x14ac:dyDescent="0.25">
      <c r="A52" s="29" t="s">
        <v>3001</v>
      </c>
      <c r="B52" s="17" t="s">
        <v>3002</v>
      </c>
      <c r="C52" s="15" t="s">
        <v>1826</v>
      </c>
      <c r="D52" s="16">
        <v>2</v>
      </c>
      <c r="E52" s="31">
        <v>0</v>
      </c>
      <c r="F52" s="28">
        <f>ROUND(D52*E52,2)</f>
        <v>0</v>
      </c>
    </row>
    <row r="53" spans="1:7" ht="18.75" thickBot="1" x14ac:dyDescent="0.3">
      <c r="A53" s="264"/>
      <c r="B53" s="269"/>
      <c r="C53" s="336" t="s">
        <v>3003</v>
      </c>
      <c r="D53" s="337"/>
      <c r="E53" s="338"/>
      <c r="F53" s="18">
        <f>SUM(F8:F52)</f>
        <v>0</v>
      </c>
      <c r="G53" s="8"/>
    </row>
    <row r="54" spans="1:7" x14ac:dyDescent="0.2">
      <c r="A54" s="275"/>
      <c r="B54" s="78"/>
      <c r="C54" s="189"/>
      <c r="D54" s="185"/>
      <c r="E54" s="186"/>
      <c r="F54" s="187"/>
    </row>
    <row r="55" spans="1:7" x14ac:dyDescent="0.2">
      <c r="A55" s="275"/>
      <c r="B55" s="78"/>
      <c r="C55" s="189"/>
      <c r="D55" s="185"/>
      <c r="E55" s="186"/>
      <c r="F55" s="187"/>
    </row>
    <row r="56" spans="1:7" x14ac:dyDescent="0.2">
      <c r="A56" s="275"/>
      <c r="B56" s="78"/>
      <c r="C56" s="189"/>
      <c r="D56" s="185"/>
      <c r="E56" s="186"/>
      <c r="F56" s="187"/>
    </row>
    <row r="57" spans="1:7" x14ac:dyDescent="0.2">
      <c r="A57" s="275"/>
      <c r="B57" s="78"/>
      <c r="C57" s="189"/>
      <c r="D57" s="185"/>
      <c r="E57" s="186"/>
      <c r="F57" s="187"/>
    </row>
    <row r="58" spans="1:7" x14ac:dyDescent="0.2">
      <c r="A58" s="275"/>
      <c r="B58" s="78"/>
      <c r="C58" s="189"/>
      <c r="D58" s="185"/>
      <c r="E58" s="186"/>
      <c r="F58" s="187"/>
    </row>
    <row r="59" spans="1:7" x14ac:dyDescent="0.2">
      <c r="A59" s="275"/>
      <c r="B59" s="78"/>
      <c r="C59" s="189"/>
      <c r="D59" s="185"/>
      <c r="E59" s="186"/>
      <c r="F59" s="187"/>
    </row>
    <row r="60" spans="1:7" x14ac:dyDescent="0.2">
      <c r="A60" s="275"/>
      <c r="B60" s="78"/>
      <c r="C60" s="189"/>
      <c r="D60" s="185"/>
      <c r="E60" s="186"/>
      <c r="F60" s="187"/>
    </row>
    <row r="61" spans="1:7" x14ac:dyDescent="0.2">
      <c r="A61" s="275"/>
      <c r="B61" s="78"/>
      <c r="C61" s="189"/>
      <c r="D61" s="185"/>
      <c r="E61" s="186"/>
      <c r="F61" s="187"/>
    </row>
    <row r="62" spans="1:7" x14ac:dyDescent="0.2">
      <c r="A62" s="275"/>
      <c r="B62" s="78"/>
      <c r="C62" s="189"/>
      <c r="D62" s="185"/>
      <c r="E62" s="186"/>
      <c r="F62" s="187"/>
    </row>
    <row r="63" spans="1:7" x14ac:dyDescent="0.2">
      <c r="A63" s="275"/>
      <c r="B63" s="78"/>
      <c r="C63" s="189"/>
      <c r="D63" s="185"/>
      <c r="E63" s="186"/>
      <c r="F63" s="187"/>
    </row>
    <row r="64" spans="1:7" x14ac:dyDescent="0.2">
      <c r="A64" s="275"/>
      <c r="B64" s="78"/>
      <c r="C64" s="189"/>
      <c r="D64" s="185"/>
      <c r="E64" s="186"/>
      <c r="F64" s="187"/>
    </row>
    <row r="65" spans="1:6" x14ac:dyDescent="0.2">
      <c r="A65" s="275"/>
      <c r="B65" s="78"/>
      <c r="C65" s="189"/>
      <c r="D65" s="185"/>
      <c r="E65" s="186"/>
      <c r="F65" s="187"/>
    </row>
    <row r="66" spans="1:6" x14ac:dyDescent="0.2">
      <c r="A66" s="275"/>
      <c r="B66" s="78"/>
      <c r="C66" s="189"/>
      <c r="D66" s="185"/>
      <c r="E66" s="186"/>
      <c r="F66" s="187"/>
    </row>
    <row r="67" spans="1:6" x14ac:dyDescent="0.2">
      <c r="A67" s="275"/>
      <c r="B67" s="78"/>
      <c r="C67" s="189"/>
      <c r="D67" s="185"/>
      <c r="E67" s="186"/>
      <c r="F67" s="187"/>
    </row>
    <row r="68" spans="1:6" x14ac:dyDescent="0.2">
      <c r="A68" s="275"/>
      <c r="B68" s="78"/>
      <c r="C68" s="189"/>
      <c r="D68" s="185"/>
      <c r="E68" s="186"/>
      <c r="F68" s="187"/>
    </row>
    <row r="69" spans="1:6" x14ac:dyDescent="0.2">
      <c r="A69" s="275"/>
      <c r="B69" s="78"/>
      <c r="C69" s="189"/>
      <c r="D69" s="185"/>
      <c r="E69" s="186"/>
      <c r="F69" s="187"/>
    </row>
    <row r="70" spans="1:6" x14ac:dyDescent="0.2">
      <c r="A70" s="275"/>
      <c r="B70" s="78"/>
      <c r="C70" s="189"/>
      <c r="D70" s="185"/>
      <c r="E70" s="186"/>
      <c r="F70" s="187"/>
    </row>
    <row r="71" spans="1:6" x14ac:dyDescent="0.2">
      <c r="A71" s="275"/>
      <c r="B71" s="78"/>
      <c r="C71" s="189"/>
      <c r="D71" s="185"/>
      <c r="E71" s="186"/>
      <c r="F71" s="187"/>
    </row>
    <row r="72" spans="1:6" x14ac:dyDescent="0.2">
      <c r="A72" s="275"/>
      <c r="B72" s="78"/>
      <c r="C72" s="189"/>
      <c r="D72" s="185"/>
      <c r="E72" s="186"/>
      <c r="F72" s="187"/>
    </row>
    <row r="73" spans="1:6" x14ac:dyDescent="0.2">
      <c r="A73" s="275"/>
      <c r="B73" s="78"/>
      <c r="C73" s="189"/>
      <c r="D73" s="185"/>
      <c r="E73" s="186"/>
      <c r="F73" s="187"/>
    </row>
    <row r="74" spans="1:6" x14ac:dyDescent="0.2">
      <c r="A74" s="275"/>
      <c r="B74" s="78"/>
      <c r="C74" s="189"/>
      <c r="D74" s="185"/>
      <c r="E74" s="186"/>
      <c r="F74" s="187"/>
    </row>
    <row r="75" spans="1:6" x14ac:dyDescent="0.2">
      <c r="A75" s="275"/>
      <c r="B75" s="78"/>
      <c r="C75" s="189"/>
      <c r="D75" s="185"/>
      <c r="E75" s="186"/>
      <c r="F75" s="187"/>
    </row>
    <row r="76" spans="1:6" x14ac:dyDescent="0.2">
      <c r="A76" s="275"/>
      <c r="B76" s="78"/>
      <c r="C76" s="189"/>
      <c r="D76" s="185"/>
      <c r="E76" s="186"/>
      <c r="F76" s="187"/>
    </row>
    <row r="77" spans="1:6" x14ac:dyDescent="0.2">
      <c r="A77" s="275"/>
      <c r="B77" s="78"/>
      <c r="C77" s="189"/>
      <c r="D77" s="185"/>
      <c r="E77" s="186"/>
      <c r="F77" s="187"/>
    </row>
    <row r="78" spans="1:6" x14ac:dyDescent="0.2">
      <c r="A78" s="275"/>
      <c r="B78" s="78"/>
      <c r="C78" s="189"/>
      <c r="D78" s="185"/>
      <c r="E78" s="186"/>
      <c r="F78" s="187"/>
    </row>
    <row r="79" spans="1:6" x14ac:dyDescent="0.2">
      <c r="A79" s="275"/>
      <c r="B79" s="78"/>
      <c r="C79" s="189"/>
      <c r="D79" s="185"/>
      <c r="E79" s="186"/>
      <c r="F79" s="187"/>
    </row>
    <row r="80" spans="1:6" x14ac:dyDescent="0.2">
      <c r="A80" s="275"/>
      <c r="B80" s="78"/>
      <c r="C80" s="189"/>
      <c r="D80" s="185"/>
      <c r="E80" s="186"/>
      <c r="F80" s="187"/>
    </row>
    <row r="81" spans="1:6" x14ac:dyDescent="0.2">
      <c r="A81" s="275"/>
      <c r="B81" s="78"/>
      <c r="C81" s="189"/>
      <c r="D81" s="185"/>
      <c r="E81" s="186"/>
      <c r="F81" s="187"/>
    </row>
    <row r="82" spans="1:6" x14ac:dyDescent="0.2">
      <c r="A82" s="275"/>
      <c r="B82" s="78"/>
      <c r="C82" s="189"/>
      <c r="D82" s="185"/>
      <c r="E82" s="186"/>
      <c r="F82" s="187"/>
    </row>
    <row r="83" spans="1:6" x14ac:dyDescent="0.2">
      <c r="A83" s="275"/>
      <c r="B83" s="78"/>
      <c r="C83" s="189"/>
      <c r="D83" s="185"/>
      <c r="E83" s="186"/>
      <c r="F83" s="187"/>
    </row>
    <row r="84" spans="1:6" x14ac:dyDescent="0.2">
      <c r="A84" s="275"/>
      <c r="B84" s="78"/>
      <c r="C84" s="189"/>
      <c r="D84" s="185"/>
      <c r="E84" s="186"/>
      <c r="F84" s="187"/>
    </row>
    <row r="85" spans="1:6" x14ac:dyDescent="0.2">
      <c r="A85" s="275"/>
      <c r="B85" s="78"/>
      <c r="C85" s="189"/>
      <c r="D85" s="185"/>
      <c r="E85" s="186"/>
      <c r="F85" s="187"/>
    </row>
    <row r="86" spans="1:6" x14ac:dyDescent="0.2">
      <c r="A86" s="275"/>
      <c r="B86" s="78"/>
      <c r="C86" s="189"/>
      <c r="D86" s="185"/>
      <c r="E86" s="186"/>
      <c r="F86" s="187"/>
    </row>
    <row r="87" spans="1:6" x14ac:dyDescent="0.2">
      <c r="A87" s="275"/>
      <c r="B87" s="78"/>
      <c r="C87" s="189"/>
      <c r="D87" s="185"/>
      <c r="E87" s="186"/>
      <c r="F87" s="187"/>
    </row>
    <row r="88" spans="1:6" x14ac:dyDescent="0.2">
      <c r="A88" s="275"/>
      <c r="B88" s="78"/>
      <c r="C88" s="189"/>
      <c r="D88" s="185"/>
      <c r="E88" s="186"/>
      <c r="F88" s="187"/>
    </row>
    <row r="89" spans="1:6" x14ac:dyDescent="0.2">
      <c r="A89" s="275"/>
      <c r="B89" s="78"/>
      <c r="C89" s="189"/>
      <c r="D89" s="185"/>
      <c r="E89" s="186"/>
      <c r="F89" s="187"/>
    </row>
    <row r="90" spans="1:6" x14ac:dyDescent="0.2">
      <c r="A90" s="275"/>
      <c r="B90" s="78"/>
      <c r="C90" s="189"/>
      <c r="D90" s="185"/>
      <c r="E90" s="186"/>
      <c r="F90" s="187"/>
    </row>
    <row r="91" spans="1:6" x14ac:dyDescent="0.2">
      <c r="A91" s="275"/>
      <c r="B91" s="78"/>
      <c r="C91" s="189"/>
      <c r="D91" s="185"/>
      <c r="E91" s="186"/>
      <c r="F91" s="187"/>
    </row>
    <row r="92" spans="1:6" x14ac:dyDescent="0.2">
      <c r="A92" s="275"/>
      <c r="B92" s="78"/>
      <c r="C92" s="189"/>
      <c r="D92" s="185"/>
      <c r="E92" s="186"/>
      <c r="F92" s="187"/>
    </row>
    <row r="93" spans="1:6" x14ac:dyDescent="0.2">
      <c r="A93" s="275"/>
      <c r="B93" s="78"/>
      <c r="C93" s="189"/>
      <c r="D93" s="185"/>
      <c r="E93" s="186"/>
      <c r="F93" s="187"/>
    </row>
    <row r="94" spans="1:6" x14ac:dyDescent="0.2">
      <c r="A94" s="275"/>
      <c r="B94" s="78"/>
      <c r="C94" s="189"/>
      <c r="D94" s="185"/>
      <c r="E94" s="186"/>
      <c r="F94" s="187"/>
    </row>
    <row r="95" spans="1:6" x14ac:dyDescent="0.2">
      <c r="A95" s="275"/>
      <c r="B95" s="78"/>
      <c r="C95" s="189"/>
      <c r="D95" s="185"/>
      <c r="E95" s="186"/>
      <c r="F95" s="187"/>
    </row>
    <row r="96" spans="1:6" x14ac:dyDescent="0.2">
      <c r="A96" s="275"/>
      <c r="B96" s="78"/>
      <c r="C96" s="189"/>
      <c r="D96" s="185"/>
      <c r="E96" s="186"/>
      <c r="F96" s="187"/>
    </row>
    <row r="97" spans="1:6" x14ac:dyDescent="0.2">
      <c r="A97" s="275"/>
      <c r="B97" s="78"/>
      <c r="C97" s="189"/>
      <c r="D97" s="185"/>
      <c r="E97" s="186"/>
      <c r="F97" s="187"/>
    </row>
    <row r="98" spans="1:6" x14ac:dyDescent="0.2">
      <c r="A98" s="275"/>
      <c r="B98" s="78"/>
      <c r="C98" s="189"/>
      <c r="D98" s="185"/>
      <c r="E98" s="186"/>
      <c r="F98" s="187"/>
    </row>
    <row r="99" spans="1:6" x14ac:dyDescent="0.2">
      <c r="A99" s="275"/>
      <c r="B99" s="78"/>
      <c r="C99" s="189"/>
      <c r="D99" s="185"/>
      <c r="E99" s="186"/>
      <c r="F99" s="187"/>
    </row>
    <row r="100" spans="1:6" x14ac:dyDescent="0.2">
      <c r="A100" s="275"/>
      <c r="B100" s="78"/>
      <c r="C100" s="189"/>
      <c r="D100" s="185"/>
      <c r="E100" s="186"/>
      <c r="F100" s="187"/>
    </row>
    <row r="101" spans="1:6" x14ac:dyDescent="0.2">
      <c r="A101" s="275"/>
      <c r="B101" s="78"/>
      <c r="C101" s="189"/>
      <c r="D101" s="185"/>
      <c r="E101" s="186"/>
      <c r="F101" s="187"/>
    </row>
    <row r="102" spans="1:6" x14ac:dyDescent="0.2">
      <c r="A102" s="275"/>
      <c r="B102" s="78"/>
      <c r="C102" s="189"/>
      <c r="D102" s="185"/>
      <c r="E102" s="186"/>
      <c r="F102" s="187"/>
    </row>
    <row r="103" spans="1:6" x14ac:dyDescent="0.2">
      <c r="A103" s="275"/>
      <c r="B103" s="78"/>
      <c r="C103" s="189"/>
      <c r="D103" s="185"/>
      <c r="E103" s="186"/>
      <c r="F103" s="187"/>
    </row>
    <row r="104" spans="1:6" x14ac:dyDescent="0.2">
      <c r="A104" s="275"/>
      <c r="B104" s="78"/>
      <c r="C104" s="189"/>
      <c r="D104" s="185"/>
      <c r="E104" s="186"/>
      <c r="F104" s="187"/>
    </row>
    <row r="105" spans="1:6" x14ac:dyDescent="0.2">
      <c r="A105" s="275"/>
      <c r="B105" s="78"/>
      <c r="C105" s="189"/>
      <c r="D105" s="185"/>
      <c r="E105" s="186"/>
      <c r="F105" s="187"/>
    </row>
    <row r="106" spans="1:6" x14ac:dyDescent="0.2">
      <c r="A106" s="275"/>
      <c r="B106" s="78"/>
      <c r="C106" s="189"/>
      <c r="D106" s="185"/>
      <c r="E106" s="186"/>
      <c r="F106" s="187"/>
    </row>
    <row r="107" spans="1:6" x14ac:dyDescent="0.2">
      <c r="A107" s="275"/>
      <c r="B107" s="78"/>
      <c r="C107" s="189"/>
      <c r="D107" s="185"/>
      <c r="E107" s="186"/>
      <c r="F107" s="187"/>
    </row>
    <row r="108" spans="1:6" x14ac:dyDescent="0.2">
      <c r="A108" s="275"/>
      <c r="B108" s="78"/>
      <c r="C108" s="189"/>
      <c r="D108" s="185"/>
      <c r="E108" s="186"/>
      <c r="F108" s="187"/>
    </row>
    <row r="109" spans="1:6" x14ac:dyDescent="0.2">
      <c r="A109" s="275"/>
      <c r="B109" s="78"/>
      <c r="C109" s="189"/>
      <c r="D109" s="185"/>
      <c r="E109" s="186"/>
      <c r="F109" s="187"/>
    </row>
    <row r="110" spans="1:6" x14ac:dyDescent="0.2">
      <c r="A110" s="275"/>
      <c r="B110" s="78"/>
      <c r="C110" s="189"/>
      <c r="D110" s="185"/>
      <c r="E110" s="186"/>
      <c r="F110" s="187"/>
    </row>
    <row r="111" spans="1:6" x14ac:dyDescent="0.2">
      <c r="A111" s="275"/>
      <c r="B111" s="78"/>
      <c r="C111" s="189"/>
      <c r="D111" s="185"/>
      <c r="E111" s="186"/>
      <c r="F111" s="187"/>
    </row>
    <row r="112" spans="1:6" x14ac:dyDescent="0.2">
      <c r="A112" s="275"/>
      <c r="B112" s="78"/>
      <c r="C112" s="189"/>
      <c r="D112" s="185"/>
      <c r="E112" s="186"/>
      <c r="F112" s="187"/>
    </row>
    <row r="113" spans="1:6" x14ac:dyDescent="0.2">
      <c r="A113" s="275"/>
      <c r="B113" s="78"/>
      <c r="C113" s="189"/>
      <c r="D113" s="185"/>
      <c r="E113" s="186"/>
      <c r="F113" s="187"/>
    </row>
    <row r="114" spans="1:6" x14ac:dyDescent="0.2">
      <c r="A114" s="275"/>
      <c r="B114" s="78"/>
      <c r="C114" s="189"/>
      <c r="D114" s="185"/>
      <c r="E114" s="186"/>
      <c r="F114" s="187"/>
    </row>
    <row r="115" spans="1:6" x14ac:dyDescent="0.2">
      <c r="A115" s="275"/>
      <c r="B115" s="78"/>
      <c r="C115" s="189"/>
      <c r="D115" s="185"/>
      <c r="E115" s="186"/>
      <c r="F115" s="187"/>
    </row>
    <row r="116" spans="1:6" x14ac:dyDescent="0.2">
      <c r="A116" s="275"/>
      <c r="B116" s="78"/>
      <c r="C116" s="189"/>
      <c r="D116" s="185"/>
      <c r="E116" s="186"/>
      <c r="F116" s="187"/>
    </row>
    <row r="117" spans="1:6" x14ac:dyDescent="0.2">
      <c r="A117" s="275"/>
      <c r="B117" s="78"/>
      <c r="C117" s="189"/>
      <c r="D117" s="185"/>
      <c r="E117" s="186"/>
      <c r="F117" s="187"/>
    </row>
    <row r="118" spans="1:6" x14ac:dyDescent="0.2">
      <c r="A118" s="275"/>
      <c r="B118" s="78"/>
      <c r="C118" s="189"/>
      <c r="D118" s="185"/>
      <c r="E118" s="186"/>
      <c r="F118" s="187"/>
    </row>
    <row r="119" spans="1:6" x14ac:dyDescent="0.2">
      <c r="A119" s="275"/>
      <c r="B119" s="78"/>
      <c r="C119" s="189"/>
      <c r="D119" s="185"/>
      <c r="E119" s="186"/>
      <c r="F119" s="187"/>
    </row>
    <row r="120" spans="1:6" x14ac:dyDescent="0.2">
      <c r="A120" s="275"/>
      <c r="B120" s="78"/>
      <c r="C120" s="189"/>
      <c r="D120" s="185"/>
      <c r="E120" s="186"/>
      <c r="F120" s="187"/>
    </row>
    <row r="121" spans="1:6" x14ac:dyDescent="0.2">
      <c r="A121" s="275"/>
      <c r="B121" s="78"/>
      <c r="C121" s="189"/>
      <c r="D121" s="185"/>
      <c r="E121" s="186"/>
      <c r="F121" s="187"/>
    </row>
    <row r="122" spans="1:6" x14ac:dyDescent="0.2">
      <c r="A122" s="275"/>
      <c r="B122" s="78"/>
      <c r="C122" s="189"/>
      <c r="D122" s="185"/>
      <c r="E122" s="186"/>
      <c r="F122" s="187"/>
    </row>
    <row r="123" spans="1:6" x14ac:dyDescent="0.2">
      <c r="A123" s="275"/>
      <c r="B123" s="78"/>
      <c r="C123" s="189"/>
      <c r="D123" s="185"/>
      <c r="E123" s="186"/>
      <c r="F123" s="187"/>
    </row>
    <row r="124" spans="1:6" x14ac:dyDescent="0.2">
      <c r="A124" s="275"/>
      <c r="B124" s="78"/>
      <c r="C124" s="189"/>
      <c r="D124" s="185"/>
      <c r="E124" s="186"/>
      <c r="F124" s="187"/>
    </row>
    <row r="125" spans="1:6" x14ac:dyDescent="0.2">
      <c r="A125" s="275"/>
      <c r="B125" s="78"/>
      <c r="C125" s="189"/>
      <c r="D125" s="185"/>
      <c r="E125" s="186"/>
      <c r="F125" s="187"/>
    </row>
    <row r="126" spans="1:6" x14ac:dyDescent="0.2">
      <c r="A126" s="275"/>
      <c r="B126" s="78"/>
      <c r="C126" s="189"/>
      <c r="D126" s="185"/>
      <c r="E126" s="186"/>
      <c r="F126" s="187"/>
    </row>
    <row r="127" spans="1:6" x14ac:dyDescent="0.2">
      <c r="A127" s="275"/>
      <c r="B127" s="78"/>
      <c r="C127" s="189"/>
      <c r="D127" s="185"/>
      <c r="E127" s="186"/>
      <c r="F127" s="187"/>
    </row>
    <row r="128" spans="1:6" x14ac:dyDescent="0.2">
      <c r="A128" s="275"/>
      <c r="B128" s="78"/>
      <c r="C128" s="189"/>
      <c r="D128" s="185"/>
      <c r="E128" s="186"/>
      <c r="F128" s="187"/>
    </row>
    <row r="129" spans="1:6" x14ac:dyDescent="0.2">
      <c r="A129" s="275"/>
      <c r="B129" s="78"/>
      <c r="C129" s="189"/>
      <c r="D129" s="185"/>
      <c r="E129" s="186"/>
      <c r="F129" s="187"/>
    </row>
    <row r="130" spans="1:6" x14ac:dyDescent="0.2">
      <c r="A130" s="275"/>
      <c r="B130" s="78"/>
      <c r="C130" s="189"/>
      <c r="D130" s="185"/>
      <c r="E130" s="186"/>
      <c r="F130" s="187"/>
    </row>
    <row r="131" spans="1:6" x14ac:dyDescent="0.2">
      <c r="A131" s="275"/>
      <c r="B131" s="78"/>
      <c r="C131" s="189"/>
      <c r="D131" s="185"/>
      <c r="E131" s="186"/>
      <c r="F131" s="187"/>
    </row>
    <row r="132" spans="1:6" x14ac:dyDescent="0.2">
      <c r="A132" s="275"/>
      <c r="B132" s="78"/>
      <c r="C132" s="189"/>
      <c r="D132" s="185"/>
      <c r="E132" s="186"/>
      <c r="F132" s="187"/>
    </row>
    <row r="133" spans="1:6" x14ac:dyDescent="0.2">
      <c r="A133" s="275"/>
      <c r="B133" s="78"/>
      <c r="C133" s="189"/>
      <c r="D133" s="185"/>
      <c r="E133" s="186"/>
      <c r="F133" s="187"/>
    </row>
    <row r="134" spans="1:6" x14ac:dyDescent="0.2">
      <c r="A134" s="275"/>
      <c r="B134" s="78"/>
      <c r="C134" s="189"/>
      <c r="D134" s="185"/>
      <c r="E134" s="186"/>
      <c r="F134" s="187"/>
    </row>
    <row r="135" spans="1:6" x14ac:dyDescent="0.2">
      <c r="A135" s="275"/>
      <c r="B135" s="78"/>
      <c r="C135" s="189"/>
      <c r="D135" s="185"/>
      <c r="E135" s="186"/>
      <c r="F135" s="187"/>
    </row>
    <row r="136" spans="1:6" x14ac:dyDescent="0.2">
      <c r="A136" s="275"/>
      <c r="B136" s="78"/>
      <c r="C136" s="189"/>
      <c r="D136" s="185"/>
      <c r="E136" s="186"/>
      <c r="F136" s="187"/>
    </row>
    <row r="137" spans="1:6" x14ac:dyDescent="0.2">
      <c r="A137" s="275"/>
      <c r="B137" s="78"/>
      <c r="C137" s="189"/>
      <c r="D137" s="185"/>
      <c r="E137" s="186"/>
      <c r="F137" s="187"/>
    </row>
    <row r="138" spans="1:6" x14ac:dyDescent="0.2">
      <c r="A138" s="275"/>
      <c r="B138" s="78"/>
      <c r="C138" s="189"/>
      <c r="D138" s="185"/>
      <c r="E138" s="186"/>
      <c r="F138" s="187"/>
    </row>
    <row r="139" spans="1:6" x14ac:dyDescent="0.2">
      <c r="A139" s="275"/>
      <c r="B139" s="78"/>
      <c r="C139" s="189"/>
      <c r="D139" s="185"/>
      <c r="E139" s="186"/>
      <c r="F139" s="187"/>
    </row>
    <row r="140" spans="1:6" x14ac:dyDescent="0.2">
      <c r="A140" s="275"/>
      <c r="B140" s="78"/>
      <c r="C140" s="189"/>
      <c r="D140" s="185"/>
      <c r="E140" s="186"/>
      <c r="F140" s="187"/>
    </row>
    <row r="141" spans="1:6" x14ac:dyDescent="0.2">
      <c r="A141" s="275"/>
      <c r="B141" s="78"/>
      <c r="C141" s="189"/>
      <c r="D141" s="185"/>
      <c r="E141" s="186"/>
      <c r="F141" s="187"/>
    </row>
    <row r="142" spans="1:6" x14ac:dyDescent="0.2">
      <c r="A142" s="275"/>
      <c r="B142" s="78"/>
      <c r="C142" s="189"/>
      <c r="D142" s="185"/>
      <c r="E142" s="186"/>
      <c r="F142" s="187"/>
    </row>
    <row r="143" spans="1:6" x14ac:dyDescent="0.2">
      <c r="A143" s="275"/>
      <c r="B143" s="78"/>
      <c r="C143" s="189"/>
      <c r="D143" s="185"/>
      <c r="E143" s="186"/>
      <c r="F143" s="187"/>
    </row>
    <row r="144" spans="1:6" x14ac:dyDescent="0.2">
      <c r="A144" s="275"/>
      <c r="B144" s="78"/>
      <c r="C144" s="189"/>
      <c r="D144" s="185"/>
      <c r="E144" s="186"/>
      <c r="F144" s="187"/>
    </row>
    <row r="145" spans="1:6" x14ac:dyDescent="0.2">
      <c r="A145" s="275"/>
      <c r="B145" s="78"/>
      <c r="C145" s="189"/>
      <c r="D145" s="185"/>
      <c r="E145" s="186"/>
      <c r="F145" s="187"/>
    </row>
    <row r="146" spans="1:6" x14ac:dyDescent="0.2">
      <c r="A146" s="275"/>
      <c r="B146" s="78"/>
      <c r="C146" s="189"/>
      <c r="D146" s="185"/>
      <c r="E146" s="186"/>
      <c r="F146" s="187"/>
    </row>
    <row r="147" spans="1:6" x14ac:dyDescent="0.2">
      <c r="A147" s="275"/>
      <c r="B147" s="78"/>
      <c r="C147" s="189"/>
      <c r="D147" s="185"/>
      <c r="E147" s="186"/>
      <c r="F147" s="187"/>
    </row>
    <row r="148" spans="1:6" x14ac:dyDescent="0.2">
      <c r="A148" s="275"/>
      <c r="B148" s="78"/>
      <c r="C148" s="189"/>
      <c r="D148" s="185"/>
      <c r="E148" s="186"/>
      <c r="F148" s="187"/>
    </row>
    <row r="149" spans="1:6" x14ac:dyDescent="0.2">
      <c r="A149" s="275"/>
      <c r="B149" s="78"/>
      <c r="C149" s="189"/>
      <c r="D149" s="185"/>
      <c r="E149" s="186"/>
      <c r="F149" s="187"/>
    </row>
    <row r="150" spans="1:6" x14ac:dyDescent="0.2">
      <c r="A150" s="275"/>
      <c r="B150" s="78"/>
      <c r="C150" s="189"/>
      <c r="D150" s="185"/>
      <c r="E150" s="186"/>
      <c r="F150" s="187"/>
    </row>
    <row r="151" spans="1:6" x14ac:dyDescent="0.2">
      <c r="A151" s="275"/>
      <c r="B151" s="78"/>
      <c r="C151" s="189"/>
      <c r="D151" s="185"/>
      <c r="E151" s="186"/>
      <c r="F151" s="187"/>
    </row>
    <row r="152" spans="1:6" x14ac:dyDescent="0.2">
      <c r="A152" s="275"/>
      <c r="B152" s="78"/>
      <c r="C152" s="189"/>
      <c r="D152" s="185"/>
      <c r="E152" s="186"/>
      <c r="F152" s="187"/>
    </row>
    <row r="153" spans="1:6" x14ac:dyDescent="0.2">
      <c r="A153" s="275"/>
      <c r="B153" s="78"/>
      <c r="C153" s="189"/>
      <c r="D153" s="185"/>
      <c r="E153" s="186"/>
      <c r="F153" s="187"/>
    </row>
    <row r="154" spans="1:6" x14ac:dyDescent="0.2">
      <c r="A154" s="275"/>
      <c r="B154" s="78"/>
      <c r="C154" s="189"/>
      <c r="D154" s="185"/>
      <c r="E154" s="186"/>
      <c r="F154" s="187"/>
    </row>
    <row r="155" spans="1:6" x14ac:dyDescent="0.2">
      <c r="A155" s="275"/>
      <c r="B155" s="78"/>
      <c r="C155" s="189"/>
      <c r="D155" s="185"/>
      <c r="E155" s="186"/>
      <c r="F155" s="187"/>
    </row>
    <row r="156" spans="1:6" x14ac:dyDescent="0.2">
      <c r="A156" s="275"/>
      <c r="B156" s="78"/>
      <c r="C156" s="189"/>
      <c r="D156" s="185"/>
      <c r="E156" s="186"/>
      <c r="F156" s="187"/>
    </row>
    <row r="157" spans="1:6" x14ac:dyDescent="0.2">
      <c r="A157" s="275"/>
      <c r="B157" s="78"/>
      <c r="C157" s="189"/>
      <c r="D157" s="185"/>
      <c r="E157" s="186"/>
      <c r="F157" s="187"/>
    </row>
    <row r="158" spans="1:6" x14ac:dyDescent="0.2">
      <c r="A158" s="275"/>
      <c r="B158" s="78"/>
      <c r="C158" s="189"/>
      <c r="D158" s="185"/>
      <c r="E158" s="186"/>
      <c r="F158" s="187"/>
    </row>
    <row r="159" spans="1:6" x14ac:dyDescent="0.2">
      <c r="A159" s="275"/>
      <c r="B159" s="78"/>
      <c r="C159" s="189"/>
      <c r="D159" s="185"/>
      <c r="E159" s="186"/>
      <c r="F159" s="187"/>
    </row>
    <row r="160" spans="1:6" x14ac:dyDescent="0.2">
      <c r="A160" s="275"/>
      <c r="B160" s="78"/>
      <c r="C160" s="189"/>
      <c r="D160" s="185"/>
      <c r="E160" s="186"/>
      <c r="F160" s="187"/>
    </row>
    <row r="161" spans="1:6" x14ac:dyDescent="0.2">
      <c r="A161" s="275"/>
      <c r="B161" s="78"/>
      <c r="C161" s="189"/>
      <c r="D161" s="185"/>
      <c r="E161" s="186"/>
      <c r="F161" s="187"/>
    </row>
    <row r="162" spans="1:6" x14ac:dyDescent="0.2">
      <c r="A162" s="275"/>
      <c r="B162" s="78"/>
      <c r="C162" s="189"/>
      <c r="D162" s="185"/>
      <c r="E162" s="186"/>
      <c r="F162" s="187"/>
    </row>
    <row r="163" spans="1:6" x14ac:dyDescent="0.2">
      <c r="A163" s="275"/>
      <c r="B163" s="78"/>
      <c r="C163" s="189"/>
      <c r="D163" s="185"/>
      <c r="E163" s="186"/>
      <c r="F163" s="187"/>
    </row>
    <row r="164" spans="1:6" x14ac:dyDescent="0.2">
      <c r="A164" s="275"/>
      <c r="B164" s="78"/>
      <c r="C164" s="189"/>
      <c r="D164" s="185"/>
      <c r="E164" s="186"/>
      <c r="F164" s="187"/>
    </row>
    <row r="165" spans="1:6" x14ac:dyDescent="0.2">
      <c r="A165" s="275"/>
      <c r="B165" s="78"/>
      <c r="C165" s="189"/>
      <c r="D165" s="185"/>
      <c r="E165" s="186"/>
      <c r="F165" s="187"/>
    </row>
    <row r="166" spans="1:6" x14ac:dyDescent="0.2">
      <c r="A166" s="275"/>
      <c r="B166" s="78"/>
      <c r="C166" s="189"/>
      <c r="D166" s="185"/>
      <c r="E166" s="186"/>
      <c r="F166" s="187"/>
    </row>
    <row r="167" spans="1:6" x14ac:dyDescent="0.2">
      <c r="A167" s="275"/>
      <c r="B167" s="78"/>
      <c r="C167" s="189"/>
      <c r="D167" s="185"/>
      <c r="E167" s="186"/>
      <c r="F167" s="187"/>
    </row>
    <row r="168" spans="1:6" x14ac:dyDescent="0.2">
      <c r="A168" s="275"/>
      <c r="B168" s="78"/>
      <c r="C168" s="189"/>
      <c r="D168" s="185"/>
      <c r="E168" s="186"/>
      <c r="F168" s="187"/>
    </row>
    <row r="169" spans="1:6" x14ac:dyDescent="0.2">
      <c r="A169" s="275"/>
      <c r="B169" s="78"/>
      <c r="C169" s="189"/>
      <c r="D169" s="185"/>
      <c r="E169" s="186"/>
      <c r="F169" s="187"/>
    </row>
    <row r="170" spans="1:6" x14ac:dyDescent="0.2">
      <c r="A170" s="275"/>
      <c r="B170" s="78"/>
      <c r="C170" s="189"/>
      <c r="D170" s="185"/>
      <c r="E170" s="186"/>
      <c r="F170" s="187"/>
    </row>
    <row r="171" spans="1:6" x14ac:dyDescent="0.2">
      <c r="A171" s="275"/>
      <c r="B171" s="78"/>
      <c r="C171" s="189"/>
      <c r="D171" s="185"/>
      <c r="E171" s="186"/>
      <c r="F171" s="187"/>
    </row>
    <row r="172" spans="1:6" x14ac:dyDescent="0.2">
      <c r="A172" s="275"/>
      <c r="B172" s="78"/>
      <c r="C172" s="189"/>
      <c r="D172" s="185"/>
      <c r="E172" s="186"/>
      <c r="F172" s="187"/>
    </row>
    <row r="173" spans="1:6" x14ac:dyDescent="0.2">
      <c r="A173" s="275"/>
      <c r="B173" s="78"/>
      <c r="C173" s="189"/>
      <c r="D173" s="185"/>
      <c r="E173" s="186"/>
      <c r="F173" s="187"/>
    </row>
    <row r="174" spans="1:6" x14ac:dyDescent="0.2">
      <c r="A174" s="275"/>
      <c r="B174" s="78"/>
      <c r="C174" s="189"/>
      <c r="D174" s="185"/>
      <c r="E174" s="186"/>
      <c r="F174" s="187"/>
    </row>
    <row r="175" spans="1:6" x14ac:dyDescent="0.2">
      <c r="A175" s="275"/>
      <c r="B175" s="78"/>
      <c r="C175" s="189"/>
      <c r="D175" s="185"/>
      <c r="E175" s="186"/>
      <c r="F175" s="187"/>
    </row>
    <row r="176" spans="1:6" x14ac:dyDescent="0.2">
      <c r="A176" s="275"/>
      <c r="B176" s="78"/>
      <c r="C176" s="189"/>
      <c r="D176" s="185"/>
      <c r="E176" s="186"/>
      <c r="F176" s="187"/>
    </row>
    <row r="177" spans="1:6" x14ac:dyDescent="0.2">
      <c r="A177" s="275"/>
      <c r="B177" s="78"/>
      <c r="C177" s="189"/>
      <c r="D177" s="185"/>
      <c r="E177" s="186"/>
      <c r="F177" s="187"/>
    </row>
    <row r="178" spans="1:6" x14ac:dyDescent="0.2">
      <c r="A178" s="275"/>
      <c r="B178" s="78"/>
      <c r="C178" s="189"/>
      <c r="D178" s="185"/>
      <c r="E178" s="186"/>
      <c r="F178" s="187"/>
    </row>
    <row r="179" spans="1:6" x14ac:dyDescent="0.2">
      <c r="A179" s="275"/>
      <c r="B179" s="78"/>
      <c r="C179" s="189"/>
      <c r="D179" s="185"/>
      <c r="E179" s="186"/>
      <c r="F179" s="187"/>
    </row>
    <row r="180" spans="1:6" x14ac:dyDescent="0.2">
      <c r="A180" s="275"/>
      <c r="B180" s="78"/>
      <c r="C180" s="189"/>
      <c r="D180" s="185"/>
      <c r="E180" s="186"/>
      <c r="F180" s="187"/>
    </row>
    <row r="181" spans="1:6" x14ac:dyDescent="0.2">
      <c r="A181" s="275"/>
      <c r="B181" s="78"/>
      <c r="C181" s="189"/>
      <c r="D181" s="185"/>
      <c r="E181" s="186"/>
      <c r="F181" s="187"/>
    </row>
    <row r="182" spans="1:6" x14ac:dyDescent="0.2">
      <c r="A182" s="275"/>
      <c r="B182" s="78"/>
      <c r="C182" s="189"/>
      <c r="D182" s="185"/>
      <c r="E182" s="186"/>
      <c r="F182" s="187"/>
    </row>
    <row r="183" spans="1:6" x14ac:dyDescent="0.2">
      <c r="A183" s="275"/>
      <c r="B183" s="78"/>
      <c r="C183" s="189"/>
      <c r="D183" s="185"/>
      <c r="E183" s="186"/>
      <c r="F183" s="187"/>
    </row>
    <row r="184" spans="1:6" x14ac:dyDescent="0.2">
      <c r="A184" s="275"/>
      <c r="B184" s="78"/>
      <c r="C184" s="189"/>
      <c r="D184" s="185"/>
      <c r="E184" s="186"/>
      <c r="F184" s="187"/>
    </row>
    <row r="185" spans="1:6" x14ac:dyDescent="0.2">
      <c r="A185" s="275"/>
      <c r="B185" s="78"/>
      <c r="C185" s="189"/>
      <c r="D185" s="185"/>
      <c r="E185" s="186"/>
      <c r="F185" s="187"/>
    </row>
    <row r="186" spans="1:6" x14ac:dyDescent="0.2">
      <c r="A186" s="275"/>
      <c r="B186" s="78"/>
      <c r="C186" s="189"/>
      <c r="D186" s="185"/>
      <c r="E186" s="186"/>
      <c r="F186" s="187"/>
    </row>
    <row r="187" spans="1:6" x14ac:dyDescent="0.2">
      <c r="A187" s="275"/>
      <c r="B187" s="78"/>
      <c r="C187" s="189"/>
      <c r="D187" s="185"/>
      <c r="E187" s="186"/>
      <c r="F187" s="187"/>
    </row>
    <row r="188" spans="1:6" x14ac:dyDescent="0.2">
      <c r="A188" s="275"/>
      <c r="B188" s="78"/>
      <c r="C188" s="189"/>
      <c r="D188" s="185"/>
      <c r="E188" s="186"/>
      <c r="F188" s="187"/>
    </row>
    <row r="189" spans="1:6" x14ac:dyDescent="0.2">
      <c r="A189" s="275"/>
      <c r="B189" s="78"/>
      <c r="C189" s="189"/>
      <c r="D189" s="185"/>
      <c r="E189" s="186"/>
      <c r="F189" s="187"/>
    </row>
    <row r="190" spans="1:6" x14ac:dyDescent="0.2">
      <c r="A190" s="275"/>
      <c r="B190" s="78"/>
      <c r="C190" s="189"/>
      <c r="D190" s="185"/>
      <c r="E190" s="186"/>
      <c r="F190" s="187"/>
    </row>
    <row r="191" spans="1:6" x14ac:dyDescent="0.2">
      <c r="A191" s="275"/>
      <c r="B191" s="78"/>
      <c r="C191" s="189"/>
      <c r="D191" s="185"/>
      <c r="E191" s="186"/>
      <c r="F191" s="187"/>
    </row>
    <row r="192" spans="1:6" x14ac:dyDescent="0.2">
      <c r="A192" s="275"/>
      <c r="B192" s="78"/>
      <c r="C192" s="189"/>
      <c r="D192" s="185"/>
      <c r="E192" s="186"/>
      <c r="F192" s="187"/>
    </row>
    <row r="193" spans="1:6" x14ac:dyDescent="0.2">
      <c r="A193" s="275"/>
      <c r="B193" s="78"/>
      <c r="C193" s="189"/>
      <c r="D193" s="185"/>
      <c r="E193" s="186"/>
      <c r="F193" s="187"/>
    </row>
    <row r="194" spans="1:6" x14ac:dyDescent="0.2">
      <c r="A194" s="275"/>
      <c r="B194" s="78"/>
      <c r="C194" s="189"/>
      <c r="D194" s="185"/>
      <c r="E194" s="186"/>
      <c r="F194" s="187"/>
    </row>
    <row r="195" spans="1:6" x14ac:dyDescent="0.2">
      <c r="A195" s="275"/>
      <c r="B195" s="78"/>
      <c r="C195" s="189"/>
      <c r="D195" s="185"/>
      <c r="E195" s="186"/>
      <c r="F195" s="187"/>
    </row>
    <row r="196" spans="1:6" x14ac:dyDescent="0.2">
      <c r="A196" s="275"/>
      <c r="B196" s="78"/>
      <c r="C196" s="189"/>
      <c r="D196" s="185"/>
      <c r="E196" s="186"/>
      <c r="F196" s="187"/>
    </row>
    <row r="197" spans="1:6" x14ac:dyDescent="0.2">
      <c r="A197" s="275"/>
      <c r="B197" s="78"/>
      <c r="C197" s="189"/>
      <c r="D197" s="185"/>
      <c r="E197" s="186"/>
      <c r="F197" s="187"/>
    </row>
    <row r="198" spans="1:6" x14ac:dyDescent="0.2">
      <c r="A198" s="275"/>
      <c r="B198" s="78"/>
      <c r="C198" s="189"/>
      <c r="D198" s="185"/>
      <c r="E198" s="186"/>
      <c r="F198" s="187"/>
    </row>
    <row r="199" spans="1:6" x14ac:dyDescent="0.2">
      <c r="A199" s="275"/>
      <c r="B199" s="78"/>
      <c r="C199" s="189"/>
      <c r="D199" s="185"/>
      <c r="E199" s="186"/>
      <c r="F199" s="187"/>
    </row>
    <row r="200" spans="1:6" x14ac:dyDescent="0.2">
      <c r="A200" s="275"/>
      <c r="B200" s="78"/>
      <c r="C200" s="189"/>
      <c r="D200" s="185"/>
      <c r="E200" s="186"/>
      <c r="F200" s="187"/>
    </row>
    <row r="201" spans="1:6" x14ac:dyDescent="0.2">
      <c r="A201" s="275"/>
      <c r="B201" s="78"/>
      <c r="C201" s="189"/>
      <c r="D201" s="185"/>
      <c r="E201" s="186"/>
      <c r="F201" s="187"/>
    </row>
    <row r="202" spans="1:6" x14ac:dyDescent="0.2">
      <c r="A202" s="275"/>
      <c r="B202" s="78"/>
      <c r="C202" s="189"/>
      <c r="D202" s="185"/>
      <c r="E202" s="186"/>
      <c r="F202" s="187"/>
    </row>
    <row r="203" spans="1:6" x14ac:dyDescent="0.2">
      <c r="A203" s="275"/>
      <c r="B203" s="78"/>
      <c r="C203" s="189"/>
      <c r="D203" s="185"/>
      <c r="E203" s="186"/>
      <c r="F203" s="187"/>
    </row>
    <row r="204" spans="1:6" x14ac:dyDescent="0.2">
      <c r="A204" s="275"/>
      <c r="B204" s="78"/>
      <c r="C204" s="189"/>
      <c r="D204" s="185"/>
      <c r="E204" s="186"/>
      <c r="F204" s="187"/>
    </row>
    <row r="205" spans="1:6" x14ac:dyDescent="0.2">
      <c r="A205" s="275"/>
      <c r="B205" s="78"/>
      <c r="C205" s="189"/>
      <c r="D205" s="185"/>
      <c r="E205" s="186"/>
      <c r="F205" s="187"/>
    </row>
    <row r="206" spans="1:6" x14ac:dyDescent="0.2">
      <c r="A206" s="275"/>
      <c r="B206" s="78"/>
      <c r="C206" s="189"/>
      <c r="D206" s="185"/>
      <c r="E206" s="186"/>
      <c r="F206" s="187"/>
    </row>
    <row r="207" spans="1:6" x14ac:dyDescent="0.2">
      <c r="A207" s="275"/>
      <c r="B207" s="78"/>
      <c r="C207" s="189"/>
      <c r="D207" s="185"/>
      <c r="E207" s="186"/>
      <c r="F207" s="187"/>
    </row>
    <row r="208" spans="1:6" x14ac:dyDescent="0.2">
      <c r="A208" s="275"/>
      <c r="B208" s="78"/>
      <c r="C208" s="189"/>
      <c r="D208" s="185"/>
      <c r="E208" s="186"/>
      <c r="F208" s="187"/>
    </row>
    <row r="209" spans="1:6" x14ac:dyDescent="0.2">
      <c r="A209" s="275"/>
      <c r="B209" s="78"/>
      <c r="C209" s="189"/>
      <c r="D209" s="185"/>
      <c r="E209" s="186"/>
      <c r="F209" s="187"/>
    </row>
    <row r="210" spans="1:6" x14ac:dyDescent="0.2">
      <c r="A210" s="275"/>
      <c r="B210" s="78"/>
      <c r="C210" s="189"/>
      <c r="D210" s="185"/>
      <c r="E210" s="186"/>
      <c r="F210" s="187"/>
    </row>
    <row r="211" spans="1:6" x14ac:dyDescent="0.2">
      <c r="A211" s="275"/>
      <c r="B211" s="78"/>
      <c r="C211" s="189"/>
      <c r="D211" s="185"/>
      <c r="E211" s="186"/>
      <c r="F211" s="187"/>
    </row>
    <row r="212" spans="1:6" x14ac:dyDescent="0.2">
      <c r="A212" s="275"/>
      <c r="B212" s="78"/>
      <c r="C212" s="189"/>
      <c r="D212" s="185"/>
      <c r="E212" s="186"/>
      <c r="F212" s="187"/>
    </row>
    <row r="213" spans="1:6" x14ac:dyDescent="0.2">
      <c r="A213" s="275"/>
      <c r="B213" s="78"/>
      <c r="C213" s="189"/>
      <c r="D213" s="185"/>
      <c r="E213" s="186"/>
      <c r="F213" s="187"/>
    </row>
    <row r="214" spans="1:6" x14ac:dyDescent="0.2">
      <c r="A214" s="275"/>
      <c r="B214" s="78"/>
      <c r="C214" s="189"/>
      <c r="D214" s="185"/>
      <c r="E214" s="186"/>
      <c r="F214" s="187"/>
    </row>
    <row r="215" spans="1:6" x14ac:dyDescent="0.2">
      <c r="A215" s="275"/>
      <c r="B215" s="78"/>
      <c r="C215" s="189"/>
      <c r="D215" s="185"/>
      <c r="E215" s="186"/>
      <c r="F215" s="187"/>
    </row>
    <row r="216" spans="1:6" x14ac:dyDescent="0.2">
      <c r="A216" s="275"/>
      <c r="B216" s="78"/>
      <c r="C216" s="189"/>
      <c r="D216" s="185"/>
      <c r="E216" s="186"/>
      <c r="F216" s="187"/>
    </row>
    <row r="217" spans="1:6" x14ac:dyDescent="0.2">
      <c r="A217" s="275"/>
      <c r="B217" s="78"/>
      <c r="C217" s="189"/>
      <c r="D217" s="185"/>
      <c r="E217" s="186"/>
      <c r="F217" s="187"/>
    </row>
    <row r="218" spans="1:6" x14ac:dyDescent="0.2">
      <c r="A218" s="275"/>
      <c r="B218" s="78"/>
      <c r="C218" s="189"/>
      <c r="D218" s="185"/>
      <c r="E218" s="186"/>
      <c r="F218" s="187"/>
    </row>
    <row r="219" spans="1:6" x14ac:dyDescent="0.2">
      <c r="A219" s="275"/>
      <c r="B219" s="78"/>
      <c r="C219" s="189"/>
      <c r="D219" s="185"/>
      <c r="E219" s="186"/>
      <c r="F219" s="187"/>
    </row>
    <row r="220" spans="1:6" x14ac:dyDescent="0.2">
      <c r="A220" s="275"/>
      <c r="B220" s="78"/>
      <c r="C220" s="189"/>
      <c r="D220" s="185"/>
      <c r="E220" s="186"/>
      <c r="F220" s="187"/>
    </row>
    <row r="221" spans="1:6" x14ac:dyDescent="0.2">
      <c r="A221" s="275"/>
      <c r="B221" s="78"/>
      <c r="C221" s="189"/>
      <c r="D221" s="185"/>
      <c r="E221" s="186"/>
      <c r="F221" s="187"/>
    </row>
    <row r="222" spans="1:6" x14ac:dyDescent="0.2">
      <c r="A222" s="275"/>
      <c r="B222" s="78"/>
      <c r="C222" s="189"/>
      <c r="D222" s="185"/>
      <c r="E222" s="186"/>
      <c r="F222" s="187"/>
    </row>
    <row r="223" spans="1:6" x14ac:dyDescent="0.2">
      <c r="A223" s="275"/>
      <c r="B223" s="78"/>
      <c r="C223" s="189"/>
      <c r="D223" s="185"/>
      <c r="E223" s="186"/>
      <c r="F223" s="187"/>
    </row>
    <row r="224" spans="1:6" x14ac:dyDescent="0.2">
      <c r="A224" s="275"/>
      <c r="B224" s="78"/>
      <c r="C224" s="189"/>
      <c r="D224" s="185"/>
      <c r="E224" s="186"/>
      <c r="F224" s="187"/>
    </row>
    <row r="225" spans="1:6" x14ac:dyDescent="0.2">
      <c r="A225" s="275"/>
      <c r="B225" s="78"/>
      <c r="C225" s="189"/>
      <c r="D225" s="185"/>
      <c r="E225" s="186"/>
      <c r="F225" s="187"/>
    </row>
    <row r="226" spans="1:6" x14ac:dyDescent="0.2">
      <c r="A226" s="275"/>
      <c r="B226" s="78"/>
      <c r="C226" s="189"/>
      <c r="D226" s="185"/>
      <c r="E226" s="186"/>
      <c r="F226" s="187"/>
    </row>
    <row r="227" spans="1:6" x14ac:dyDescent="0.2">
      <c r="A227" s="275"/>
      <c r="B227" s="78"/>
      <c r="C227" s="189"/>
      <c r="D227" s="185"/>
      <c r="E227" s="186"/>
      <c r="F227" s="187"/>
    </row>
    <row r="228" spans="1:6" x14ac:dyDescent="0.2">
      <c r="A228" s="275"/>
      <c r="B228" s="78"/>
      <c r="C228" s="189"/>
      <c r="D228" s="185"/>
      <c r="E228" s="186"/>
      <c r="F228" s="187"/>
    </row>
    <row r="229" spans="1:6" x14ac:dyDescent="0.2">
      <c r="A229" s="275"/>
      <c r="B229" s="78"/>
      <c r="C229" s="189"/>
      <c r="D229" s="185"/>
      <c r="E229" s="186"/>
      <c r="F229" s="187"/>
    </row>
    <row r="230" spans="1:6" x14ac:dyDescent="0.2">
      <c r="A230" s="275"/>
      <c r="B230" s="78"/>
      <c r="C230" s="189"/>
      <c r="D230" s="185"/>
      <c r="E230" s="186"/>
      <c r="F230" s="187"/>
    </row>
    <row r="231" spans="1:6" x14ac:dyDescent="0.2">
      <c r="A231" s="275"/>
      <c r="B231" s="78"/>
      <c r="C231" s="189"/>
      <c r="D231" s="185"/>
      <c r="E231" s="186"/>
      <c r="F231" s="187"/>
    </row>
    <row r="232" spans="1:6" x14ac:dyDescent="0.2">
      <c r="A232" s="275"/>
      <c r="B232" s="78"/>
      <c r="C232" s="189"/>
      <c r="D232" s="185"/>
      <c r="E232" s="186"/>
      <c r="F232" s="187"/>
    </row>
    <row r="233" spans="1:6" x14ac:dyDescent="0.2">
      <c r="A233" s="275"/>
      <c r="B233" s="78"/>
      <c r="C233" s="189"/>
      <c r="D233" s="185"/>
      <c r="E233" s="186"/>
      <c r="F233" s="187"/>
    </row>
    <row r="234" spans="1:6" x14ac:dyDescent="0.2">
      <c r="A234" s="275"/>
      <c r="B234" s="78"/>
      <c r="C234" s="189"/>
      <c r="D234" s="185"/>
      <c r="E234" s="186"/>
      <c r="F234" s="187"/>
    </row>
    <row r="235" spans="1:6" x14ac:dyDescent="0.2">
      <c r="A235" s="275"/>
      <c r="B235" s="78"/>
      <c r="C235" s="189"/>
      <c r="D235" s="185"/>
      <c r="E235" s="186"/>
      <c r="F235" s="187"/>
    </row>
    <row r="236" spans="1:6" x14ac:dyDescent="0.2">
      <c r="A236" s="275"/>
      <c r="B236" s="78"/>
      <c r="C236" s="189"/>
      <c r="D236" s="185"/>
      <c r="E236" s="186"/>
      <c r="F236" s="187"/>
    </row>
    <row r="237" spans="1:6" x14ac:dyDescent="0.2">
      <c r="A237" s="275"/>
      <c r="B237" s="78"/>
      <c r="C237" s="189"/>
      <c r="D237" s="185"/>
      <c r="E237" s="186"/>
      <c r="F237" s="187"/>
    </row>
    <row r="238" spans="1:6" x14ac:dyDescent="0.2">
      <c r="A238" s="275"/>
      <c r="B238" s="78"/>
      <c r="C238" s="189"/>
      <c r="D238" s="185"/>
      <c r="E238" s="186"/>
      <c r="F238" s="187"/>
    </row>
    <row r="239" spans="1:6" x14ac:dyDescent="0.2">
      <c r="A239" s="275"/>
      <c r="B239" s="78"/>
      <c r="C239" s="189"/>
      <c r="D239" s="185"/>
      <c r="E239" s="186"/>
      <c r="F239" s="187"/>
    </row>
    <row r="240" spans="1:6" x14ac:dyDescent="0.2">
      <c r="A240" s="275"/>
      <c r="B240" s="78"/>
      <c r="C240" s="189"/>
      <c r="D240" s="185"/>
      <c r="E240" s="186"/>
      <c r="F240" s="187"/>
    </row>
    <row r="241" spans="1:6" x14ac:dyDescent="0.2">
      <c r="A241" s="275"/>
      <c r="B241" s="78"/>
      <c r="C241" s="189"/>
      <c r="D241" s="185"/>
      <c r="E241" s="186"/>
      <c r="F241" s="187"/>
    </row>
    <row r="242" spans="1:6" x14ac:dyDescent="0.2">
      <c r="A242" s="275"/>
      <c r="B242" s="78"/>
      <c r="C242" s="189"/>
      <c r="D242" s="185"/>
      <c r="E242" s="186"/>
      <c r="F242" s="187"/>
    </row>
    <row r="243" spans="1:6" x14ac:dyDescent="0.2">
      <c r="A243" s="275"/>
      <c r="B243" s="78"/>
      <c r="C243" s="189"/>
      <c r="D243" s="185"/>
      <c r="E243" s="186"/>
      <c r="F243" s="187"/>
    </row>
    <row r="244" spans="1:6" x14ac:dyDescent="0.2">
      <c r="A244" s="275"/>
      <c r="B244" s="78"/>
      <c r="C244" s="189"/>
      <c r="D244" s="185"/>
      <c r="E244" s="186"/>
      <c r="F244" s="187"/>
    </row>
    <row r="245" spans="1:6" x14ac:dyDescent="0.2">
      <c r="A245" s="275"/>
      <c r="B245" s="78"/>
      <c r="C245" s="189"/>
      <c r="D245" s="185"/>
      <c r="E245" s="186"/>
      <c r="F245" s="187"/>
    </row>
    <row r="246" spans="1:6" x14ac:dyDescent="0.2">
      <c r="A246" s="275"/>
      <c r="B246" s="78"/>
      <c r="C246" s="189"/>
      <c r="D246" s="185"/>
      <c r="E246" s="186"/>
      <c r="F246" s="187"/>
    </row>
    <row r="247" spans="1:6" x14ac:dyDescent="0.2">
      <c r="A247" s="275"/>
      <c r="B247" s="78"/>
      <c r="C247" s="189"/>
      <c r="D247" s="185"/>
      <c r="E247" s="186"/>
      <c r="F247" s="187"/>
    </row>
    <row r="248" spans="1:6" x14ac:dyDescent="0.2">
      <c r="A248" s="275"/>
      <c r="B248" s="78"/>
      <c r="C248" s="189"/>
      <c r="D248" s="185"/>
      <c r="E248" s="186"/>
      <c r="F248" s="187"/>
    </row>
    <row r="249" spans="1:6" x14ac:dyDescent="0.2">
      <c r="A249" s="275"/>
      <c r="B249" s="78"/>
      <c r="C249" s="189"/>
      <c r="D249" s="185"/>
      <c r="E249" s="186"/>
      <c r="F249" s="187"/>
    </row>
    <row r="250" spans="1:6" x14ac:dyDescent="0.2">
      <c r="A250" s="275"/>
      <c r="B250" s="78"/>
      <c r="C250" s="189"/>
      <c r="D250" s="185"/>
      <c r="E250" s="186"/>
      <c r="F250" s="187"/>
    </row>
    <row r="251" spans="1:6" x14ac:dyDescent="0.2">
      <c r="A251" s="275"/>
      <c r="B251" s="78"/>
      <c r="C251" s="189"/>
      <c r="D251" s="185"/>
      <c r="E251" s="186"/>
      <c r="F251" s="187"/>
    </row>
    <row r="252" spans="1:6" x14ac:dyDescent="0.2">
      <c r="A252" s="275"/>
      <c r="B252" s="78"/>
      <c r="C252" s="189"/>
      <c r="D252" s="185"/>
      <c r="E252" s="186"/>
      <c r="F252" s="187"/>
    </row>
    <row r="253" spans="1:6" x14ac:dyDescent="0.2">
      <c r="A253" s="275"/>
      <c r="B253" s="78"/>
      <c r="C253" s="189"/>
      <c r="D253" s="185"/>
      <c r="E253" s="186"/>
      <c r="F253" s="187"/>
    </row>
    <row r="254" spans="1:6" x14ac:dyDescent="0.2">
      <c r="A254" s="275"/>
      <c r="B254" s="78"/>
      <c r="C254" s="189"/>
      <c r="D254" s="185"/>
      <c r="E254" s="186"/>
      <c r="F254" s="187"/>
    </row>
    <row r="255" spans="1:6" x14ac:dyDescent="0.2">
      <c r="A255" s="275"/>
      <c r="B255" s="78"/>
      <c r="C255" s="189"/>
      <c r="D255" s="185"/>
      <c r="E255" s="186"/>
      <c r="F255" s="187"/>
    </row>
    <row r="256" spans="1:6" x14ac:dyDescent="0.2">
      <c r="A256" s="275"/>
      <c r="B256" s="78"/>
      <c r="C256" s="189"/>
      <c r="D256" s="185"/>
      <c r="E256" s="186"/>
      <c r="F256" s="187"/>
    </row>
    <row r="257" spans="1:6" x14ac:dyDescent="0.2">
      <c r="A257" s="275"/>
      <c r="B257" s="78"/>
      <c r="C257" s="189"/>
      <c r="D257" s="185"/>
      <c r="E257" s="186"/>
      <c r="F257" s="187"/>
    </row>
    <row r="258" spans="1:6" x14ac:dyDescent="0.2">
      <c r="A258" s="275"/>
      <c r="B258" s="78"/>
      <c r="C258" s="189"/>
      <c r="D258" s="185"/>
      <c r="E258" s="186"/>
      <c r="F258" s="187"/>
    </row>
    <row r="259" spans="1:6" x14ac:dyDescent="0.2">
      <c r="A259" s="275"/>
      <c r="B259" s="78"/>
      <c r="C259" s="189"/>
      <c r="D259" s="185"/>
      <c r="E259" s="186"/>
      <c r="F259" s="187"/>
    </row>
    <row r="260" spans="1:6" x14ac:dyDescent="0.2">
      <c r="A260" s="275"/>
      <c r="B260" s="78"/>
      <c r="C260" s="189"/>
      <c r="D260" s="185"/>
      <c r="E260" s="186"/>
      <c r="F260" s="187"/>
    </row>
    <row r="261" spans="1:6" x14ac:dyDescent="0.2">
      <c r="A261" s="275"/>
      <c r="B261" s="78"/>
      <c r="C261" s="189"/>
      <c r="D261" s="185"/>
      <c r="E261" s="186"/>
      <c r="F261" s="187"/>
    </row>
    <row r="262" spans="1:6" x14ac:dyDescent="0.2">
      <c r="A262" s="275"/>
      <c r="B262" s="78"/>
      <c r="C262" s="189"/>
      <c r="D262" s="185"/>
      <c r="E262" s="186"/>
      <c r="F262" s="187"/>
    </row>
    <row r="263" spans="1:6" x14ac:dyDescent="0.2">
      <c r="A263" s="275"/>
      <c r="B263" s="78"/>
      <c r="C263" s="189"/>
      <c r="D263" s="185"/>
      <c r="E263" s="186"/>
      <c r="F263" s="187"/>
    </row>
    <row r="264" spans="1:6" x14ac:dyDescent="0.2">
      <c r="A264" s="275"/>
      <c r="B264" s="78"/>
      <c r="C264" s="189"/>
      <c r="D264" s="185"/>
      <c r="E264" s="186"/>
      <c r="F264" s="187"/>
    </row>
    <row r="265" spans="1:6" x14ac:dyDescent="0.2">
      <c r="A265" s="275"/>
      <c r="B265" s="78"/>
      <c r="C265" s="189"/>
      <c r="D265" s="185"/>
      <c r="E265" s="186"/>
      <c r="F265" s="187"/>
    </row>
    <row r="266" spans="1:6" x14ac:dyDescent="0.2">
      <c r="A266" s="275"/>
      <c r="B266" s="78"/>
      <c r="C266" s="189"/>
      <c r="D266" s="185"/>
      <c r="E266" s="186"/>
      <c r="F266" s="187"/>
    </row>
    <row r="267" spans="1:6" x14ac:dyDescent="0.2">
      <c r="A267" s="275"/>
      <c r="B267" s="78"/>
      <c r="C267" s="189"/>
      <c r="D267" s="185"/>
      <c r="E267" s="186"/>
      <c r="F267" s="187"/>
    </row>
    <row r="268" spans="1:6" x14ac:dyDescent="0.2">
      <c r="A268" s="275"/>
      <c r="B268" s="78"/>
      <c r="C268" s="189"/>
      <c r="D268" s="185"/>
      <c r="E268" s="186"/>
      <c r="F268" s="187"/>
    </row>
    <row r="269" spans="1:6" x14ac:dyDescent="0.2">
      <c r="A269" s="275"/>
      <c r="B269" s="78"/>
      <c r="C269" s="189"/>
      <c r="D269" s="185"/>
      <c r="E269" s="186"/>
      <c r="F269" s="187"/>
    </row>
    <row r="270" spans="1:6" x14ac:dyDescent="0.2">
      <c r="A270" s="275"/>
      <c r="B270" s="78"/>
      <c r="C270" s="189"/>
      <c r="D270" s="185"/>
      <c r="E270" s="186"/>
      <c r="F270" s="187"/>
    </row>
    <row r="271" spans="1:6" x14ac:dyDescent="0.2">
      <c r="A271" s="275"/>
      <c r="B271" s="78"/>
      <c r="C271" s="189"/>
      <c r="D271" s="185"/>
      <c r="E271" s="186"/>
      <c r="F271" s="187"/>
    </row>
    <row r="272" spans="1:6" x14ac:dyDescent="0.2">
      <c r="A272" s="275"/>
      <c r="B272" s="78"/>
      <c r="C272" s="189"/>
      <c r="D272" s="185"/>
      <c r="E272" s="186"/>
      <c r="F272" s="187"/>
    </row>
    <row r="273" spans="1:6" x14ac:dyDescent="0.2">
      <c r="A273" s="275"/>
      <c r="B273" s="78"/>
      <c r="C273" s="189"/>
      <c r="D273" s="185"/>
      <c r="E273" s="186"/>
      <c r="F273" s="187"/>
    </row>
    <row r="274" spans="1:6" x14ac:dyDescent="0.2">
      <c r="A274" s="275"/>
      <c r="B274" s="78"/>
      <c r="C274" s="189"/>
      <c r="D274" s="185"/>
      <c r="E274" s="186"/>
      <c r="F274" s="187"/>
    </row>
    <row r="275" spans="1:6" x14ac:dyDescent="0.2">
      <c r="A275" s="275"/>
      <c r="B275" s="78"/>
      <c r="C275" s="189"/>
      <c r="D275" s="185"/>
      <c r="E275" s="186"/>
      <c r="F275" s="187"/>
    </row>
    <row r="276" spans="1:6" x14ac:dyDescent="0.2">
      <c r="A276" s="275"/>
      <c r="B276" s="78"/>
      <c r="C276" s="189"/>
      <c r="D276" s="185"/>
      <c r="E276" s="186"/>
      <c r="F276" s="187"/>
    </row>
    <row r="277" spans="1:6" x14ac:dyDescent="0.2">
      <c r="A277" s="275"/>
      <c r="B277" s="78"/>
      <c r="C277" s="189"/>
      <c r="D277" s="185"/>
      <c r="E277" s="186"/>
      <c r="F277" s="187"/>
    </row>
    <row r="278" spans="1:6" x14ac:dyDescent="0.2">
      <c r="A278" s="275"/>
      <c r="B278" s="78"/>
      <c r="C278" s="189"/>
      <c r="D278" s="185"/>
      <c r="E278" s="186"/>
      <c r="F278" s="187"/>
    </row>
    <row r="279" spans="1:6" x14ac:dyDescent="0.2">
      <c r="A279" s="275"/>
      <c r="B279" s="78"/>
      <c r="C279" s="189"/>
      <c r="D279" s="185"/>
      <c r="E279" s="186"/>
      <c r="F279" s="187"/>
    </row>
    <row r="280" spans="1:6" x14ac:dyDescent="0.2">
      <c r="A280" s="275"/>
      <c r="B280" s="78"/>
      <c r="C280" s="189"/>
      <c r="D280" s="185"/>
      <c r="E280" s="186"/>
      <c r="F280" s="187"/>
    </row>
    <row r="281" spans="1:6" x14ac:dyDescent="0.2">
      <c r="A281" s="275"/>
      <c r="B281" s="78"/>
      <c r="C281" s="189"/>
      <c r="D281" s="185"/>
      <c r="E281" s="186"/>
      <c r="F281" s="187"/>
    </row>
    <row r="282" spans="1:6" x14ac:dyDescent="0.2">
      <c r="A282" s="275"/>
      <c r="B282" s="78"/>
      <c r="C282" s="189"/>
      <c r="D282" s="185"/>
      <c r="E282" s="186"/>
      <c r="F282" s="187"/>
    </row>
    <row r="283" spans="1:6" x14ac:dyDescent="0.2">
      <c r="A283" s="275"/>
      <c r="B283" s="78"/>
      <c r="C283" s="189"/>
      <c r="D283" s="185"/>
      <c r="E283" s="186"/>
      <c r="F283" s="187"/>
    </row>
    <row r="284" spans="1:6" x14ac:dyDescent="0.2">
      <c r="A284" s="275"/>
      <c r="B284" s="78"/>
      <c r="C284" s="189"/>
      <c r="D284" s="185"/>
      <c r="E284" s="186"/>
      <c r="F284" s="187"/>
    </row>
    <row r="285" spans="1:6" x14ac:dyDescent="0.2">
      <c r="A285" s="275"/>
      <c r="B285" s="78"/>
      <c r="C285" s="189"/>
      <c r="D285" s="185"/>
      <c r="E285" s="186"/>
      <c r="F285" s="187"/>
    </row>
    <row r="286" spans="1:6" x14ac:dyDescent="0.2">
      <c r="A286" s="275"/>
      <c r="B286" s="78"/>
      <c r="C286" s="189"/>
      <c r="D286" s="185"/>
      <c r="E286" s="186"/>
      <c r="F286" s="187"/>
    </row>
    <row r="287" spans="1:6" x14ac:dyDescent="0.2">
      <c r="A287" s="275"/>
      <c r="B287" s="78"/>
      <c r="C287" s="189"/>
      <c r="D287" s="185"/>
      <c r="E287" s="186"/>
      <c r="F287" s="187"/>
    </row>
    <row r="288" spans="1:6" x14ac:dyDescent="0.2">
      <c r="A288" s="275"/>
      <c r="B288" s="78"/>
      <c r="C288" s="189"/>
      <c r="D288" s="185"/>
      <c r="E288" s="186"/>
      <c r="F288" s="187"/>
    </row>
    <row r="289" spans="1:6" x14ac:dyDescent="0.2">
      <c r="A289" s="275"/>
      <c r="B289" s="78"/>
      <c r="C289" s="189"/>
      <c r="D289" s="185"/>
      <c r="E289" s="186"/>
      <c r="F289" s="187"/>
    </row>
    <row r="290" spans="1:6" x14ac:dyDescent="0.2">
      <c r="A290" s="275"/>
      <c r="B290" s="78"/>
      <c r="C290" s="189"/>
      <c r="D290" s="185"/>
      <c r="E290" s="186"/>
      <c r="F290" s="187"/>
    </row>
    <row r="291" spans="1:6" x14ac:dyDescent="0.2">
      <c r="A291" s="275"/>
      <c r="B291" s="78"/>
      <c r="C291" s="189"/>
      <c r="D291" s="185"/>
      <c r="E291" s="186"/>
      <c r="F291" s="187"/>
    </row>
    <row r="292" spans="1:6" x14ac:dyDescent="0.2">
      <c r="A292" s="275"/>
      <c r="B292" s="78"/>
      <c r="C292" s="189"/>
      <c r="D292" s="185"/>
      <c r="E292" s="186"/>
      <c r="F292" s="187"/>
    </row>
    <row r="293" spans="1:6" x14ac:dyDescent="0.2">
      <c r="A293" s="275"/>
      <c r="B293" s="78"/>
      <c r="C293" s="189"/>
      <c r="D293" s="185"/>
      <c r="E293" s="186"/>
      <c r="F293" s="187"/>
    </row>
    <row r="294" spans="1:6" x14ac:dyDescent="0.2">
      <c r="A294" s="275"/>
      <c r="B294" s="78"/>
      <c r="C294" s="189"/>
      <c r="D294" s="185"/>
      <c r="E294" s="186"/>
      <c r="F294" s="187"/>
    </row>
    <row r="295" spans="1:6" x14ac:dyDescent="0.2">
      <c r="A295" s="275"/>
      <c r="B295" s="78"/>
      <c r="C295" s="189"/>
      <c r="D295" s="185"/>
      <c r="E295" s="186"/>
      <c r="F295" s="187"/>
    </row>
    <row r="296" spans="1:6" x14ac:dyDescent="0.2">
      <c r="A296" s="275"/>
      <c r="B296" s="78"/>
      <c r="C296" s="189"/>
      <c r="D296" s="185"/>
      <c r="E296" s="186"/>
      <c r="F296" s="187"/>
    </row>
    <row r="297" spans="1:6" x14ac:dyDescent="0.2">
      <c r="A297" s="275"/>
      <c r="B297" s="78"/>
      <c r="C297" s="189"/>
      <c r="D297" s="185"/>
      <c r="E297" s="186"/>
      <c r="F297" s="187"/>
    </row>
    <row r="298" spans="1:6" x14ac:dyDescent="0.2">
      <c r="A298" s="275"/>
      <c r="B298" s="78"/>
      <c r="C298" s="189"/>
      <c r="D298" s="185"/>
      <c r="E298" s="186"/>
      <c r="F298" s="187"/>
    </row>
    <row r="299" spans="1:6" x14ac:dyDescent="0.2">
      <c r="A299" s="275"/>
      <c r="B299" s="78"/>
      <c r="C299" s="189"/>
      <c r="D299" s="185"/>
      <c r="E299" s="186"/>
      <c r="F299" s="187"/>
    </row>
    <row r="300" spans="1:6" x14ac:dyDescent="0.2">
      <c r="A300" s="275"/>
      <c r="B300" s="78"/>
      <c r="C300" s="189"/>
      <c r="D300" s="185"/>
      <c r="E300" s="186"/>
      <c r="F300" s="187"/>
    </row>
    <row r="301" spans="1:6" x14ac:dyDescent="0.2">
      <c r="A301" s="275"/>
      <c r="B301" s="78"/>
      <c r="C301" s="189"/>
      <c r="D301" s="185"/>
      <c r="E301" s="186"/>
      <c r="F301" s="187"/>
    </row>
    <row r="302" spans="1:6" x14ac:dyDescent="0.2">
      <c r="A302" s="275"/>
      <c r="B302" s="78"/>
      <c r="C302" s="189"/>
      <c r="D302" s="185"/>
      <c r="E302" s="186"/>
      <c r="F302" s="187"/>
    </row>
    <row r="303" spans="1:6" x14ac:dyDescent="0.2">
      <c r="A303" s="275"/>
      <c r="B303" s="78"/>
      <c r="C303" s="189"/>
      <c r="D303" s="185"/>
      <c r="E303" s="186"/>
      <c r="F303" s="187"/>
    </row>
    <row r="304" spans="1:6" x14ac:dyDescent="0.2">
      <c r="A304" s="275"/>
      <c r="B304" s="78"/>
      <c r="C304" s="189"/>
      <c r="D304" s="185"/>
      <c r="E304" s="186"/>
      <c r="F304" s="187"/>
    </row>
    <row r="305" spans="1:6" x14ac:dyDescent="0.2">
      <c r="A305" s="275"/>
      <c r="B305" s="78"/>
      <c r="C305" s="189"/>
      <c r="D305" s="185"/>
      <c r="E305" s="186"/>
      <c r="F305" s="187"/>
    </row>
    <row r="306" spans="1:6" x14ac:dyDescent="0.2">
      <c r="A306" s="275"/>
      <c r="B306" s="78"/>
      <c r="C306" s="189"/>
      <c r="D306" s="185"/>
      <c r="E306" s="186"/>
      <c r="F306" s="187"/>
    </row>
    <row r="307" spans="1:6" x14ac:dyDescent="0.2">
      <c r="A307" s="275"/>
      <c r="B307" s="78"/>
      <c r="C307" s="189"/>
      <c r="D307" s="185"/>
      <c r="E307" s="186"/>
      <c r="F307" s="187"/>
    </row>
    <row r="308" spans="1:6" x14ac:dyDescent="0.2">
      <c r="A308" s="275"/>
      <c r="B308" s="78"/>
      <c r="C308" s="189"/>
      <c r="D308" s="185"/>
      <c r="E308" s="186"/>
      <c r="F308" s="187"/>
    </row>
    <row r="309" spans="1:6" x14ac:dyDescent="0.2">
      <c r="A309" s="275"/>
      <c r="B309" s="78"/>
      <c r="C309" s="189"/>
      <c r="D309" s="185"/>
      <c r="E309" s="186"/>
      <c r="F309" s="187"/>
    </row>
    <row r="310" spans="1:6" x14ac:dyDescent="0.2">
      <c r="A310" s="275"/>
      <c r="B310" s="78"/>
      <c r="C310" s="189"/>
      <c r="D310" s="185"/>
      <c r="E310" s="186"/>
      <c r="F310" s="187"/>
    </row>
    <row r="311" spans="1:6" x14ac:dyDescent="0.2">
      <c r="A311" s="275"/>
      <c r="B311" s="78"/>
      <c r="C311" s="189"/>
      <c r="D311" s="185"/>
      <c r="E311" s="186"/>
      <c r="F311" s="187"/>
    </row>
    <row r="312" spans="1:6" x14ac:dyDescent="0.2">
      <c r="A312" s="275"/>
      <c r="B312" s="78"/>
      <c r="C312" s="189"/>
      <c r="D312" s="185"/>
      <c r="E312" s="186"/>
      <c r="F312" s="187"/>
    </row>
    <row r="313" spans="1:6" x14ac:dyDescent="0.2">
      <c r="A313" s="275"/>
      <c r="B313" s="78"/>
      <c r="C313" s="189"/>
      <c r="D313" s="185"/>
      <c r="E313" s="186"/>
      <c r="F313" s="187"/>
    </row>
    <row r="314" spans="1:6" x14ac:dyDescent="0.2">
      <c r="A314" s="275"/>
      <c r="B314" s="78"/>
      <c r="C314" s="189"/>
      <c r="D314" s="185"/>
      <c r="E314" s="186"/>
      <c r="F314" s="187"/>
    </row>
    <row r="315" spans="1:6" x14ac:dyDescent="0.2">
      <c r="A315" s="275"/>
      <c r="B315" s="78"/>
      <c r="C315" s="189"/>
      <c r="D315" s="185"/>
      <c r="E315" s="186"/>
      <c r="F315" s="187"/>
    </row>
    <row r="316" spans="1:6" x14ac:dyDescent="0.2">
      <c r="A316" s="275"/>
      <c r="B316" s="78"/>
      <c r="C316" s="189"/>
      <c r="D316" s="185"/>
      <c r="E316" s="186"/>
      <c r="F316" s="187"/>
    </row>
    <row r="317" spans="1:6" x14ac:dyDescent="0.2">
      <c r="A317" s="275"/>
      <c r="B317" s="78"/>
      <c r="C317" s="189"/>
      <c r="D317" s="185"/>
      <c r="E317" s="186"/>
      <c r="F317" s="187"/>
    </row>
    <row r="318" spans="1:6" x14ac:dyDescent="0.2">
      <c r="A318" s="275"/>
      <c r="B318" s="78"/>
      <c r="C318" s="189"/>
      <c r="D318" s="185"/>
      <c r="E318" s="186"/>
      <c r="F318" s="187"/>
    </row>
    <row r="319" spans="1:6" x14ac:dyDescent="0.2">
      <c r="A319" s="275"/>
      <c r="B319" s="78"/>
      <c r="C319" s="189"/>
      <c r="D319" s="185"/>
      <c r="E319" s="186"/>
      <c r="F319" s="187"/>
    </row>
    <row r="320" spans="1:6" x14ac:dyDescent="0.2">
      <c r="A320" s="275"/>
      <c r="B320" s="78"/>
      <c r="C320" s="189"/>
      <c r="D320" s="185"/>
      <c r="E320" s="186"/>
      <c r="F320" s="187"/>
    </row>
    <row r="321" spans="1:6" x14ac:dyDescent="0.2">
      <c r="A321" s="275"/>
      <c r="B321" s="78"/>
      <c r="C321" s="189"/>
      <c r="D321" s="185"/>
      <c r="E321" s="186"/>
      <c r="F321" s="187"/>
    </row>
    <row r="322" spans="1:6" x14ac:dyDescent="0.2">
      <c r="A322" s="275"/>
      <c r="B322" s="78"/>
      <c r="C322" s="189"/>
      <c r="D322" s="185"/>
      <c r="E322" s="186"/>
      <c r="F322" s="187"/>
    </row>
    <row r="323" spans="1:6" x14ac:dyDescent="0.2">
      <c r="A323" s="275"/>
      <c r="B323" s="78"/>
      <c r="C323" s="189"/>
      <c r="D323" s="185"/>
      <c r="E323" s="186"/>
      <c r="F323" s="187"/>
    </row>
    <row r="324" spans="1:6" x14ac:dyDescent="0.2">
      <c r="A324" s="275"/>
      <c r="B324" s="78"/>
      <c r="C324" s="189"/>
      <c r="D324" s="185"/>
      <c r="E324" s="186"/>
      <c r="F324" s="187"/>
    </row>
    <row r="325" spans="1:6" x14ac:dyDescent="0.2">
      <c r="A325" s="275"/>
      <c r="B325" s="78"/>
      <c r="C325" s="189"/>
      <c r="D325" s="185"/>
      <c r="E325" s="186"/>
      <c r="F325" s="187"/>
    </row>
    <row r="326" spans="1:6" x14ac:dyDescent="0.2">
      <c r="A326" s="275"/>
      <c r="B326" s="78"/>
      <c r="C326" s="189"/>
      <c r="D326" s="185"/>
      <c r="E326" s="186"/>
      <c r="F326" s="187"/>
    </row>
    <row r="327" spans="1:6" x14ac:dyDescent="0.2">
      <c r="A327" s="275"/>
      <c r="B327" s="78"/>
      <c r="C327" s="189"/>
      <c r="D327" s="185"/>
      <c r="E327" s="186"/>
      <c r="F327" s="187"/>
    </row>
    <row r="328" spans="1:6" x14ac:dyDescent="0.2">
      <c r="A328" s="275"/>
      <c r="B328" s="78"/>
      <c r="C328" s="189"/>
      <c r="D328" s="185"/>
      <c r="E328" s="186"/>
      <c r="F328" s="187"/>
    </row>
    <row r="329" spans="1:6" x14ac:dyDescent="0.2">
      <c r="A329" s="275"/>
      <c r="B329" s="78"/>
      <c r="C329" s="189"/>
      <c r="D329" s="185"/>
      <c r="E329" s="186"/>
      <c r="F329" s="187"/>
    </row>
    <row r="330" spans="1:6" x14ac:dyDescent="0.2">
      <c r="A330" s="275"/>
      <c r="B330" s="78"/>
      <c r="C330" s="189"/>
      <c r="D330" s="185"/>
      <c r="E330" s="186"/>
      <c r="F330" s="187"/>
    </row>
    <row r="331" spans="1:6" x14ac:dyDescent="0.2">
      <c r="A331" s="275"/>
      <c r="B331" s="78"/>
      <c r="C331" s="189"/>
      <c r="D331" s="185"/>
      <c r="E331" s="186"/>
      <c r="F331" s="187"/>
    </row>
    <row r="332" spans="1:6" x14ac:dyDescent="0.2">
      <c r="A332" s="275"/>
      <c r="B332" s="78"/>
      <c r="C332" s="189"/>
      <c r="D332" s="185"/>
      <c r="E332" s="186"/>
      <c r="F332" s="187"/>
    </row>
    <row r="333" spans="1:6" x14ac:dyDescent="0.2">
      <c r="A333" s="275"/>
      <c r="B333" s="78"/>
      <c r="C333" s="189"/>
      <c r="D333" s="185"/>
      <c r="E333" s="186"/>
      <c r="F333" s="187"/>
    </row>
    <row r="334" spans="1:6" x14ac:dyDescent="0.2">
      <c r="A334" s="275"/>
      <c r="B334" s="78"/>
      <c r="C334" s="189"/>
      <c r="D334" s="185"/>
      <c r="E334" s="186"/>
      <c r="F334" s="187"/>
    </row>
    <row r="335" spans="1:6" x14ac:dyDescent="0.2">
      <c r="A335" s="275"/>
      <c r="B335" s="78"/>
      <c r="C335" s="189"/>
      <c r="D335" s="185"/>
      <c r="E335" s="186"/>
      <c r="F335" s="187"/>
    </row>
    <row r="336" spans="1:6" x14ac:dyDescent="0.2">
      <c r="A336" s="275"/>
      <c r="B336" s="78"/>
      <c r="C336" s="189"/>
      <c r="D336" s="185"/>
      <c r="E336" s="186"/>
      <c r="F336" s="187"/>
    </row>
    <row r="337" spans="1:6" x14ac:dyDescent="0.2">
      <c r="A337" s="275"/>
      <c r="B337" s="78"/>
      <c r="C337" s="189"/>
      <c r="D337" s="185"/>
      <c r="E337" s="186"/>
      <c r="F337" s="187"/>
    </row>
    <row r="338" spans="1:6" x14ac:dyDescent="0.2">
      <c r="A338" s="275"/>
      <c r="B338" s="78"/>
      <c r="C338" s="189"/>
      <c r="D338" s="185"/>
      <c r="E338" s="186"/>
      <c r="F338" s="187"/>
    </row>
    <row r="339" spans="1:6" x14ac:dyDescent="0.2">
      <c r="A339" s="275"/>
      <c r="B339" s="78"/>
      <c r="C339" s="189"/>
      <c r="D339" s="185"/>
      <c r="E339" s="186"/>
      <c r="F339" s="187"/>
    </row>
    <row r="340" spans="1:6" x14ac:dyDescent="0.2">
      <c r="A340" s="275"/>
      <c r="B340" s="78"/>
      <c r="C340" s="189"/>
      <c r="D340" s="185"/>
      <c r="E340" s="186"/>
      <c r="F340" s="187"/>
    </row>
    <row r="341" spans="1:6" x14ac:dyDescent="0.2">
      <c r="A341" s="275"/>
      <c r="B341" s="78"/>
      <c r="C341" s="189"/>
      <c r="D341" s="185"/>
      <c r="E341" s="186"/>
      <c r="F341" s="187"/>
    </row>
    <row r="342" spans="1:6" x14ac:dyDescent="0.2">
      <c r="A342" s="275"/>
      <c r="B342" s="78"/>
      <c r="C342" s="189"/>
      <c r="D342" s="185"/>
      <c r="E342" s="186"/>
      <c r="F342" s="187"/>
    </row>
    <row r="343" spans="1:6" x14ac:dyDescent="0.2">
      <c r="A343" s="275"/>
      <c r="B343" s="78"/>
      <c r="C343" s="189"/>
      <c r="D343" s="185"/>
      <c r="E343" s="186"/>
      <c r="F343" s="187"/>
    </row>
    <row r="344" spans="1:6" x14ac:dyDescent="0.2">
      <c r="A344" s="275"/>
      <c r="B344" s="78"/>
      <c r="C344" s="189"/>
      <c r="D344" s="185"/>
      <c r="E344" s="186"/>
      <c r="F344" s="187"/>
    </row>
    <row r="345" spans="1:6" x14ac:dyDescent="0.2">
      <c r="A345" s="275"/>
      <c r="B345" s="78"/>
      <c r="C345" s="189"/>
      <c r="D345" s="185"/>
      <c r="E345" s="186"/>
      <c r="F345" s="187"/>
    </row>
    <row r="346" spans="1:6" x14ac:dyDescent="0.2">
      <c r="A346" s="275"/>
      <c r="B346" s="78"/>
      <c r="C346" s="189"/>
      <c r="D346" s="185"/>
      <c r="E346" s="186"/>
      <c r="F346" s="187"/>
    </row>
    <row r="347" spans="1:6" x14ac:dyDescent="0.2">
      <c r="A347" s="275"/>
      <c r="B347" s="78"/>
      <c r="C347" s="189"/>
      <c r="D347" s="185"/>
      <c r="E347" s="186"/>
      <c r="F347" s="187"/>
    </row>
    <row r="348" spans="1:6" x14ac:dyDescent="0.2">
      <c r="A348" s="275"/>
      <c r="B348" s="78"/>
      <c r="C348" s="189"/>
      <c r="D348" s="185"/>
      <c r="E348" s="186"/>
      <c r="F348" s="187"/>
    </row>
    <row r="349" spans="1:6" x14ac:dyDescent="0.2">
      <c r="A349" s="275"/>
      <c r="B349" s="78"/>
      <c r="C349" s="189"/>
      <c r="D349" s="185"/>
      <c r="E349" s="186"/>
      <c r="F349" s="187"/>
    </row>
    <row r="350" spans="1:6" x14ac:dyDescent="0.2">
      <c r="A350" s="275"/>
      <c r="B350" s="78"/>
      <c r="C350" s="189"/>
      <c r="D350" s="185"/>
      <c r="E350" s="186"/>
      <c r="F350" s="187"/>
    </row>
    <row r="351" spans="1:6" x14ac:dyDescent="0.2">
      <c r="A351" s="275"/>
      <c r="B351" s="78"/>
      <c r="C351" s="189"/>
      <c r="D351" s="185"/>
      <c r="E351" s="186"/>
      <c r="F351" s="187"/>
    </row>
    <row r="352" spans="1:6" x14ac:dyDescent="0.2">
      <c r="A352" s="275"/>
      <c r="B352" s="78"/>
      <c r="C352" s="189"/>
      <c r="D352" s="185"/>
      <c r="E352" s="186"/>
      <c r="F352" s="187"/>
    </row>
    <row r="353" spans="1:6" x14ac:dyDescent="0.2">
      <c r="A353" s="275"/>
      <c r="B353" s="78"/>
      <c r="C353" s="189"/>
      <c r="D353" s="185"/>
      <c r="E353" s="186"/>
      <c r="F353" s="187"/>
    </row>
    <row r="354" spans="1:6" x14ac:dyDescent="0.2">
      <c r="A354" s="275"/>
      <c r="B354" s="78"/>
      <c r="C354" s="189"/>
      <c r="D354" s="185"/>
      <c r="E354" s="186"/>
      <c r="F354" s="187"/>
    </row>
    <row r="355" spans="1:6" x14ac:dyDescent="0.2">
      <c r="A355" s="275"/>
      <c r="B355" s="78"/>
      <c r="C355" s="189"/>
      <c r="D355" s="185"/>
      <c r="E355" s="186"/>
      <c r="F355" s="187"/>
    </row>
    <row r="356" spans="1:6" x14ac:dyDescent="0.2">
      <c r="A356" s="275"/>
      <c r="B356" s="78"/>
      <c r="C356" s="189"/>
      <c r="D356" s="185"/>
      <c r="E356" s="186"/>
      <c r="F356" s="187"/>
    </row>
    <row r="357" spans="1:6" x14ac:dyDescent="0.2">
      <c r="A357" s="275"/>
      <c r="B357" s="78"/>
      <c r="C357" s="189"/>
      <c r="D357" s="185"/>
      <c r="E357" s="186"/>
      <c r="F357" s="187"/>
    </row>
    <row r="358" spans="1:6" x14ac:dyDescent="0.2">
      <c r="A358" s="275"/>
      <c r="B358" s="78"/>
      <c r="C358" s="189"/>
      <c r="D358" s="185"/>
      <c r="E358" s="186"/>
      <c r="F358" s="187"/>
    </row>
    <row r="359" spans="1:6" x14ac:dyDescent="0.2">
      <c r="A359" s="275"/>
      <c r="B359" s="78"/>
      <c r="C359" s="189"/>
      <c r="D359" s="185"/>
      <c r="E359" s="186"/>
      <c r="F359" s="187"/>
    </row>
    <row r="360" spans="1:6" x14ac:dyDescent="0.2">
      <c r="A360" s="275"/>
      <c r="B360" s="78"/>
      <c r="C360" s="189"/>
      <c r="D360" s="185"/>
      <c r="E360" s="186"/>
      <c r="F360" s="187"/>
    </row>
    <row r="361" spans="1:6" x14ac:dyDescent="0.2">
      <c r="A361" s="275"/>
      <c r="B361" s="78"/>
      <c r="C361" s="189"/>
      <c r="D361" s="185"/>
      <c r="E361" s="186"/>
      <c r="F361" s="187"/>
    </row>
    <row r="362" spans="1:6" x14ac:dyDescent="0.2">
      <c r="A362" s="275"/>
      <c r="B362" s="78"/>
      <c r="C362" s="189"/>
      <c r="D362" s="185"/>
      <c r="E362" s="186"/>
      <c r="F362" s="187"/>
    </row>
    <row r="363" spans="1:6" x14ac:dyDescent="0.2">
      <c r="A363" s="275"/>
      <c r="B363" s="78"/>
      <c r="C363" s="189"/>
      <c r="D363" s="185"/>
      <c r="E363" s="186"/>
      <c r="F363" s="187"/>
    </row>
    <row r="364" spans="1:6" x14ac:dyDescent="0.2">
      <c r="A364" s="275"/>
      <c r="B364" s="78"/>
      <c r="C364" s="189"/>
      <c r="D364" s="185"/>
      <c r="E364" s="186"/>
      <c r="F364" s="187"/>
    </row>
    <row r="365" spans="1:6" x14ac:dyDescent="0.2">
      <c r="A365" s="275"/>
      <c r="B365" s="78"/>
      <c r="C365" s="189"/>
      <c r="D365" s="185"/>
      <c r="E365" s="186"/>
      <c r="F365" s="187"/>
    </row>
    <row r="366" spans="1:6" x14ac:dyDescent="0.2">
      <c r="A366" s="275"/>
      <c r="B366" s="78"/>
      <c r="C366" s="189"/>
      <c r="D366" s="185"/>
      <c r="E366" s="186"/>
      <c r="F366" s="187"/>
    </row>
    <row r="367" spans="1:6" x14ac:dyDescent="0.2">
      <c r="A367" s="275"/>
      <c r="B367" s="78"/>
      <c r="C367" s="189"/>
      <c r="D367" s="185"/>
      <c r="E367" s="186"/>
      <c r="F367" s="187"/>
    </row>
    <row r="368" spans="1:6" x14ac:dyDescent="0.2">
      <c r="A368" s="275"/>
      <c r="B368" s="78"/>
      <c r="C368" s="189"/>
      <c r="D368" s="185"/>
      <c r="E368" s="186"/>
      <c r="F368" s="187"/>
    </row>
    <row r="369" spans="1:6" x14ac:dyDescent="0.2">
      <c r="A369" s="275"/>
      <c r="B369" s="78"/>
      <c r="C369" s="189"/>
      <c r="D369" s="185"/>
      <c r="E369" s="186"/>
      <c r="F369" s="187"/>
    </row>
    <row r="370" spans="1:6" x14ac:dyDescent="0.2">
      <c r="A370" s="275"/>
      <c r="B370" s="78"/>
      <c r="C370" s="189"/>
      <c r="D370" s="185"/>
      <c r="E370" s="186"/>
      <c r="F370" s="187"/>
    </row>
    <row r="371" spans="1:6" x14ac:dyDescent="0.2">
      <c r="A371" s="275"/>
      <c r="B371" s="78"/>
      <c r="C371" s="189"/>
      <c r="D371" s="185"/>
      <c r="E371" s="186"/>
      <c r="F371" s="187"/>
    </row>
    <row r="372" spans="1:6" x14ac:dyDescent="0.2">
      <c r="A372" s="275"/>
      <c r="B372" s="78"/>
      <c r="C372" s="189"/>
      <c r="D372" s="185"/>
      <c r="E372" s="186"/>
      <c r="F372" s="187"/>
    </row>
    <row r="373" spans="1:6" x14ac:dyDescent="0.2">
      <c r="A373" s="275"/>
      <c r="B373" s="78"/>
      <c r="C373" s="189"/>
      <c r="D373" s="185"/>
      <c r="E373" s="186"/>
      <c r="F373" s="187"/>
    </row>
    <row r="374" spans="1:6" x14ac:dyDescent="0.2">
      <c r="A374" s="275"/>
      <c r="B374" s="78"/>
      <c r="C374" s="189"/>
      <c r="D374" s="185"/>
      <c r="E374" s="186"/>
      <c r="F374" s="187"/>
    </row>
    <row r="375" spans="1:6" x14ac:dyDescent="0.2">
      <c r="A375" s="275"/>
      <c r="B375" s="78"/>
      <c r="C375" s="189"/>
      <c r="D375" s="185"/>
      <c r="E375" s="186"/>
      <c r="F375" s="187"/>
    </row>
    <row r="376" spans="1:6" x14ac:dyDescent="0.2">
      <c r="A376" s="275"/>
      <c r="B376" s="78"/>
      <c r="C376" s="189"/>
      <c r="D376" s="185"/>
      <c r="E376" s="186"/>
      <c r="F376" s="187"/>
    </row>
    <row r="377" spans="1:6" x14ac:dyDescent="0.2">
      <c r="A377" s="275"/>
      <c r="B377" s="78"/>
      <c r="C377" s="189"/>
      <c r="D377" s="185"/>
      <c r="E377" s="186"/>
      <c r="F377" s="187"/>
    </row>
    <row r="378" spans="1:6" x14ac:dyDescent="0.2">
      <c r="A378" s="275"/>
      <c r="B378" s="78"/>
      <c r="C378" s="189"/>
      <c r="D378" s="185"/>
      <c r="E378" s="186"/>
      <c r="F378" s="187"/>
    </row>
    <row r="379" spans="1:6" x14ac:dyDescent="0.2">
      <c r="A379" s="275"/>
      <c r="B379" s="78"/>
      <c r="C379" s="189"/>
      <c r="D379" s="185"/>
      <c r="E379" s="186"/>
      <c r="F379" s="187"/>
    </row>
    <row r="380" spans="1:6" x14ac:dyDescent="0.2">
      <c r="A380" s="275"/>
      <c r="B380" s="78"/>
      <c r="C380" s="189"/>
      <c r="D380" s="185"/>
      <c r="E380" s="186"/>
      <c r="F380" s="187"/>
    </row>
    <row r="381" spans="1:6" x14ac:dyDescent="0.2">
      <c r="A381" s="275"/>
      <c r="B381" s="78"/>
      <c r="C381" s="189"/>
      <c r="D381" s="185"/>
      <c r="E381" s="186"/>
      <c r="F381" s="187"/>
    </row>
    <row r="382" spans="1:6" x14ac:dyDescent="0.2">
      <c r="A382" s="275"/>
      <c r="B382" s="78"/>
      <c r="C382" s="189"/>
      <c r="D382" s="185"/>
      <c r="E382" s="186"/>
      <c r="F382" s="187"/>
    </row>
    <row r="383" spans="1:6" x14ac:dyDescent="0.2">
      <c r="A383" s="275"/>
      <c r="B383" s="78"/>
      <c r="C383" s="189"/>
      <c r="D383" s="185"/>
      <c r="E383" s="186"/>
      <c r="F383" s="187"/>
    </row>
    <row r="384" spans="1:6" x14ac:dyDescent="0.2">
      <c r="A384" s="275"/>
      <c r="B384" s="78"/>
      <c r="C384" s="189"/>
      <c r="D384" s="185"/>
      <c r="E384" s="186"/>
      <c r="F384" s="187"/>
    </row>
    <row r="385" spans="1:6" x14ac:dyDescent="0.2">
      <c r="A385" s="275"/>
      <c r="B385" s="78"/>
      <c r="C385" s="189"/>
      <c r="D385" s="185"/>
      <c r="E385" s="186"/>
      <c r="F385" s="187"/>
    </row>
    <row r="386" spans="1:6" x14ac:dyDescent="0.2">
      <c r="A386" s="275"/>
      <c r="B386" s="78"/>
      <c r="C386" s="189"/>
      <c r="D386" s="185"/>
      <c r="E386" s="186"/>
      <c r="F386" s="187"/>
    </row>
    <row r="387" spans="1:6" x14ac:dyDescent="0.2">
      <c r="A387" s="275"/>
      <c r="B387" s="78"/>
      <c r="C387" s="189"/>
      <c r="D387" s="185"/>
      <c r="E387" s="186"/>
      <c r="F387" s="187"/>
    </row>
    <row r="388" spans="1:6" x14ac:dyDescent="0.2">
      <c r="A388" s="275"/>
      <c r="B388" s="78"/>
      <c r="C388" s="189"/>
      <c r="D388" s="185"/>
      <c r="E388" s="186"/>
      <c r="F388" s="187"/>
    </row>
    <row r="389" spans="1:6" x14ac:dyDescent="0.2">
      <c r="A389" s="275"/>
      <c r="B389" s="78"/>
      <c r="C389" s="189"/>
      <c r="D389" s="185"/>
      <c r="E389" s="186"/>
      <c r="F389" s="187"/>
    </row>
    <row r="390" spans="1:6" x14ac:dyDescent="0.2">
      <c r="A390" s="275"/>
      <c r="B390" s="78"/>
      <c r="C390" s="189"/>
      <c r="D390" s="185"/>
      <c r="E390" s="186"/>
      <c r="F390" s="187"/>
    </row>
    <row r="391" spans="1:6" x14ac:dyDescent="0.2">
      <c r="A391" s="275"/>
      <c r="B391" s="78"/>
      <c r="C391" s="189"/>
      <c r="D391" s="185"/>
      <c r="E391" s="186"/>
      <c r="F391" s="187"/>
    </row>
    <row r="392" spans="1:6" x14ac:dyDescent="0.2">
      <c r="A392" s="275"/>
      <c r="B392" s="78"/>
      <c r="C392" s="189"/>
      <c r="D392" s="185"/>
      <c r="E392" s="186"/>
      <c r="F392" s="187"/>
    </row>
    <row r="393" spans="1:6" x14ac:dyDescent="0.2">
      <c r="A393" s="275"/>
      <c r="B393" s="78"/>
      <c r="C393" s="189"/>
      <c r="D393" s="185"/>
      <c r="E393" s="186"/>
      <c r="F393" s="187"/>
    </row>
    <row r="394" spans="1:6" x14ac:dyDescent="0.2">
      <c r="A394" s="275"/>
      <c r="B394" s="78"/>
      <c r="C394" s="189"/>
      <c r="D394" s="185"/>
      <c r="E394" s="186"/>
      <c r="F394" s="187"/>
    </row>
    <row r="395" spans="1:6" x14ac:dyDescent="0.2">
      <c r="A395" s="275"/>
      <c r="B395" s="78"/>
      <c r="C395" s="189"/>
      <c r="D395" s="185"/>
      <c r="E395" s="186"/>
      <c r="F395" s="187"/>
    </row>
    <row r="396" spans="1:6" x14ac:dyDescent="0.2">
      <c r="A396" s="275"/>
      <c r="B396" s="78"/>
      <c r="C396" s="189"/>
      <c r="D396" s="185"/>
      <c r="E396" s="186"/>
      <c r="F396" s="187"/>
    </row>
    <row r="397" spans="1:6" x14ac:dyDescent="0.2">
      <c r="A397" s="275"/>
      <c r="B397" s="78"/>
      <c r="C397" s="189"/>
      <c r="D397" s="185"/>
      <c r="E397" s="186"/>
      <c r="F397" s="187"/>
    </row>
    <row r="398" spans="1:6" x14ac:dyDescent="0.2">
      <c r="A398" s="275"/>
      <c r="B398" s="78"/>
      <c r="C398" s="189"/>
      <c r="D398" s="185"/>
      <c r="E398" s="186"/>
      <c r="F398" s="187"/>
    </row>
    <row r="399" spans="1:6" x14ac:dyDescent="0.2">
      <c r="A399" s="275"/>
      <c r="B399" s="78"/>
      <c r="C399" s="189"/>
      <c r="D399" s="185"/>
      <c r="E399" s="186"/>
      <c r="F399" s="187"/>
    </row>
    <row r="400" spans="1:6" x14ac:dyDescent="0.2">
      <c r="A400" s="275"/>
      <c r="B400" s="78"/>
      <c r="C400" s="189"/>
      <c r="D400" s="185"/>
      <c r="E400" s="186"/>
      <c r="F400" s="187"/>
    </row>
    <row r="401" spans="1:6" x14ac:dyDescent="0.2">
      <c r="A401" s="275"/>
      <c r="B401" s="78"/>
      <c r="C401" s="189"/>
      <c r="D401" s="185"/>
      <c r="E401" s="186"/>
      <c r="F401" s="187"/>
    </row>
    <row r="402" spans="1:6" x14ac:dyDescent="0.2">
      <c r="A402" s="275"/>
      <c r="B402" s="78"/>
      <c r="C402" s="189"/>
      <c r="D402" s="185"/>
      <c r="E402" s="186"/>
      <c r="F402" s="187"/>
    </row>
    <row r="403" spans="1:6" x14ac:dyDescent="0.2">
      <c r="A403" s="275"/>
      <c r="B403" s="78"/>
      <c r="C403" s="189"/>
      <c r="D403" s="185"/>
      <c r="E403" s="186"/>
      <c r="F403" s="187"/>
    </row>
    <row r="404" spans="1:6" x14ac:dyDescent="0.2">
      <c r="A404" s="275"/>
      <c r="B404" s="78"/>
      <c r="C404" s="189"/>
      <c r="D404" s="185"/>
      <c r="E404" s="186"/>
      <c r="F404" s="187"/>
    </row>
    <row r="405" spans="1:6" x14ac:dyDescent="0.2">
      <c r="A405" s="275"/>
      <c r="B405" s="78"/>
      <c r="C405" s="189"/>
      <c r="D405" s="185"/>
      <c r="E405" s="186"/>
      <c r="F405" s="187"/>
    </row>
    <row r="406" spans="1:6" x14ac:dyDescent="0.2">
      <c r="A406" s="275"/>
      <c r="B406" s="78"/>
      <c r="C406" s="189"/>
      <c r="D406" s="185"/>
      <c r="E406" s="186"/>
      <c r="F406" s="187"/>
    </row>
    <row r="407" spans="1:6" x14ac:dyDescent="0.2">
      <c r="A407" s="275"/>
      <c r="B407" s="78"/>
      <c r="C407" s="189"/>
      <c r="D407" s="185"/>
      <c r="E407" s="186"/>
      <c r="F407" s="187"/>
    </row>
    <row r="408" spans="1:6" x14ac:dyDescent="0.2">
      <c r="A408" s="275"/>
      <c r="B408" s="78"/>
      <c r="C408" s="189"/>
      <c r="D408" s="185"/>
      <c r="E408" s="186"/>
      <c r="F408" s="187"/>
    </row>
    <row r="409" spans="1:6" x14ac:dyDescent="0.2">
      <c r="A409" s="275"/>
      <c r="B409" s="78"/>
      <c r="C409" s="189"/>
      <c r="D409" s="185"/>
      <c r="E409" s="186"/>
      <c r="F409" s="187"/>
    </row>
    <row r="410" spans="1:6" x14ac:dyDescent="0.2">
      <c r="A410" s="275"/>
      <c r="B410" s="78"/>
      <c r="C410" s="189"/>
      <c r="D410" s="185"/>
      <c r="E410" s="186"/>
      <c r="F410" s="187"/>
    </row>
    <row r="411" spans="1:6" x14ac:dyDescent="0.2">
      <c r="A411" s="275"/>
      <c r="B411" s="78"/>
      <c r="C411" s="189"/>
      <c r="D411" s="185"/>
      <c r="E411" s="186"/>
      <c r="F411" s="187"/>
    </row>
    <row r="412" spans="1:6" x14ac:dyDescent="0.2">
      <c r="A412" s="275"/>
      <c r="B412" s="78"/>
      <c r="C412" s="189"/>
      <c r="D412" s="185"/>
      <c r="E412" s="186"/>
      <c r="F412" s="187"/>
    </row>
    <row r="413" spans="1:6" x14ac:dyDescent="0.2">
      <c r="A413" s="275"/>
      <c r="B413" s="78"/>
      <c r="C413" s="189"/>
      <c r="D413" s="185"/>
      <c r="E413" s="186"/>
      <c r="F413" s="187"/>
    </row>
    <row r="414" spans="1:6" x14ac:dyDescent="0.2">
      <c r="A414" s="275"/>
      <c r="B414" s="78"/>
      <c r="C414" s="189"/>
      <c r="D414" s="185"/>
      <c r="E414" s="186"/>
      <c r="F414" s="187"/>
    </row>
    <row r="415" spans="1:6" x14ac:dyDescent="0.2">
      <c r="A415" s="275"/>
      <c r="B415" s="78"/>
      <c r="C415" s="189"/>
      <c r="D415" s="185"/>
      <c r="E415" s="186"/>
      <c r="F415" s="187"/>
    </row>
    <row r="416" spans="1:6" x14ac:dyDescent="0.2">
      <c r="A416" s="275"/>
      <c r="B416" s="78"/>
      <c r="C416" s="189"/>
      <c r="D416" s="185"/>
      <c r="E416" s="186"/>
      <c r="F416" s="187"/>
    </row>
    <row r="417" spans="1:6" x14ac:dyDescent="0.2">
      <c r="A417" s="275"/>
      <c r="B417" s="78"/>
      <c r="C417" s="189"/>
      <c r="D417" s="185"/>
      <c r="E417" s="186"/>
      <c r="F417" s="187"/>
    </row>
    <row r="418" spans="1:6" x14ac:dyDescent="0.2">
      <c r="A418" s="275"/>
      <c r="B418" s="78"/>
      <c r="C418" s="189"/>
      <c r="D418" s="185"/>
      <c r="E418" s="186"/>
      <c r="F418" s="187"/>
    </row>
    <row r="419" spans="1:6" x14ac:dyDescent="0.2">
      <c r="A419" s="275"/>
      <c r="B419" s="78"/>
      <c r="C419" s="189"/>
      <c r="D419" s="185"/>
      <c r="E419" s="186"/>
      <c r="F419" s="187"/>
    </row>
    <row r="420" spans="1:6" x14ac:dyDescent="0.2">
      <c r="A420" s="275"/>
      <c r="B420" s="78"/>
      <c r="C420" s="189"/>
      <c r="D420" s="185"/>
      <c r="E420" s="186"/>
      <c r="F420" s="187"/>
    </row>
    <row r="421" spans="1:6" x14ac:dyDescent="0.2">
      <c r="A421" s="275"/>
      <c r="B421" s="78"/>
      <c r="C421" s="189"/>
      <c r="D421" s="185"/>
      <c r="E421" s="186"/>
      <c r="F421" s="187"/>
    </row>
    <row r="422" spans="1:6" x14ac:dyDescent="0.2">
      <c r="A422" s="275"/>
      <c r="B422" s="78"/>
      <c r="C422" s="189"/>
      <c r="D422" s="185"/>
      <c r="E422" s="186"/>
      <c r="F422" s="187"/>
    </row>
    <row r="423" spans="1:6" x14ac:dyDescent="0.2">
      <c r="A423" s="275"/>
      <c r="B423" s="78"/>
      <c r="C423" s="189"/>
      <c r="D423" s="185"/>
      <c r="E423" s="186"/>
      <c r="F423" s="187"/>
    </row>
    <row r="424" spans="1:6" x14ac:dyDescent="0.2">
      <c r="A424" s="275"/>
      <c r="B424" s="78"/>
      <c r="C424" s="189"/>
      <c r="D424" s="185"/>
      <c r="E424" s="186"/>
      <c r="F424" s="187"/>
    </row>
    <row r="425" spans="1:6" x14ac:dyDescent="0.2">
      <c r="A425" s="275"/>
      <c r="B425" s="78"/>
      <c r="C425" s="189"/>
      <c r="D425" s="185"/>
      <c r="E425" s="186"/>
      <c r="F425" s="187"/>
    </row>
    <row r="426" spans="1:6" x14ac:dyDescent="0.2">
      <c r="A426" s="275"/>
      <c r="B426" s="78"/>
      <c r="C426" s="189"/>
      <c r="D426" s="185"/>
      <c r="E426" s="186"/>
      <c r="F426" s="187"/>
    </row>
    <row r="427" spans="1:6" x14ac:dyDescent="0.2">
      <c r="A427" s="275"/>
      <c r="B427" s="78"/>
      <c r="C427" s="189"/>
      <c r="D427" s="185"/>
      <c r="E427" s="186"/>
      <c r="F427" s="187"/>
    </row>
    <row r="428" spans="1:6" x14ac:dyDescent="0.2">
      <c r="A428" s="275"/>
      <c r="B428" s="78"/>
      <c r="C428" s="189"/>
      <c r="D428" s="185"/>
      <c r="E428" s="186"/>
      <c r="F428" s="187"/>
    </row>
    <row r="429" spans="1:6" x14ac:dyDescent="0.2">
      <c r="A429" s="275"/>
      <c r="B429" s="78"/>
      <c r="C429" s="189"/>
      <c r="D429" s="185"/>
      <c r="E429" s="186"/>
      <c r="F429" s="187"/>
    </row>
    <row r="430" spans="1:6" x14ac:dyDescent="0.2">
      <c r="A430" s="275"/>
      <c r="B430" s="78"/>
      <c r="C430" s="189"/>
      <c r="D430" s="185"/>
      <c r="E430" s="186"/>
      <c r="F430" s="187"/>
    </row>
    <row r="431" spans="1:6" x14ac:dyDescent="0.2">
      <c r="A431" s="275"/>
      <c r="B431" s="78"/>
      <c r="C431" s="189"/>
      <c r="D431" s="185"/>
      <c r="E431" s="186"/>
      <c r="F431" s="187"/>
    </row>
    <row r="432" spans="1:6" x14ac:dyDescent="0.2">
      <c r="A432" s="275"/>
      <c r="B432" s="78"/>
      <c r="C432" s="189"/>
      <c r="D432" s="185"/>
      <c r="E432" s="186"/>
      <c r="F432" s="187"/>
    </row>
    <row r="433" spans="1:6" x14ac:dyDescent="0.2">
      <c r="A433" s="275"/>
      <c r="B433" s="78"/>
      <c r="C433" s="189"/>
      <c r="D433" s="185"/>
      <c r="E433" s="186"/>
      <c r="F433" s="187"/>
    </row>
    <row r="434" spans="1:6" x14ac:dyDescent="0.2">
      <c r="A434" s="275"/>
      <c r="B434" s="78"/>
      <c r="C434" s="189"/>
      <c r="D434" s="185"/>
      <c r="E434" s="186"/>
      <c r="F434" s="187"/>
    </row>
    <row r="435" spans="1:6" x14ac:dyDescent="0.2">
      <c r="A435" s="275"/>
      <c r="B435" s="78"/>
      <c r="C435" s="189"/>
      <c r="D435" s="185"/>
      <c r="E435" s="186"/>
      <c r="F435" s="187"/>
    </row>
    <row r="436" spans="1:6" x14ac:dyDescent="0.2">
      <c r="A436" s="275"/>
      <c r="B436" s="78"/>
      <c r="C436" s="189"/>
      <c r="D436" s="185"/>
      <c r="E436" s="186"/>
      <c r="F436" s="187"/>
    </row>
    <row r="437" spans="1:6" x14ac:dyDescent="0.2">
      <c r="A437" s="275"/>
      <c r="B437" s="78"/>
      <c r="C437" s="189"/>
      <c r="D437" s="185"/>
      <c r="E437" s="186"/>
      <c r="F437" s="187"/>
    </row>
    <row r="438" spans="1:6" x14ac:dyDescent="0.2">
      <c r="A438" s="275"/>
      <c r="B438" s="78"/>
      <c r="C438" s="189"/>
      <c r="D438" s="185"/>
      <c r="E438" s="186"/>
      <c r="F438" s="187"/>
    </row>
    <row r="439" spans="1:6" x14ac:dyDescent="0.2">
      <c r="A439" s="275"/>
      <c r="B439" s="78"/>
      <c r="C439" s="189"/>
      <c r="D439" s="185"/>
      <c r="E439" s="186"/>
      <c r="F439" s="187"/>
    </row>
    <row r="440" spans="1:6" x14ac:dyDescent="0.2">
      <c r="A440" s="275"/>
      <c r="B440" s="78"/>
      <c r="C440" s="189"/>
      <c r="D440" s="185"/>
      <c r="E440" s="186"/>
      <c r="F440" s="187"/>
    </row>
    <row r="441" spans="1:6" x14ac:dyDescent="0.2">
      <c r="A441" s="275"/>
      <c r="B441" s="78"/>
      <c r="C441" s="189"/>
      <c r="D441" s="185"/>
      <c r="E441" s="186"/>
      <c r="F441" s="187"/>
    </row>
    <row r="442" spans="1:6" x14ac:dyDescent="0.2">
      <c r="A442" s="275"/>
      <c r="B442" s="78"/>
      <c r="C442" s="189"/>
      <c r="D442" s="185"/>
      <c r="E442" s="186"/>
      <c r="F442" s="187"/>
    </row>
    <row r="443" spans="1:6" x14ac:dyDescent="0.2">
      <c r="A443" s="275"/>
      <c r="B443" s="78"/>
      <c r="C443" s="189"/>
      <c r="D443" s="185"/>
      <c r="E443" s="186"/>
      <c r="F443" s="187"/>
    </row>
    <row r="444" spans="1:6" x14ac:dyDescent="0.2">
      <c r="A444" s="275"/>
      <c r="B444" s="78"/>
      <c r="C444" s="189"/>
      <c r="D444" s="185"/>
      <c r="E444" s="186"/>
      <c r="F444" s="187"/>
    </row>
    <row r="445" spans="1:6" x14ac:dyDescent="0.2">
      <c r="A445" s="275"/>
      <c r="B445" s="78"/>
      <c r="C445" s="189"/>
      <c r="D445" s="185"/>
      <c r="E445" s="186"/>
      <c r="F445" s="187"/>
    </row>
    <row r="446" spans="1:6" x14ac:dyDescent="0.2">
      <c r="A446" s="275"/>
      <c r="B446" s="78"/>
      <c r="C446" s="189"/>
      <c r="D446" s="185"/>
      <c r="E446" s="186"/>
      <c r="F446" s="187"/>
    </row>
    <row r="447" spans="1:6" x14ac:dyDescent="0.2">
      <c r="A447" s="275"/>
      <c r="B447" s="78"/>
      <c r="C447" s="189"/>
      <c r="D447" s="185"/>
      <c r="E447" s="186"/>
      <c r="F447" s="187"/>
    </row>
    <row r="448" spans="1:6" x14ac:dyDescent="0.2">
      <c r="A448" s="275"/>
      <c r="B448" s="78"/>
      <c r="C448" s="189"/>
      <c r="D448" s="185"/>
      <c r="E448" s="186"/>
      <c r="F448" s="187"/>
    </row>
    <row r="449" spans="1:6" x14ac:dyDescent="0.2">
      <c r="A449" s="275"/>
      <c r="B449" s="78"/>
      <c r="C449" s="189"/>
      <c r="D449" s="185"/>
      <c r="E449" s="186"/>
      <c r="F449" s="187"/>
    </row>
    <row r="450" spans="1:6" x14ac:dyDescent="0.2">
      <c r="A450" s="275"/>
      <c r="B450" s="78"/>
      <c r="C450" s="189"/>
      <c r="D450" s="185"/>
      <c r="E450" s="186"/>
      <c r="F450" s="187"/>
    </row>
    <row r="451" spans="1:6" x14ac:dyDescent="0.2">
      <c r="A451" s="275"/>
      <c r="B451" s="78"/>
      <c r="C451" s="189"/>
      <c r="D451" s="185"/>
      <c r="E451" s="186"/>
      <c r="F451" s="187"/>
    </row>
    <row r="452" spans="1:6" x14ac:dyDescent="0.2">
      <c r="A452" s="275"/>
      <c r="B452" s="78"/>
      <c r="C452" s="189"/>
      <c r="D452" s="185"/>
      <c r="E452" s="186"/>
      <c r="F452" s="187"/>
    </row>
    <row r="453" spans="1:6" x14ac:dyDescent="0.2">
      <c r="A453" s="275"/>
      <c r="B453" s="78"/>
      <c r="C453" s="189"/>
      <c r="D453" s="185"/>
      <c r="E453" s="186"/>
      <c r="F453" s="187"/>
    </row>
    <row r="454" spans="1:6" x14ac:dyDescent="0.2">
      <c r="A454" s="275"/>
      <c r="B454" s="78"/>
      <c r="C454" s="189"/>
      <c r="D454" s="185"/>
      <c r="E454" s="186"/>
      <c r="F454" s="187"/>
    </row>
    <row r="455" spans="1:6" x14ac:dyDescent="0.2">
      <c r="A455" s="275"/>
      <c r="B455" s="78"/>
      <c r="C455" s="189"/>
      <c r="D455" s="185"/>
      <c r="E455" s="186"/>
      <c r="F455" s="187"/>
    </row>
    <row r="456" spans="1:6" x14ac:dyDescent="0.2">
      <c r="A456" s="275"/>
      <c r="B456" s="78"/>
      <c r="C456" s="189"/>
      <c r="D456" s="185"/>
      <c r="E456" s="186"/>
      <c r="F456" s="187"/>
    </row>
    <row r="457" spans="1:6" x14ac:dyDescent="0.2">
      <c r="A457" s="275"/>
      <c r="B457" s="78"/>
      <c r="C457" s="189"/>
      <c r="D457" s="185"/>
      <c r="E457" s="186"/>
      <c r="F457" s="187"/>
    </row>
    <row r="458" spans="1:6" x14ac:dyDescent="0.2">
      <c r="A458" s="275"/>
      <c r="B458" s="78"/>
      <c r="C458" s="189"/>
      <c r="D458" s="185"/>
      <c r="E458" s="186"/>
      <c r="F458" s="187"/>
    </row>
    <row r="459" spans="1:6" x14ac:dyDescent="0.2">
      <c r="A459" s="275"/>
      <c r="B459" s="78"/>
      <c r="C459" s="189"/>
      <c r="D459" s="185"/>
      <c r="E459" s="186"/>
      <c r="F459" s="187"/>
    </row>
    <row r="460" spans="1:6" x14ac:dyDescent="0.2">
      <c r="A460" s="275"/>
      <c r="B460" s="78"/>
      <c r="C460" s="189"/>
      <c r="D460" s="185"/>
      <c r="E460" s="186"/>
      <c r="F460" s="187"/>
    </row>
    <row r="461" spans="1:6" x14ac:dyDescent="0.2">
      <c r="A461" s="275"/>
      <c r="B461" s="78"/>
      <c r="C461" s="189"/>
      <c r="D461" s="185"/>
      <c r="E461" s="186"/>
      <c r="F461" s="187"/>
    </row>
    <row r="462" spans="1:6" x14ac:dyDescent="0.2">
      <c r="A462" s="275"/>
      <c r="B462" s="78"/>
      <c r="C462" s="189"/>
      <c r="D462" s="185"/>
      <c r="E462" s="186"/>
      <c r="F462" s="187"/>
    </row>
    <row r="463" spans="1:6" x14ac:dyDescent="0.2">
      <c r="A463" s="275"/>
      <c r="B463" s="78"/>
      <c r="C463" s="189"/>
      <c r="D463" s="185"/>
      <c r="E463" s="186"/>
      <c r="F463" s="187"/>
    </row>
    <row r="464" spans="1:6" x14ac:dyDescent="0.2">
      <c r="A464" s="275"/>
      <c r="B464" s="78"/>
      <c r="C464" s="189"/>
      <c r="D464" s="185"/>
      <c r="E464" s="186"/>
      <c r="F464" s="187"/>
    </row>
    <row r="465" spans="1:6" x14ac:dyDescent="0.2">
      <c r="A465" s="275"/>
      <c r="B465" s="78"/>
      <c r="C465" s="189"/>
      <c r="D465" s="185"/>
      <c r="E465" s="186"/>
      <c r="F465" s="187"/>
    </row>
    <row r="466" spans="1:6" x14ac:dyDescent="0.2">
      <c r="A466" s="275"/>
      <c r="B466" s="78"/>
      <c r="C466" s="189"/>
      <c r="D466" s="185"/>
      <c r="E466" s="186"/>
      <c r="F466" s="187"/>
    </row>
    <row r="467" spans="1:6" x14ac:dyDescent="0.2">
      <c r="A467" s="275"/>
      <c r="B467" s="78"/>
      <c r="C467" s="189"/>
      <c r="D467" s="185"/>
      <c r="E467" s="186"/>
      <c r="F467" s="187"/>
    </row>
    <row r="468" spans="1:6" x14ac:dyDescent="0.2">
      <c r="A468" s="275"/>
      <c r="B468" s="78"/>
      <c r="C468" s="189"/>
      <c r="D468" s="185"/>
      <c r="E468" s="186"/>
      <c r="F468" s="187"/>
    </row>
    <row r="469" spans="1:6" x14ac:dyDescent="0.2">
      <c r="A469" s="275"/>
      <c r="B469" s="78"/>
      <c r="C469" s="189"/>
      <c r="D469" s="185"/>
      <c r="E469" s="186"/>
      <c r="F469" s="187"/>
    </row>
    <row r="470" spans="1:6" x14ac:dyDescent="0.2">
      <c r="A470" s="275"/>
      <c r="B470" s="78"/>
      <c r="C470" s="189"/>
      <c r="D470" s="185"/>
      <c r="E470" s="186"/>
      <c r="F470" s="187"/>
    </row>
    <row r="471" spans="1:6" x14ac:dyDescent="0.2">
      <c r="A471" s="275"/>
      <c r="B471" s="78"/>
      <c r="C471" s="189"/>
      <c r="D471" s="185"/>
      <c r="E471" s="186"/>
      <c r="F471" s="187"/>
    </row>
    <row r="472" spans="1:6" x14ac:dyDescent="0.2">
      <c r="A472" s="275"/>
      <c r="B472" s="78"/>
      <c r="C472" s="189"/>
      <c r="D472" s="185"/>
      <c r="E472" s="186"/>
      <c r="F472" s="187"/>
    </row>
    <row r="473" spans="1:6" x14ac:dyDescent="0.2">
      <c r="A473" s="275"/>
      <c r="B473" s="78"/>
      <c r="C473" s="189"/>
      <c r="D473" s="185"/>
      <c r="E473" s="186"/>
      <c r="F473" s="187"/>
    </row>
    <row r="474" spans="1:6" x14ac:dyDescent="0.2">
      <c r="A474" s="275"/>
      <c r="B474" s="78"/>
      <c r="C474" s="189"/>
      <c r="D474" s="185"/>
      <c r="E474" s="186"/>
      <c r="F474" s="187"/>
    </row>
    <row r="475" spans="1:6" x14ac:dyDescent="0.2">
      <c r="A475" s="275"/>
      <c r="B475" s="78"/>
      <c r="C475" s="189"/>
      <c r="D475" s="185"/>
      <c r="E475" s="186"/>
      <c r="F475" s="187"/>
    </row>
    <row r="476" spans="1:6" x14ac:dyDescent="0.2">
      <c r="A476" s="275"/>
      <c r="B476" s="78"/>
      <c r="C476" s="189"/>
      <c r="D476" s="185"/>
      <c r="E476" s="186"/>
      <c r="F476" s="187"/>
    </row>
    <row r="477" spans="1:6" x14ac:dyDescent="0.2">
      <c r="A477" s="275"/>
      <c r="B477" s="78"/>
      <c r="C477" s="189"/>
      <c r="D477" s="185"/>
      <c r="E477" s="186"/>
      <c r="F477" s="187"/>
    </row>
    <row r="478" spans="1:6" x14ac:dyDescent="0.2">
      <c r="A478" s="275"/>
      <c r="B478" s="78"/>
      <c r="C478" s="189"/>
      <c r="D478" s="185"/>
      <c r="E478" s="186"/>
      <c r="F478" s="187"/>
    </row>
    <row r="479" spans="1:6" x14ac:dyDescent="0.2">
      <c r="A479" s="275"/>
      <c r="B479" s="78"/>
      <c r="C479" s="189"/>
      <c r="D479" s="185"/>
      <c r="E479" s="186"/>
      <c r="F479" s="187"/>
    </row>
    <row r="480" spans="1:6" x14ac:dyDescent="0.2">
      <c r="A480" s="275"/>
      <c r="B480" s="78"/>
      <c r="C480" s="189"/>
      <c r="D480" s="185"/>
      <c r="E480" s="186"/>
      <c r="F480" s="187"/>
    </row>
    <row r="481" spans="1:6" x14ac:dyDescent="0.2">
      <c r="A481" s="275"/>
      <c r="B481" s="78"/>
      <c r="C481" s="189"/>
      <c r="D481" s="185"/>
      <c r="E481" s="186"/>
      <c r="F481" s="187"/>
    </row>
    <row r="482" spans="1:6" x14ac:dyDescent="0.2">
      <c r="A482" s="275"/>
      <c r="B482" s="78"/>
      <c r="C482" s="189"/>
      <c r="D482" s="185"/>
      <c r="E482" s="186"/>
      <c r="F482" s="187"/>
    </row>
    <row r="483" spans="1:6" x14ac:dyDescent="0.2">
      <c r="A483" s="275"/>
      <c r="B483" s="78"/>
      <c r="C483" s="189"/>
      <c r="D483" s="185"/>
      <c r="E483" s="186"/>
      <c r="F483" s="187"/>
    </row>
    <row r="484" spans="1:6" x14ac:dyDescent="0.2">
      <c r="A484" s="275"/>
      <c r="B484" s="78"/>
      <c r="C484" s="189"/>
      <c r="D484" s="185"/>
      <c r="E484" s="186"/>
      <c r="F484" s="187"/>
    </row>
    <row r="485" spans="1:6" x14ac:dyDescent="0.2">
      <c r="A485" s="275"/>
      <c r="B485" s="78"/>
      <c r="C485" s="189"/>
      <c r="D485" s="185"/>
      <c r="E485" s="186"/>
      <c r="F485" s="187"/>
    </row>
    <row r="486" spans="1:6" x14ac:dyDescent="0.2">
      <c r="A486" s="275"/>
      <c r="B486" s="78"/>
      <c r="C486" s="189"/>
      <c r="D486" s="185"/>
      <c r="E486" s="186"/>
      <c r="F486" s="187"/>
    </row>
    <row r="487" spans="1:6" x14ac:dyDescent="0.2">
      <c r="A487" s="275"/>
      <c r="B487" s="78"/>
      <c r="C487" s="189"/>
      <c r="D487" s="185"/>
      <c r="E487" s="186"/>
      <c r="F487" s="187"/>
    </row>
    <row r="488" spans="1:6" x14ac:dyDescent="0.2">
      <c r="A488" s="275"/>
      <c r="B488" s="78"/>
      <c r="C488" s="189"/>
      <c r="D488" s="185"/>
      <c r="E488" s="186"/>
      <c r="F488" s="187"/>
    </row>
    <row r="489" spans="1:6" x14ac:dyDescent="0.2">
      <c r="A489" s="275"/>
      <c r="B489" s="78"/>
      <c r="C489" s="189"/>
      <c r="D489" s="185"/>
      <c r="E489" s="186"/>
      <c r="F489" s="187"/>
    </row>
    <row r="490" spans="1:6" x14ac:dyDescent="0.2">
      <c r="A490" s="275"/>
      <c r="B490" s="78"/>
      <c r="C490" s="189"/>
      <c r="D490" s="185"/>
      <c r="E490" s="186"/>
      <c r="F490" s="187"/>
    </row>
    <row r="491" spans="1:6" x14ac:dyDescent="0.2">
      <c r="A491" s="275"/>
      <c r="B491" s="78"/>
      <c r="C491" s="189"/>
      <c r="D491" s="185"/>
      <c r="E491" s="186"/>
      <c r="F491" s="187"/>
    </row>
    <row r="492" spans="1:6" x14ac:dyDescent="0.2">
      <c r="A492" s="275"/>
      <c r="B492" s="78"/>
      <c r="C492" s="189"/>
      <c r="D492" s="185"/>
      <c r="E492" s="186"/>
      <c r="F492" s="187"/>
    </row>
    <row r="493" spans="1:6" x14ac:dyDescent="0.2">
      <c r="A493" s="275"/>
      <c r="B493" s="78"/>
      <c r="C493" s="189"/>
      <c r="D493" s="185"/>
      <c r="E493" s="186"/>
      <c r="F493" s="187"/>
    </row>
    <row r="494" spans="1:6" x14ac:dyDescent="0.2">
      <c r="A494" s="275"/>
      <c r="B494" s="78"/>
      <c r="C494" s="189"/>
      <c r="D494" s="185"/>
      <c r="E494" s="186"/>
      <c r="F494" s="187"/>
    </row>
    <row r="495" spans="1:6" x14ac:dyDescent="0.2">
      <c r="A495" s="275"/>
      <c r="B495" s="78"/>
      <c r="C495" s="189"/>
      <c r="D495" s="185"/>
      <c r="E495" s="186"/>
      <c r="F495" s="187"/>
    </row>
    <row r="496" spans="1:6" x14ac:dyDescent="0.2">
      <c r="A496" s="275"/>
      <c r="B496" s="78"/>
      <c r="C496" s="189"/>
      <c r="D496" s="185"/>
      <c r="E496" s="186"/>
      <c r="F496" s="187"/>
    </row>
    <row r="497" spans="1:6" x14ac:dyDescent="0.2">
      <c r="A497" s="275"/>
      <c r="B497" s="78"/>
      <c r="C497" s="189"/>
      <c r="D497" s="185"/>
      <c r="E497" s="186"/>
      <c r="F497" s="187"/>
    </row>
    <row r="498" spans="1:6" x14ac:dyDescent="0.2">
      <c r="A498" s="275"/>
      <c r="B498" s="78"/>
      <c r="C498" s="189"/>
      <c r="D498" s="185"/>
      <c r="E498" s="186"/>
      <c r="F498" s="187"/>
    </row>
    <row r="499" spans="1:6" x14ac:dyDescent="0.2">
      <c r="A499" s="275"/>
      <c r="B499" s="78"/>
      <c r="C499" s="189"/>
      <c r="D499" s="185"/>
      <c r="E499" s="186"/>
      <c r="F499" s="187"/>
    </row>
    <row r="500" spans="1:6" x14ac:dyDescent="0.2">
      <c r="A500" s="275"/>
      <c r="B500" s="78"/>
      <c r="C500" s="189"/>
      <c r="D500" s="185"/>
      <c r="E500" s="186"/>
      <c r="F500" s="187"/>
    </row>
    <row r="501" spans="1:6" x14ac:dyDescent="0.2">
      <c r="A501" s="275"/>
      <c r="B501" s="78"/>
      <c r="C501" s="189"/>
      <c r="D501" s="185"/>
      <c r="E501" s="186"/>
      <c r="F501" s="187"/>
    </row>
    <row r="502" spans="1:6" x14ac:dyDescent="0.2">
      <c r="A502" s="275"/>
      <c r="B502" s="78"/>
      <c r="C502" s="189"/>
      <c r="D502" s="185"/>
      <c r="E502" s="186"/>
      <c r="F502" s="187"/>
    </row>
    <row r="503" spans="1:6" x14ac:dyDescent="0.2">
      <c r="A503" s="275"/>
      <c r="B503" s="78"/>
      <c r="C503" s="189"/>
      <c r="D503" s="185"/>
      <c r="E503" s="186"/>
      <c r="F503" s="187"/>
    </row>
    <row r="504" spans="1:6" x14ac:dyDescent="0.2">
      <c r="A504" s="275"/>
      <c r="B504" s="78"/>
      <c r="C504" s="189"/>
      <c r="D504" s="185"/>
      <c r="E504" s="186"/>
      <c r="F504" s="187"/>
    </row>
    <row r="505" spans="1:6" x14ac:dyDescent="0.2">
      <c r="A505" s="275"/>
      <c r="B505" s="78"/>
      <c r="C505" s="189"/>
      <c r="D505" s="185"/>
      <c r="E505" s="186"/>
      <c r="F505" s="187"/>
    </row>
    <row r="506" spans="1:6" x14ac:dyDescent="0.2">
      <c r="A506" s="275"/>
      <c r="B506" s="78"/>
      <c r="C506" s="189"/>
      <c r="D506" s="185"/>
      <c r="E506" s="186"/>
      <c r="F506" s="187"/>
    </row>
    <row r="507" spans="1:6" x14ac:dyDescent="0.2">
      <c r="A507" s="275"/>
      <c r="B507" s="78"/>
      <c r="C507" s="189"/>
      <c r="D507" s="185"/>
      <c r="E507" s="186"/>
      <c r="F507" s="187"/>
    </row>
    <row r="508" spans="1:6" x14ac:dyDescent="0.2">
      <c r="A508" s="275"/>
      <c r="B508" s="78"/>
      <c r="C508" s="189"/>
      <c r="D508" s="185"/>
      <c r="E508" s="186"/>
      <c r="F508" s="187"/>
    </row>
    <row r="509" spans="1:6" x14ac:dyDescent="0.2">
      <c r="A509" s="275"/>
      <c r="B509" s="78"/>
      <c r="C509" s="189"/>
      <c r="D509" s="185"/>
      <c r="E509" s="186"/>
      <c r="F509" s="187"/>
    </row>
    <row r="510" spans="1:6" x14ac:dyDescent="0.2">
      <c r="A510" s="275"/>
      <c r="B510" s="78"/>
      <c r="C510" s="189"/>
      <c r="D510" s="185"/>
      <c r="E510" s="186"/>
      <c r="F510" s="187"/>
    </row>
    <row r="511" spans="1:6" x14ac:dyDescent="0.2">
      <c r="A511" s="275"/>
      <c r="B511" s="78"/>
      <c r="C511" s="189"/>
      <c r="D511" s="185"/>
      <c r="E511" s="186"/>
      <c r="F511" s="187"/>
    </row>
    <row r="512" spans="1:6" x14ac:dyDescent="0.2">
      <c r="A512" s="275"/>
      <c r="B512" s="78"/>
      <c r="C512" s="189"/>
      <c r="D512" s="185"/>
      <c r="E512" s="186"/>
      <c r="F512" s="187"/>
    </row>
    <row r="513" spans="1:6" x14ac:dyDescent="0.2">
      <c r="A513" s="275"/>
      <c r="B513" s="78"/>
      <c r="C513" s="189"/>
      <c r="D513" s="185"/>
      <c r="E513" s="186"/>
      <c r="F513" s="187"/>
    </row>
    <row r="514" spans="1:6" x14ac:dyDescent="0.2">
      <c r="A514" s="275"/>
      <c r="B514" s="78"/>
      <c r="C514" s="189"/>
      <c r="D514" s="185"/>
      <c r="E514" s="186"/>
      <c r="F514" s="187"/>
    </row>
    <row r="515" spans="1:6" x14ac:dyDescent="0.2">
      <c r="A515" s="275"/>
      <c r="B515" s="78"/>
      <c r="C515" s="189"/>
      <c r="D515" s="185"/>
      <c r="E515" s="186"/>
      <c r="F515" s="187"/>
    </row>
    <row r="516" spans="1:6" x14ac:dyDescent="0.2">
      <c r="A516" s="275"/>
      <c r="B516" s="78"/>
      <c r="C516" s="189"/>
      <c r="D516" s="185"/>
      <c r="E516" s="186"/>
      <c r="F516" s="187"/>
    </row>
    <row r="517" spans="1:6" x14ac:dyDescent="0.2">
      <c r="A517" s="275"/>
      <c r="B517" s="78"/>
      <c r="C517" s="189"/>
      <c r="D517" s="185"/>
      <c r="E517" s="186"/>
      <c r="F517" s="187"/>
    </row>
    <row r="518" spans="1:6" x14ac:dyDescent="0.2">
      <c r="A518" s="275"/>
      <c r="B518" s="78"/>
      <c r="C518" s="189"/>
      <c r="D518" s="185"/>
      <c r="E518" s="186"/>
      <c r="F518" s="187"/>
    </row>
    <row r="519" spans="1:6" x14ac:dyDescent="0.2">
      <c r="A519" s="275"/>
      <c r="B519" s="78"/>
      <c r="C519" s="189"/>
      <c r="D519" s="185"/>
      <c r="E519" s="186"/>
      <c r="F519" s="187"/>
    </row>
    <row r="520" spans="1:6" x14ac:dyDescent="0.2">
      <c r="A520" s="275"/>
      <c r="B520" s="78"/>
      <c r="C520" s="189"/>
      <c r="D520" s="185"/>
      <c r="E520" s="186"/>
      <c r="F520" s="187"/>
    </row>
    <row r="521" spans="1:6" x14ac:dyDescent="0.2">
      <c r="A521" s="275"/>
      <c r="B521" s="78"/>
      <c r="C521" s="189"/>
      <c r="D521" s="185"/>
      <c r="E521" s="186"/>
      <c r="F521" s="187"/>
    </row>
    <row r="522" spans="1:6" x14ac:dyDescent="0.2">
      <c r="A522" s="275"/>
      <c r="B522" s="78"/>
      <c r="C522" s="189"/>
      <c r="D522" s="185"/>
      <c r="E522" s="186"/>
      <c r="F522" s="187"/>
    </row>
    <row r="523" spans="1:6" x14ac:dyDescent="0.2">
      <c r="A523" s="275"/>
      <c r="B523" s="78"/>
      <c r="C523" s="189"/>
      <c r="D523" s="185"/>
      <c r="E523" s="186"/>
      <c r="F523" s="187"/>
    </row>
    <row r="524" spans="1:6" x14ac:dyDescent="0.2">
      <c r="A524" s="275"/>
      <c r="B524" s="78"/>
      <c r="C524" s="189"/>
      <c r="D524" s="185"/>
      <c r="E524" s="186"/>
      <c r="F524" s="187"/>
    </row>
    <row r="525" spans="1:6" x14ac:dyDescent="0.2">
      <c r="A525" s="275"/>
      <c r="B525" s="78"/>
      <c r="C525" s="189"/>
      <c r="D525" s="185"/>
      <c r="E525" s="186"/>
      <c r="F525" s="187"/>
    </row>
    <row r="526" spans="1:6" x14ac:dyDescent="0.2">
      <c r="A526" s="275"/>
      <c r="B526" s="78"/>
      <c r="C526" s="189"/>
      <c r="D526" s="185"/>
      <c r="E526" s="186"/>
      <c r="F526" s="187"/>
    </row>
    <row r="527" spans="1:6" x14ac:dyDescent="0.2">
      <c r="A527" s="275"/>
      <c r="B527" s="78"/>
      <c r="C527" s="189"/>
      <c r="D527" s="185"/>
      <c r="E527" s="186"/>
      <c r="F527" s="187"/>
    </row>
    <row r="528" spans="1:6" x14ac:dyDescent="0.2">
      <c r="A528" s="275"/>
      <c r="B528" s="78"/>
      <c r="C528" s="189"/>
      <c r="D528" s="185"/>
      <c r="E528" s="186"/>
      <c r="F528" s="187"/>
    </row>
    <row r="529" spans="1:6" x14ac:dyDescent="0.2">
      <c r="A529" s="275"/>
      <c r="B529" s="78"/>
      <c r="C529" s="189"/>
      <c r="D529" s="185"/>
      <c r="E529" s="186"/>
      <c r="F529" s="187"/>
    </row>
    <row r="530" spans="1:6" x14ac:dyDescent="0.2">
      <c r="A530" s="275"/>
      <c r="B530" s="78"/>
      <c r="C530" s="189"/>
      <c r="D530" s="185"/>
      <c r="E530" s="186"/>
      <c r="F530" s="187"/>
    </row>
    <row r="531" spans="1:6" x14ac:dyDescent="0.2">
      <c r="A531" s="275"/>
      <c r="B531" s="78"/>
      <c r="C531" s="189"/>
      <c r="D531" s="185"/>
      <c r="E531" s="186"/>
      <c r="F531" s="187"/>
    </row>
    <row r="532" spans="1:6" x14ac:dyDescent="0.2">
      <c r="A532" s="275"/>
      <c r="B532" s="78"/>
      <c r="C532" s="189"/>
      <c r="D532" s="185"/>
      <c r="E532" s="186"/>
      <c r="F532" s="187"/>
    </row>
    <row r="533" spans="1:6" x14ac:dyDescent="0.2">
      <c r="A533" s="275"/>
      <c r="B533" s="78"/>
      <c r="C533" s="189"/>
      <c r="D533" s="185"/>
      <c r="E533" s="186"/>
      <c r="F533" s="187"/>
    </row>
    <row r="534" spans="1:6" x14ac:dyDescent="0.2">
      <c r="A534" s="275"/>
      <c r="B534" s="78"/>
      <c r="C534" s="189"/>
      <c r="D534" s="185"/>
      <c r="E534" s="186"/>
      <c r="F534" s="187"/>
    </row>
    <row r="535" spans="1:6" x14ac:dyDescent="0.2">
      <c r="A535" s="275"/>
      <c r="B535" s="78"/>
      <c r="C535" s="189"/>
      <c r="D535" s="185"/>
      <c r="E535" s="186"/>
      <c r="F535" s="187"/>
    </row>
    <row r="536" spans="1:6" x14ac:dyDescent="0.2">
      <c r="A536" s="275"/>
      <c r="B536" s="78"/>
      <c r="C536" s="189"/>
      <c r="D536" s="185"/>
      <c r="E536" s="186"/>
      <c r="F536" s="187"/>
    </row>
    <row r="537" spans="1:6" x14ac:dyDescent="0.2">
      <c r="A537" s="275"/>
      <c r="B537" s="78"/>
      <c r="C537" s="189"/>
      <c r="D537" s="185"/>
      <c r="E537" s="186"/>
      <c r="F537" s="187"/>
    </row>
    <row r="538" spans="1:6" x14ac:dyDescent="0.2">
      <c r="A538" s="275"/>
      <c r="B538" s="78"/>
      <c r="C538" s="189"/>
      <c r="D538" s="185"/>
      <c r="E538" s="186"/>
      <c r="F538" s="187"/>
    </row>
    <row r="539" spans="1:6" x14ac:dyDescent="0.2">
      <c r="A539" s="275"/>
      <c r="B539" s="78"/>
      <c r="C539" s="189"/>
      <c r="D539" s="185"/>
      <c r="E539" s="186"/>
      <c r="F539" s="187"/>
    </row>
    <row r="540" spans="1:6" x14ac:dyDescent="0.2">
      <c r="A540" s="275"/>
      <c r="B540" s="78"/>
      <c r="C540" s="189"/>
      <c r="D540" s="185"/>
      <c r="E540" s="186"/>
      <c r="F540" s="187"/>
    </row>
    <row r="541" spans="1:6" x14ac:dyDescent="0.2">
      <c r="A541" s="275"/>
      <c r="B541" s="78"/>
      <c r="C541" s="189"/>
      <c r="D541" s="185"/>
      <c r="E541" s="186"/>
      <c r="F541" s="187"/>
    </row>
    <row r="542" spans="1:6" x14ac:dyDescent="0.2">
      <c r="A542" s="275"/>
      <c r="B542" s="78"/>
      <c r="C542" s="189"/>
      <c r="D542" s="185"/>
      <c r="E542" s="186"/>
      <c r="F542" s="187"/>
    </row>
    <row r="543" spans="1:6" x14ac:dyDescent="0.2">
      <c r="A543" s="275"/>
      <c r="B543" s="78"/>
      <c r="C543" s="189"/>
      <c r="D543" s="185"/>
      <c r="E543" s="186"/>
      <c r="F543" s="187"/>
    </row>
    <row r="544" spans="1:6" x14ac:dyDescent="0.2">
      <c r="A544" s="275"/>
      <c r="B544" s="78"/>
      <c r="C544" s="189"/>
      <c r="D544" s="185"/>
      <c r="E544" s="186"/>
      <c r="F544" s="187"/>
    </row>
    <row r="545" spans="1:6" x14ac:dyDescent="0.2">
      <c r="A545" s="275"/>
      <c r="B545" s="78"/>
      <c r="C545" s="189"/>
      <c r="D545" s="185"/>
      <c r="E545" s="186"/>
      <c r="F545" s="187"/>
    </row>
    <row r="546" spans="1:6" x14ac:dyDescent="0.2">
      <c r="A546" s="275"/>
      <c r="B546" s="78"/>
      <c r="C546" s="189"/>
      <c r="D546" s="185"/>
      <c r="E546" s="186"/>
      <c r="F546" s="187"/>
    </row>
    <row r="547" spans="1:6" x14ac:dyDescent="0.2">
      <c r="A547" s="275"/>
      <c r="B547" s="78"/>
      <c r="C547" s="189"/>
      <c r="D547" s="185"/>
      <c r="E547" s="186"/>
      <c r="F547" s="187"/>
    </row>
    <row r="548" spans="1:6" x14ac:dyDescent="0.2">
      <c r="A548" s="275"/>
      <c r="B548" s="78"/>
      <c r="C548" s="189"/>
      <c r="D548" s="185"/>
      <c r="E548" s="186"/>
      <c r="F548" s="187"/>
    </row>
    <row r="549" spans="1:6" x14ac:dyDescent="0.2">
      <c r="A549" s="275"/>
      <c r="B549" s="78"/>
      <c r="C549" s="189"/>
      <c r="D549" s="185"/>
      <c r="E549" s="186"/>
      <c r="F549" s="187"/>
    </row>
    <row r="550" spans="1:6" x14ac:dyDescent="0.2">
      <c r="A550" s="275"/>
      <c r="B550" s="78"/>
      <c r="C550" s="189"/>
      <c r="D550" s="185"/>
      <c r="E550" s="186"/>
      <c r="F550" s="187"/>
    </row>
    <row r="551" spans="1:6" x14ac:dyDescent="0.2">
      <c r="A551" s="275"/>
      <c r="B551" s="78"/>
      <c r="C551" s="189"/>
      <c r="D551" s="185"/>
      <c r="E551" s="186"/>
      <c r="F551" s="187"/>
    </row>
    <row r="552" spans="1:6" x14ac:dyDescent="0.2">
      <c r="A552" s="275"/>
      <c r="B552" s="78"/>
      <c r="C552" s="189"/>
      <c r="D552" s="185"/>
      <c r="E552" s="186"/>
      <c r="F552" s="187"/>
    </row>
    <row r="553" spans="1:6" x14ac:dyDescent="0.2">
      <c r="A553" s="275"/>
      <c r="B553" s="78"/>
      <c r="C553" s="189"/>
      <c r="D553" s="185"/>
      <c r="E553" s="186"/>
      <c r="F553" s="187"/>
    </row>
    <row r="554" spans="1:6" x14ac:dyDescent="0.2">
      <c r="A554" s="275"/>
      <c r="B554" s="78"/>
      <c r="C554" s="189"/>
      <c r="D554" s="185"/>
      <c r="E554" s="186"/>
      <c r="F554" s="187"/>
    </row>
    <row r="555" spans="1:6" x14ac:dyDescent="0.2">
      <c r="A555" s="275"/>
      <c r="B555" s="78"/>
      <c r="C555" s="189"/>
      <c r="D555" s="185"/>
      <c r="E555" s="186"/>
      <c r="F555" s="187"/>
    </row>
    <row r="556" spans="1:6" x14ac:dyDescent="0.2">
      <c r="A556" s="275"/>
      <c r="B556" s="78"/>
      <c r="C556" s="189"/>
      <c r="D556" s="185"/>
      <c r="E556" s="186"/>
      <c r="F556" s="187"/>
    </row>
    <row r="557" spans="1:6" x14ac:dyDescent="0.2">
      <c r="A557" s="275"/>
      <c r="B557" s="78"/>
      <c r="C557" s="189"/>
      <c r="D557" s="185"/>
      <c r="E557" s="186"/>
      <c r="F557" s="187"/>
    </row>
    <row r="558" spans="1:6" x14ac:dyDescent="0.2">
      <c r="A558" s="275"/>
      <c r="B558" s="78"/>
      <c r="C558" s="189"/>
      <c r="D558" s="185"/>
      <c r="E558" s="186"/>
      <c r="F558" s="187"/>
    </row>
    <row r="559" spans="1:6" x14ac:dyDescent="0.2">
      <c r="A559" s="275"/>
      <c r="B559" s="78"/>
      <c r="C559" s="189"/>
      <c r="D559" s="185"/>
      <c r="E559" s="186"/>
      <c r="F559" s="187"/>
    </row>
    <row r="560" spans="1:6" x14ac:dyDescent="0.2">
      <c r="A560" s="275"/>
      <c r="B560" s="78"/>
      <c r="C560" s="189"/>
      <c r="D560" s="185"/>
      <c r="E560" s="186"/>
      <c r="F560" s="187"/>
    </row>
    <row r="561" spans="1:6" x14ac:dyDescent="0.2">
      <c r="A561" s="275"/>
      <c r="B561" s="78"/>
      <c r="C561" s="189"/>
      <c r="D561" s="185"/>
      <c r="E561" s="186"/>
      <c r="F561" s="187"/>
    </row>
    <row r="562" spans="1:6" x14ac:dyDescent="0.2">
      <c r="A562" s="275"/>
      <c r="B562" s="78"/>
      <c r="C562" s="189"/>
      <c r="D562" s="185"/>
      <c r="E562" s="186"/>
      <c r="F562" s="187"/>
    </row>
    <row r="563" spans="1:6" x14ac:dyDescent="0.2">
      <c r="A563" s="275"/>
      <c r="B563" s="78"/>
      <c r="C563" s="189"/>
      <c r="D563" s="185"/>
      <c r="E563" s="186"/>
      <c r="F563" s="187"/>
    </row>
    <row r="564" spans="1:6" x14ac:dyDescent="0.2">
      <c r="A564" s="275"/>
      <c r="B564" s="78"/>
      <c r="C564" s="189"/>
      <c r="D564" s="185"/>
      <c r="E564" s="186"/>
      <c r="F564" s="187"/>
    </row>
    <row r="565" spans="1:6" x14ac:dyDescent="0.2">
      <c r="A565" s="275"/>
      <c r="B565" s="78"/>
      <c r="C565" s="189"/>
      <c r="D565" s="185"/>
      <c r="E565" s="186"/>
      <c r="F565" s="187"/>
    </row>
    <row r="566" spans="1:6" x14ac:dyDescent="0.2">
      <c r="A566" s="275"/>
      <c r="B566" s="78"/>
      <c r="C566" s="189"/>
      <c r="D566" s="185"/>
      <c r="E566" s="186"/>
      <c r="F566" s="187"/>
    </row>
    <row r="567" spans="1:6" x14ac:dyDescent="0.2">
      <c r="A567" s="275"/>
      <c r="B567" s="78"/>
      <c r="C567" s="189"/>
      <c r="D567" s="185"/>
      <c r="E567" s="186"/>
      <c r="F567" s="187"/>
    </row>
    <row r="568" spans="1:6" x14ac:dyDescent="0.2">
      <c r="A568" s="275"/>
      <c r="B568" s="78"/>
      <c r="C568" s="189"/>
      <c r="D568" s="185"/>
      <c r="E568" s="186"/>
      <c r="F568" s="187"/>
    </row>
    <row r="569" spans="1:6" x14ac:dyDescent="0.2">
      <c r="A569" s="275"/>
      <c r="B569" s="78"/>
      <c r="C569" s="189"/>
      <c r="D569" s="185"/>
      <c r="E569" s="186"/>
      <c r="F569" s="187"/>
    </row>
    <row r="570" spans="1:6" x14ac:dyDescent="0.2">
      <c r="A570" s="275"/>
      <c r="B570" s="78"/>
      <c r="C570" s="189"/>
      <c r="D570" s="185"/>
      <c r="E570" s="186"/>
      <c r="F570" s="187"/>
    </row>
    <row r="571" spans="1:6" x14ac:dyDescent="0.2">
      <c r="A571" s="275"/>
      <c r="B571" s="78"/>
      <c r="C571" s="189"/>
      <c r="D571" s="185"/>
      <c r="E571" s="186"/>
      <c r="F571" s="187"/>
    </row>
    <row r="572" spans="1:6" x14ac:dyDescent="0.2">
      <c r="A572" s="275"/>
      <c r="B572" s="78"/>
      <c r="C572" s="189"/>
      <c r="D572" s="185"/>
      <c r="E572" s="186"/>
      <c r="F572" s="187"/>
    </row>
    <row r="573" spans="1:6" x14ac:dyDescent="0.2">
      <c r="A573" s="275"/>
      <c r="B573" s="78"/>
      <c r="C573" s="189"/>
      <c r="D573" s="185"/>
      <c r="E573" s="186"/>
      <c r="F573" s="187"/>
    </row>
    <row r="574" spans="1:6" x14ac:dyDescent="0.2">
      <c r="A574" s="275"/>
      <c r="B574" s="78"/>
      <c r="C574" s="189"/>
      <c r="D574" s="185"/>
      <c r="E574" s="186"/>
      <c r="F574" s="187"/>
    </row>
    <row r="575" spans="1:6" x14ac:dyDescent="0.2">
      <c r="A575" s="275"/>
      <c r="B575" s="78"/>
      <c r="C575" s="189"/>
      <c r="D575" s="185"/>
      <c r="E575" s="186"/>
      <c r="F575" s="187"/>
    </row>
    <row r="576" spans="1:6" x14ac:dyDescent="0.2">
      <c r="A576" s="275"/>
      <c r="B576" s="78"/>
      <c r="C576" s="189"/>
      <c r="D576" s="185"/>
      <c r="E576" s="186"/>
      <c r="F576" s="187"/>
    </row>
    <row r="577" spans="1:6" x14ac:dyDescent="0.2">
      <c r="A577" s="275"/>
      <c r="B577" s="78"/>
      <c r="C577" s="189"/>
      <c r="D577" s="185"/>
      <c r="E577" s="186"/>
      <c r="F577" s="187"/>
    </row>
    <row r="578" spans="1:6" x14ac:dyDescent="0.2">
      <c r="A578" s="275"/>
      <c r="B578" s="78"/>
      <c r="C578" s="189"/>
      <c r="D578" s="185"/>
      <c r="E578" s="186"/>
      <c r="F578" s="187"/>
    </row>
    <row r="579" spans="1:6" x14ac:dyDescent="0.2">
      <c r="A579" s="275"/>
      <c r="B579" s="78"/>
      <c r="C579" s="189"/>
      <c r="D579" s="185"/>
      <c r="E579" s="186"/>
      <c r="F579" s="187"/>
    </row>
    <row r="580" spans="1:6" x14ac:dyDescent="0.2">
      <c r="A580" s="275"/>
      <c r="B580" s="78"/>
      <c r="C580" s="189"/>
      <c r="D580" s="185"/>
      <c r="E580" s="186"/>
      <c r="F580" s="187"/>
    </row>
    <row r="581" spans="1:6" x14ac:dyDescent="0.2">
      <c r="A581" s="275"/>
      <c r="B581" s="78"/>
      <c r="C581" s="189"/>
      <c r="D581" s="185"/>
      <c r="E581" s="186"/>
      <c r="F581" s="187"/>
    </row>
    <row r="582" spans="1:6" x14ac:dyDescent="0.2">
      <c r="A582" s="275"/>
      <c r="B582" s="78"/>
      <c r="C582" s="189"/>
      <c r="D582" s="185"/>
      <c r="E582" s="186"/>
      <c r="F582" s="187"/>
    </row>
    <row r="583" spans="1:6" x14ac:dyDescent="0.2">
      <c r="A583" s="275"/>
      <c r="B583" s="78"/>
      <c r="C583" s="189"/>
      <c r="D583" s="185"/>
      <c r="E583" s="186"/>
      <c r="F583" s="187"/>
    </row>
    <row r="584" spans="1:6" x14ac:dyDescent="0.2">
      <c r="A584" s="275"/>
      <c r="B584" s="78"/>
      <c r="C584" s="189"/>
      <c r="D584" s="185"/>
      <c r="E584" s="186"/>
      <c r="F584" s="187"/>
    </row>
    <row r="585" spans="1:6" x14ac:dyDescent="0.2">
      <c r="A585" s="275"/>
      <c r="B585" s="78"/>
      <c r="C585" s="189"/>
      <c r="D585" s="185"/>
      <c r="E585" s="186"/>
      <c r="F585" s="187"/>
    </row>
    <row r="586" spans="1:6" x14ac:dyDescent="0.2">
      <c r="A586" s="275"/>
      <c r="B586" s="78"/>
      <c r="C586" s="189"/>
      <c r="D586" s="185"/>
      <c r="E586" s="186"/>
      <c r="F586" s="187"/>
    </row>
    <row r="587" spans="1:6" x14ac:dyDescent="0.2">
      <c r="A587" s="275"/>
      <c r="B587" s="78"/>
      <c r="C587" s="189"/>
      <c r="D587" s="185"/>
      <c r="E587" s="186"/>
      <c r="F587" s="187"/>
    </row>
    <row r="588" spans="1:6" x14ac:dyDescent="0.2">
      <c r="A588" s="275"/>
      <c r="B588" s="78"/>
      <c r="C588" s="189"/>
      <c r="D588" s="185"/>
      <c r="E588" s="186"/>
      <c r="F588" s="187"/>
    </row>
    <row r="589" spans="1:6" x14ac:dyDescent="0.2">
      <c r="A589" s="275"/>
      <c r="B589" s="78"/>
      <c r="C589" s="189"/>
      <c r="D589" s="185"/>
      <c r="E589" s="186"/>
      <c r="F589" s="187"/>
    </row>
    <row r="590" spans="1:6" x14ac:dyDescent="0.2">
      <c r="A590" s="275"/>
      <c r="B590" s="78"/>
      <c r="C590" s="189"/>
      <c r="D590" s="185"/>
      <c r="E590" s="186"/>
      <c r="F590" s="187"/>
    </row>
    <row r="591" spans="1:6" x14ac:dyDescent="0.2">
      <c r="A591" s="275"/>
      <c r="B591" s="78"/>
      <c r="C591" s="189"/>
      <c r="D591" s="185"/>
      <c r="E591" s="186"/>
      <c r="F591" s="187"/>
    </row>
    <row r="592" spans="1:6" x14ac:dyDescent="0.2">
      <c r="A592" s="275"/>
      <c r="B592" s="78"/>
      <c r="C592" s="189"/>
      <c r="D592" s="185"/>
      <c r="E592" s="186"/>
      <c r="F592" s="187"/>
    </row>
    <row r="593" spans="1:6" x14ac:dyDescent="0.2">
      <c r="A593" s="275"/>
      <c r="B593" s="78"/>
      <c r="C593" s="189"/>
      <c r="D593" s="185"/>
      <c r="E593" s="186"/>
      <c r="F593" s="187"/>
    </row>
    <row r="594" spans="1:6" x14ac:dyDescent="0.2">
      <c r="A594" s="275"/>
      <c r="B594" s="78"/>
      <c r="C594" s="189"/>
      <c r="D594" s="185"/>
      <c r="E594" s="186"/>
      <c r="F594" s="187"/>
    </row>
    <row r="595" spans="1:6" x14ac:dyDescent="0.2">
      <c r="A595" s="275"/>
      <c r="B595" s="78"/>
      <c r="C595" s="189"/>
      <c r="D595" s="185"/>
      <c r="E595" s="186"/>
      <c r="F595" s="187"/>
    </row>
    <row r="596" spans="1:6" x14ac:dyDescent="0.2">
      <c r="A596" s="275"/>
      <c r="B596" s="78"/>
      <c r="C596" s="189"/>
      <c r="D596" s="185"/>
      <c r="E596" s="186"/>
      <c r="F596" s="187"/>
    </row>
    <row r="597" spans="1:6" x14ac:dyDescent="0.2">
      <c r="A597" s="275"/>
      <c r="B597" s="78"/>
      <c r="C597" s="189"/>
      <c r="D597" s="185"/>
      <c r="E597" s="186"/>
      <c r="F597" s="187"/>
    </row>
    <row r="598" spans="1:6" x14ac:dyDescent="0.2">
      <c r="A598" s="275"/>
      <c r="B598" s="78"/>
      <c r="C598" s="189"/>
      <c r="D598" s="185"/>
      <c r="E598" s="186"/>
      <c r="F598" s="187"/>
    </row>
    <row r="599" spans="1:6" x14ac:dyDescent="0.2">
      <c r="A599" s="275"/>
      <c r="B599" s="78"/>
      <c r="C599" s="189"/>
      <c r="D599" s="185"/>
      <c r="E599" s="186"/>
      <c r="F599" s="187"/>
    </row>
    <row r="600" spans="1:6" x14ac:dyDescent="0.2">
      <c r="A600" s="275"/>
      <c r="B600" s="78"/>
      <c r="C600" s="189"/>
      <c r="D600" s="185"/>
      <c r="E600" s="186"/>
      <c r="F600" s="187"/>
    </row>
    <row r="601" spans="1:6" x14ac:dyDescent="0.2">
      <c r="A601" s="275"/>
      <c r="B601" s="78"/>
      <c r="C601" s="189"/>
      <c r="D601" s="185"/>
      <c r="E601" s="186"/>
      <c r="F601" s="187"/>
    </row>
    <row r="602" spans="1:6" x14ac:dyDescent="0.2">
      <c r="A602" s="275"/>
      <c r="B602" s="78"/>
      <c r="C602" s="189"/>
      <c r="D602" s="185"/>
      <c r="E602" s="186"/>
      <c r="F602" s="187"/>
    </row>
    <row r="603" spans="1:6" x14ac:dyDescent="0.2">
      <c r="A603" s="275"/>
      <c r="B603" s="78"/>
      <c r="C603" s="189"/>
      <c r="D603" s="185"/>
      <c r="E603" s="186"/>
      <c r="F603" s="187"/>
    </row>
    <row r="604" spans="1:6" x14ac:dyDescent="0.2">
      <c r="A604" s="275"/>
      <c r="B604" s="78"/>
      <c r="C604" s="189"/>
      <c r="D604" s="185"/>
      <c r="E604" s="186"/>
      <c r="F604" s="187"/>
    </row>
    <row r="605" spans="1:6" x14ac:dyDescent="0.2">
      <c r="A605" s="275"/>
      <c r="B605" s="78"/>
      <c r="C605" s="189"/>
      <c r="D605" s="185"/>
      <c r="E605" s="186"/>
      <c r="F605" s="187"/>
    </row>
    <row r="606" spans="1:6" x14ac:dyDescent="0.2">
      <c r="A606" s="275"/>
      <c r="B606" s="78"/>
      <c r="C606" s="189"/>
      <c r="D606" s="185"/>
      <c r="E606" s="186"/>
      <c r="F606" s="187"/>
    </row>
    <row r="607" spans="1:6" x14ac:dyDescent="0.2">
      <c r="A607" s="275"/>
      <c r="B607" s="78"/>
      <c r="C607" s="189"/>
      <c r="D607" s="185"/>
      <c r="E607" s="186"/>
      <c r="F607" s="187"/>
    </row>
    <row r="608" spans="1:6" x14ac:dyDescent="0.2">
      <c r="A608" s="275"/>
      <c r="B608" s="78"/>
      <c r="C608" s="189"/>
      <c r="D608" s="185"/>
      <c r="E608" s="186"/>
      <c r="F608" s="187"/>
    </row>
    <row r="609" spans="1:6" x14ac:dyDescent="0.2">
      <c r="A609" s="275"/>
      <c r="B609" s="78"/>
      <c r="C609" s="189"/>
      <c r="D609" s="185"/>
      <c r="E609" s="186"/>
      <c r="F609" s="187"/>
    </row>
    <row r="610" spans="1:6" x14ac:dyDescent="0.2">
      <c r="A610" s="275"/>
      <c r="B610" s="78"/>
      <c r="C610" s="189"/>
      <c r="D610" s="185"/>
      <c r="E610" s="186"/>
      <c r="F610" s="187"/>
    </row>
    <row r="611" spans="1:6" x14ac:dyDescent="0.2">
      <c r="A611" s="275"/>
      <c r="B611" s="78"/>
      <c r="C611" s="189"/>
      <c r="D611" s="185"/>
      <c r="E611" s="186"/>
      <c r="F611" s="187"/>
    </row>
    <row r="612" spans="1:6" x14ac:dyDescent="0.2">
      <c r="A612" s="275"/>
      <c r="B612" s="78"/>
      <c r="C612" s="189"/>
      <c r="D612" s="185"/>
      <c r="E612" s="186"/>
      <c r="F612" s="187"/>
    </row>
    <row r="613" spans="1:6" x14ac:dyDescent="0.2">
      <c r="A613" s="275"/>
      <c r="B613" s="78"/>
      <c r="C613" s="189"/>
      <c r="D613" s="185"/>
      <c r="E613" s="186"/>
      <c r="F613" s="187"/>
    </row>
    <row r="614" spans="1:6" x14ac:dyDescent="0.2">
      <c r="A614" s="275"/>
      <c r="B614" s="78"/>
      <c r="C614" s="189"/>
      <c r="D614" s="185"/>
      <c r="E614" s="186"/>
      <c r="F614" s="187"/>
    </row>
    <row r="615" spans="1:6" x14ac:dyDescent="0.2">
      <c r="A615" s="275"/>
      <c r="B615" s="78"/>
      <c r="C615" s="189"/>
      <c r="D615" s="185"/>
      <c r="E615" s="186"/>
      <c r="F615" s="187"/>
    </row>
    <row r="616" spans="1:6" x14ac:dyDescent="0.2">
      <c r="A616" s="275"/>
      <c r="B616" s="78"/>
      <c r="C616" s="189"/>
      <c r="D616" s="185"/>
      <c r="E616" s="186"/>
      <c r="F616" s="187"/>
    </row>
    <row r="617" spans="1:6" x14ac:dyDescent="0.2">
      <c r="A617" s="275"/>
      <c r="B617" s="78"/>
      <c r="C617" s="189"/>
      <c r="D617" s="185"/>
      <c r="E617" s="186"/>
      <c r="F617" s="187"/>
    </row>
    <row r="618" spans="1:6" x14ac:dyDescent="0.2">
      <c r="A618" s="275"/>
      <c r="B618" s="78"/>
      <c r="C618" s="189"/>
      <c r="D618" s="185"/>
      <c r="E618" s="186"/>
      <c r="F618" s="187"/>
    </row>
    <row r="619" spans="1:6" x14ac:dyDescent="0.2">
      <c r="A619" s="275"/>
      <c r="B619" s="78"/>
      <c r="C619" s="189"/>
      <c r="D619" s="185"/>
      <c r="E619" s="186"/>
      <c r="F619" s="187"/>
    </row>
    <row r="620" spans="1:6" x14ac:dyDescent="0.2">
      <c r="A620" s="275"/>
      <c r="B620" s="78"/>
      <c r="C620" s="189"/>
      <c r="D620" s="185"/>
      <c r="E620" s="186"/>
      <c r="F620" s="187"/>
    </row>
    <row r="621" spans="1:6" x14ac:dyDescent="0.2">
      <c r="A621" s="275"/>
      <c r="B621" s="78"/>
      <c r="C621" s="189"/>
      <c r="D621" s="185"/>
      <c r="E621" s="186"/>
      <c r="F621" s="187"/>
    </row>
    <row r="622" spans="1:6" x14ac:dyDescent="0.2">
      <c r="A622" s="275"/>
      <c r="B622" s="78"/>
      <c r="C622" s="189"/>
      <c r="D622" s="185"/>
      <c r="E622" s="186"/>
      <c r="F622" s="187"/>
    </row>
    <row r="623" spans="1:6" x14ac:dyDescent="0.2">
      <c r="A623" s="275"/>
      <c r="B623" s="78"/>
      <c r="C623" s="189"/>
      <c r="D623" s="185"/>
      <c r="E623" s="186"/>
      <c r="F623" s="187"/>
    </row>
    <row r="624" spans="1:6" x14ac:dyDescent="0.2">
      <c r="A624" s="275"/>
      <c r="B624" s="78"/>
      <c r="C624" s="189"/>
      <c r="D624" s="185"/>
      <c r="E624" s="186"/>
      <c r="F624" s="187"/>
    </row>
    <row r="625" spans="1:6" x14ac:dyDescent="0.2">
      <c r="A625" s="275"/>
      <c r="B625" s="78"/>
      <c r="C625" s="189"/>
      <c r="D625" s="185"/>
      <c r="E625" s="186"/>
      <c r="F625" s="187"/>
    </row>
    <row r="626" spans="1:6" x14ac:dyDescent="0.2">
      <c r="A626" s="275"/>
      <c r="B626" s="78"/>
      <c r="C626" s="189"/>
      <c r="D626" s="185"/>
      <c r="E626" s="186"/>
      <c r="F626" s="187"/>
    </row>
    <row r="627" spans="1:6" x14ac:dyDescent="0.2">
      <c r="A627" s="275"/>
      <c r="B627" s="78"/>
      <c r="C627" s="189"/>
      <c r="D627" s="185"/>
      <c r="E627" s="186"/>
      <c r="F627" s="187"/>
    </row>
    <row r="628" spans="1:6" x14ac:dyDescent="0.2">
      <c r="A628" s="275"/>
      <c r="B628" s="78"/>
      <c r="C628" s="189"/>
      <c r="D628" s="185"/>
      <c r="E628" s="186"/>
      <c r="F628" s="187"/>
    </row>
    <row r="629" spans="1:6" x14ac:dyDescent="0.2">
      <c r="A629" s="275"/>
      <c r="B629" s="78"/>
      <c r="C629" s="189"/>
      <c r="D629" s="185"/>
      <c r="E629" s="186"/>
      <c r="F629" s="187"/>
    </row>
    <row r="630" spans="1:6" x14ac:dyDescent="0.2">
      <c r="A630" s="275"/>
      <c r="B630" s="78"/>
      <c r="C630" s="189"/>
      <c r="D630" s="185"/>
      <c r="E630" s="186"/>
      <c r="F630" s="187"/>
    </row>
    <row r="631" spans="1:6" x14ac:dyDescent="0.2">
      <c r="A631" s="275"/>
      <c r="B631" s="78"/>
      <c r="C631" s="189"/>
      <c r="D631" s="185"/>
      <c r="E631" s="186"/>
      <c r="F631" s="187"/>
    </row>
    <row r="632" spans="1:6" x14ac:dyDescent="0.2">
      <c r="A632" s="275"/>
      <c r="B632" s="78"/>
      <c r="C632" s="189"/>
      <c r="D632" s="185"/>
      <c r="E632" s="186"/>
      <c r="F632" s="187"/>
    </row>
    <row r="633" spans="1:6" x14ac:dyDescent="0.2">
      <c r="A633" s="275"/>
      <c r="B633" s="78"/>
      <c r="C633" s="189"/>
      <c r="D633" s="185"/>
      <c r="E633" s="186"/>
      <c r="F633" s="187"/>
    </row>
    <row r="634" spans="1:6" x14ac:dyDescent="0.2">
      <c r="A634" s="275"/>
      <c r="B634" s="78"/>
      <c r="C634" s="189"/>
      <c r="D634" s="185"/>
      <c r="E634" s="186"/>
      <c r="F634" s="187"/>
    </row>
    <row r="635" spans="1:6" x14ac:dyDescent="0.2">
      <c r="A635" s="275"/>
      <c r="B635" s="78"/>
      <c r="C635" s="189"/>
      <c r="D635" s="185"/>
      <c r="E635" s="186"/>
      <c r="F635" s="187"/>
    </row>
    <row r="636" spans="1:6" x14ac:dyDescent="0.2">
      <c r="A636" s="275"/>
      <c r="B636" s="78"/>
      <c r="C636" s="189"/>
      <c r="D636" s="185"/>
      <c r="E636" s="186"/>
      <c r="F636" s="187"/>
    </row>
    <row r="637" spans="1:6" x14ac:dyDescent="0.2">
      <c r="A637" s="275"/>
      <c r="B637" s="78"/>
      <c r="C637" s="189"/>
      <c r="D637" s="185"/>
      <c r="E637" s="186"/>
      <c r="F637" s="187"/>
    </row>
    <row r="638" spans="1:6" x14ac:dyDescent="0.2">
      <c r="A638" s="275"/>
      <c r="B638" s="78"/>
      <c r="C638" s="189"/>
      <c r="D638" s="185"/>
      <c r="E638" s="186"/>
      <c r="F638" s="187"/>
    </row>
    <row r="639" spans="1:6" x14ac:dyDescent="0.2">
      <c r="A639" s="275"/>
      <c r="B639" s="78"/>
      <c r="C639" s="189"/>
      <c r="D639" s="185"/>
      <c r="E639" s="186"/>
      <c r="F639" s="187"/>
    </row>
    <row r="640" spans="1:6" x14ac:dyDescent="0.2">
      <c r="A640" s="275"/>
      <c r="B640" s="78"/>
      <c r="C640" s="189"/>
      <c r="D640" s="185"/>
      <c r="E640" s="186"/>
      <c r="F640" s="187"/>
    </row>
    <row r="641" spans="1:6" x14ac:dyDescent="0.2">
      <c r="A641" s="275"/>
      <c r="B641" s="78"/>
      <c r="C641" s="189"/>
      <c r="D641" s="185"/>
      <c r="E641" s="186"/>
      <c r="F641" s="187"/>
    </row>
    <row r="642" spans="1:6" x14ac:dyDescent="0.2">
      <c r="A642" s="275"/>
      <c r="B642" s="78"/>
      <c r="C642" s="189"/>
      <c r="D642" s="185"/>
      <c r="E642" s="186"/>
      <c r="F642" s="187"/>
    </row>
    <row r="643" spans="1:6" x14ac:dyDescent="0.2">
      <c r="A643" s="275"/>
      <c r="B643" s="78"/>
      <c r="C643" s="189"/>
      <c r="D643" s="185"/>
      <c r="E643" s="186"/>
      <c r="F643" s="187"/>
    </row>
    <row r="644" spans="1:6" x14ac:dyDescent="0.2">
      <c r="A644" s="275"/>
      <c r="B644" s="78"/>
      <c r="C644" s="189"/>
      <c r="D644" s="185"/>
      <c r="E644" s="186"/>
      <c r="F644" s="187"/>
    </row>
    <row r="645" spans="1:6" x14ac:dyDescent="0.2">
      <c r="A645" s="275"/>
      <c r="B645" s="78"/>
      <c r="C645" s="189"/>
      <c r="D645" s="185"/>
      <c r="E645" s="186"/>
      <c r="F645" s="187"/>
    </row>
    <row r="646" spans="1:6" x14ac:dyDescent="0.2">
      <c r="A646" s="275"/>
      <c r="B646" s="78"/>
      <c r="C646" s="189"/>
      <c r="D646" s="185"/>
      <c r="E646" s="186"/>
      <c r="F646" s="187"/>
    </row>
    <row r="647" spans="1:6" x14ac:dyDescent="0.2">
      <c r="A647" s="275"/>
      <c r="B647" s="78"/>
      <c r="C647" s="189"/>
      <c r="D647" s="185"/>
      <c r="E647" s="186"/>
      <c r="F647" s="187"/>
    </row>
    <row r="648" spans="1:6" x14ac:dyDescent="0.2">
      <c r="A648" s="275"/>
      <c r="B648" s="78"/>
      <c r="C648" s="189"/>
      <c r="D648" s="185"/>
      <c r="E648" s="186"/>
      <c r="F648" s="187"/>
    </row>
    <row r="649" spans="1:6" x14ac:dyDescent="0.2">
      <c r="A649" s="275"/>
      <c r="B649" s="78"/>
      <c r="C649" s="189"/>
      <c r="D649" s="185"/>
      <c r="E649" s="186"/>
      <c r="F649" s="187"/>
    </row>
    <row r="650" spans="1:6" x14ac:dyDescent="0.2">
      <c r="A650" s="275"/>
      <c r="B650" s="78"/>
      <c r="C650" s="189"/>
      <c r="D650" s="185"/>
      <c r="E650" s="186"/>
      <c r="F650" s="187"/>
    </row>
    <row r="651" spans="1:6" x14ac:dyDescent="0.2">
      <c r="A651" s="275"/>
      <c r="B651" s="78"/>
      <c r="C651" s="189"/>
      <c r="D651" s="185"/>
      <c r="E651" s="186"/>
      <c r="F651" s="187"/>
    </row>
    <row r="652" spans="1:6" x14ac:dyDescent="0.2">
      <c r="A652" s="275"/>
      <c r="B652" s="78"/>
      <c r="C652" s="189"/>
      <c r="D652" s="185"/>
      <c r="E652" s="186"/>
      <c r="F652" s="187"/>
    </row>
    <row r="653" spans="1:6" x14ac:dyDescent="0.2">
      <c r="A653" s="275"/>
      <c r="B653" s="78"/>
      <c r="C653" s="189"/>
      <c r="D653" s="185"/>
      <c r="E653" s="186"/>
      <c r="F653" s="187"/>
    </row>
    <row r="654" spans="1:6" x14ac:dyDescent="0.2">
      <c r="A654" s="275"/>
      <c r="B654" s="78"/>
      <c r="C654" s="189"/>
      <c r="D654" s="185"/>
      <c r="E654" s="186"/>
      <c r="F654" s="187"/>
    </row>
    <row r="655" spans="1:6" x14ac:dyDescent="0.2">
      <c r="A655" s="275"/>
      <c r="B655" s="78"/>
      <c r="C655" s="189"/>
      <c r="D655" s="185"/>
      <c r="E655" s="186"/>
      <c r="F655" s="187"/>
    </row>
    <row r="656" spans="1:6" x14ac:dyDescent="0.2">
      <c r="A656" s="275"/>
      <c r="B656" s="78"/>
      <c r="C656" s="189"/>
      <c r="D656" s="185"/>
      <c r="E656" s="186"/>
      <c r="F656" s="187"/>
    </row>
    <row r="657" spans="1:6" x14ac:dyDescent="0.2">
      <c r="A657" s="275"/>
      <c r="B657" s="78"/>
      <c r="C657" s="189"/>
      <c r="D657" s="185"/>
      <c r="E657" s="186"/>
      <c r="F657" s="187"/>
    </row>
    <row r="658" spans="1:6" x14ac:dyDescent="0.2">
      <c r="A658" s="275"/>
      <c r="B658" s="78"/>
      <c r="C658" s="189"/>
      <c r="D658" s="185"/>
      <c r="E658" s="186"/>
      <c r="F658" s="187"/>
    </row>
    <row r="659" spans="1:6" x14ac:dyDescent="0.2">
      <c r="A659" s="275"/>
      <c r="B659" s="78"/>
      <c r="C659" s="189"/>
      <c r="D659" s="185"/>
      <c r="E659" s="186"/>
      <c r="F659" s="187"/>
    </row>
    <row r="660" spans="1:6" x14ac:dyDescent="0.2">
      <c r="A660" s="275"/>
      <c r="B660" s="78"/>
      <c r="C660" s="189"/>
      <c r="D660" s="185"/>
      <c r="E660" s="186"/>
      <c r="F660" s="187"/>
    </row>
    <row r="661" spans="1:6" x14ac:dyDescent="0.2">
      <c r="A661" s="275"/>
      <c r="B661" s="78"/>
      <c r="C661" s="189"/>
      <c r="D661" s="185"/>
      <c r="E661" s="186"/>
      <c r="F661" s="187"/>
    </row>
    <row r="662" spans="1:6" x14ac:dyDescent="0.2">
      <c r="A662" s="275"/>
      <c r="B662" s="78"/>
      <c r="C662" s="189"/>
      <c r="D662" s="185"/>
      <c r="E662" s="186"/>
      <c r="F662" s="187"/>
    </row>
    <row r="663" spans="1:6" x14ac:dyDescent="0.2">
      <c r="A663" s="275"/>
      <c r="B663" s="78"/>
      <c r="C663" s="189"/>
      <c r="D663" s="185"/>
      <c r="E663" s="186"/>
      <c r="F663" s="187"/>
    </row>
    <row r="664" spans="1:6" x14ac:dyDescent="0.2">
      <c r="A664" s="275"/>
      <c r="B664" s="78"/>
      <c r="C664" s="189"/>
      <c r="D664" s="185"/>
      <c r="E664" s="186"/>
      <c r="F664" s="187"/>
    </row>
    <row r="665" spans="1:6" x14ac:dyDescent="0.2">
      <c r="A665" s="275"/>
      <c r="B665" s="78"/>
      <c r="C665" s="189"/>
      <c r="D665" s="185"/>
      <c r="E665" s="186"/>
      <c r="F665" s="187"/>
    </row>
    <row r="666" spans="1:6" x14ac:dyDescent="0.2">
      <c r="A666" s="275"/>
      <c r="B666" s="78"/>
      <c r="C666" s="189"/>
      <c r="D666" s="185"/>
      <c r="E666" s="186"/>
      <c r="F666" s="187"/>
    </row>
    <row r="667" spans="1:6" x14ac:dyDescent="0.2">
      <c r="A667" s="275"/>
      <c r="B667" s="78"/>
      <c r="C667" s="189"/>
      <c r="D667" s="185"/>
      <c r="E667" s="186"/>
      <c r="F667" s="187"/>
    </row>
    <row r="668" spans="1:6" x14ac:dyDescent="0.2">
      <c r="A668" s="275"/>
      <c r="B668" s="78"/>
      <c r="C668" s="189"/>
      <c r="D668" s="185"/>
      <c r="E668" s="186"/>
      <c r="F668" s="187"/>
    </row>
    <row r="669" spans="1:6" x14ac:dyDescent="0.2">
      <c r="A669" s="275"/>
      <c r="B669" s="78"/>
      <c r="C669" s="189"/>
      <c r="D669" s="185"/>
      <c r="E669" s="186"/>
      <c r="F669" s="187"/>
    </row>
    <row r="670" spans="1:6" x14ac:dyDescent="0.2">
      <c r="A670" s="275"/>
      <c r="B670" s="78"/>
      <c r="C670" s="189"/>
      <c r="D670" s="185"/>
      <c r="E670" s="186"/>
      <c r="F670" s="187"/>
    </row>
    <row r="671" spans="1:6" x14ac:dyDescent="0.2">
      <c r="A671" s="275"/>
      <c r="B671" s="78"/>
      <c r="C671" s="189"/>
      <c r="D671" s="185"/>
      <c r="E671" s="186"/>
      <c r="F671" s="187"/>
    </row>
    <row r="672" spans="1:6" x14ac:dyDescent="0.2">
      <c r="A672" s="275"/>
      <c r="B672" s="78"/>
      <c r="C672" s="189"/>
      <c r="D672" s="185"/>
      <c r="E672" s="186"/>
      <c r="F672" s="187"/>
    </row>
    <row r="673" spans="1:6" x14ac:dyDescent="0.2">
      <c r="A673" s="275"/>
      <c r="B673" s="78"/>
      <c r="C673" s="189"/>
      <c r="D673" s="185"/>
      <c r="E673" s="186"/>
      <c r="F673" s="187"/>
    </row>
    <row r="674" spans="1:6" x14ac:dyDescent="0.2">
      <c r="A674" s="275"/>
      <c r="B674" s="78"/>
      <c r="C674" s="189"/>
      <c r="D674" s="185"/>
      <c r="E674" s="186"/>
      <c r="F674" s="187"/>
    </row>
    <row r="675" spans="1:6" x14ac:dyDescent="0.2">
      <c r="A675" s="275"/>
      <c r="B675" s="78"/>
      <c r="C675" s="189"/>
      <c r="D675" s="185"/>
      <c r="E675" s="186"/>
      <c r="F675" s="187"/>
    </row>
    <row r="676" spans="1:6" x14ac:dyDescent="0.2">
      <c r="A676" s="275"/>
      <c r="B676" s="78"/>
      <c r="C676" s="189"/>
      <c r="D676" s="185"/>
      <c r="E676" s="186"/>
      <c r="F676" s="187"/>
    </row>
    <row r="677" spans="1:6" x14ac:dyDescent="0.2">
      <c r="A677" s="275"/>
      <c r="B677" s="78"/>
      <c r="C677" s="189"/>
      <c r="D677" s="185"/>
      <c r="E677" s="186"/>
      <c r="F677" s="187"/>
    </row>
    <row r="678" spans="1:6" x14ac:dyDescent="0.2">
      <c r="A678" s="275"/>
      <c r="B678" s="78"/>
      <c r="C678" s="189"/>
      <c r="D678" s="185"/>
      <c r="E678" s="186"/>
      <c r="F678" s="187"/>
    </row>
    <row r="679" spans="1:6" x14ac:dyDescent="0.2">
      <c r="A679" s="275"/>
      <c r="B679" s="78"/>
      <c r="C679" s="189"/>
      <c r="D679" s="185"/>
      <c r="E679" s="186"/>
      <c r="F679" s="187"/>
    </row>
    <row r="680" spans="1:6" x14ac:dyDescent="0.2">
      <c r="A680" s="275"/>
      <c r="B680" s="78"/>
      <c r="C680" s="189"/>
      <c r="D680" s="185"/>
      <c r="E680" s="186"/>
      <c r="F680" s="187"/>
    </row>
    <row r="681" spans="1:6" x14ac:dyDescent="0.2">
      <c r="A681" s="275"/>
      <c r="B681" s="78"/>
      <c r="C681" s="189"/>
      <c r="D681" s="185"/>
      <c r="E681" s="186"/>
      <c r="F681" s="187"/>
    </row>
    <row r="682" spans="1:6" x14ac:dyDescent="0.2">
      <c r="A682" s="275"/>
      <c r="B682" s="78"/>
      <c r="C682" s="189"/>
      <c r="D682" s="185"/>
      <c r="E682" s="186"/>
      <c r="F682" s="187"/>
    </row>
    <row r="683" spans="1:6" x14ac:dyDescent="0.2">
      <c r="A683" s="275"/>
      <c r="B683" s="78"/>
      <c r="C683" s="189"/>
      <c r="D683" s="185"/>
      <c r="E683" s="186"/>
      <c r="F683" s="187"/>
    </row>
    <row r="684" spans="1:6" x14ac:dyDescent="0.2">
      <c r="A684" s="275"/>
      <c r="B684" s="78"/>
      <c r="C684" s="189"/>
      <c r="D684" s="185"/>
      <c r="E684" s="186"/>
      <c r="F684" s="187"/>
    </row>
    <row r="685" spans="1:6" x14ac:dyDescent="0.2">
      <c r="A685" s="275"/>
      <c r="B685" s="78"/>
      <c r="C685" s="189"/>
      <c r="D685" s="185"/>
      <c r="E685" s="186"/>
      <c r="F685" s="187"/>
    </row>
    <row r="686" spans="1:6" x14ac:dyDescent="0.2">
      <c r="A686" s="275"/>
      <c r="B686" s="78"/>
      <c r="C686" s="189"/>
      <c r="D686" s="185"/>
      <c r="E686" s="186"/>
      <c r="F686" s="187"/>
    </row>
    <row r="687" spans="1:6" x14ac:dyDescent="0.2">
      <c r="A687" s="275"/>
      <c r="B687" s="78"/>
      <c r="C687" s="189"/>
      <c r="D687" s="185"/>
      <c r="E687" s="186"/>
      <c r="F687" s="187"/>
    </row>
    <row r="688" spans="1:6" x14ac:dyDescent="0.2">
      <c r="A688" s="275"/>
      <c r="B688" s="78"/>
      <c r="C688" s="189"/>
      <c r="D688" s="185"/>
      <c r="E688" s="186"/>
      <c r="F688" s="187"/>
    </row>
    <row r="689" spans="1:6" x14ac:dyDescent="0.2">
      <c r="A689" s="275"/>
      <c r="B689" s="78"/>
      <c r="C689" s="189"/>
      <c r="D689" s="185"/>
      <c r="E689" s="186"/>
      <c r="F689" s="187"/>
    </row>
    <row r="690" spans="1:6" x14ac:dyDescent="0.2">
      <c r="A690" s="275"/>
      <c r="B690" s="78"/>
      <c r="C690" s="189"/>
      <c r="D690" s="185"/>
      <c r="E690" s="186"/>
      <c r="F690" s="187"/>
    </row>
    <row r="691" spans="1:6" x14ac:dyDescent="0.2">
      <c r="A691" s="275"/>
      <c r="B691" s="78"/>
      <c r="C691" s="189"/>
      <c r="D691" s="185"/>
      <c r="E691" s="186"/>
      <c r="F691" s="187"/>
    </row>
    <row r="692" spans="1:6" x14ac:dyDescent="0.2">
      <c r="A692" s="275"/>
      <c r="B692" s="78"/>
      <c r="C692" s="189"/>
      <c r="D692" s="185"/>
      <c r="E692" s="186"/>
      <c r="F692" s="187"/>
    </row>
    <row r="693" spans="1:6" x14ac:dyDescent="0.2">
      <c r="A693" s="275"/>
      <c r="B693" s="78"/>
      <c r="C693" s="189"/>
      <c r="D693" s="185"/>
      <c r="E693" s="186"/>
      <c r="F693" s="187"/>
    </row>
    <row r="694" spans="1:6" x14ac:dyDescent="0.2">
      <c r="A694" s="275"/>
      <c r="B694" s="78"/>
      <c r="C694" s="189"/>
      <c r="D694" s="185"/>
      <c r="E694" s="186"/>
      <c r="F694" s="187"/>
    </row>
    <row r="695" spans="1:6" x14ac:dyDescent="0.2">
      <c r="A695" s="275"/>
      <c r="B695" s="78"/>
      <c r="C695" s="189"/>
      <c r="D695" s="185"/>
      <c r="E695" s="186"/>
      <c r="F695" s="187"/>
    </row>
    <row r="696" spans="1:6" x14ac:dyDescent="0.2">
      <c r="A696" s="275"/>
      <c r="B696" s="78"/>
      <c r="C696" s="189"/>
      <c r="D696" s="185"/>
      <c r="E696" s="186"/>
      <c r="F696" s="187"/>
    </row>
    <row r="697" spans="1:6" x14ac:dyDescent="0.2">
      <c r="A697" s="275"/>
      <c r="B697" s="78"/>
      <c r="C697" s="189"/>
      <c r="D697" s="185"/>
      <c r="E697" s="186"/>
      <c r="F697" s="187"/>
    </row>
    <row r="698" spans="1:6" x14ac:dyDescent="0.2">
      <c r="A698" s="275"/>
      <c r="B698" s="78"/>
      <c r="C698" s="189"/>
      <c r="D698" s="185"/>
      <c r="E698" s="186"/>
      <c r="F698" s="187"/>
    </row>
    <row r="699" spans="1:6" x14ac:dyDescent="0.2">
      <c r="A699" s="275"/>
      <c r="B699" s="78"/>
      <c r="C699" s="189"/>
      <c r="D699" s="185"/>
      <c r="E699" s="186"/>
      <c r="F699" s="187"/>
    </row>
    <row r="700" spans="1:6" x14ac:dyDescent="0.2">
      <c r="A700" s="275"/>
      <c r="B700" s="78"/>
      <c r="C700" s="189"/>
      <c r="D700" s="185"/>
      <c r="E700" s="186"/>
      <c r="F700" s="187"/>
    </row>
    <row r="701" spans="1:6" x14ac:dyDescent="0.2">
      <c r="A701" s="275"/>
      <c r="B701" s="78"/>
      <c r="C701" s="189"/>
      <c r="D701" s="185"/>
      <c r="E701" s="186"/>
      <c r="F701" s="187"/>
    </row>
    <row r="702" spans="1:6" x14ac:dyDescent="0.2">
      <c r="A702" s="275"/>
      <c r="B702" s="78"/>
      <c r="C702" s="189"/>
      <c r="D702" s="185"/>
      <c r="E702" s="186"/>
      <c r="F702" s="187"/>
    </row>
    <row r="703" spans="1:6" x14ac:dyDescent="0.2">
      <c r="A703" s="275"/>
      <c r="B703" s="78"/>
      <c r="C703" s="189"/>
      <c r="D703" s="185"/>
      <c r="E703" s="186"/>
      <c r="F703" s="187"/>
    </row>
    <row r="704" spans="1:6" x14ac:dyDescent="0.2">
      <c r="A704" s="275"/>
      <c r="B704" s="78"/>
      <c r="C704" s="189"/>
      <c r="D704" s="185"/>
      <c r="E704" s="186"/>
      <c r="F704" s="187"/>
    </row>
    <row r="705" spans="1:6" x14ac:dyDescent="0.2">
      <c r="A705" s="275"/>
      <c r="B705" s="78"/>
      <c r="C705" s="189"/>
      <c r="D705" s="185"/>
      <c r="E705" s="186"/>
      <c r="F705" s="187"/>
    </row>
    <row r="706" spans="1:6" x14ac:dyDescent="0.2">
      <c r="A706" s="275"/>
      <c r="B706" s="78"/>
      <c r="C706" s="189"/>
      <c r="D706" s="185"/>
      <c r="E706" s="186"/>
      <c r="F706" s="187"/>
    </row>
    <row r="707" spans="1:6" x14ac:dyDescent="0.2">
      <c r="A707" s="275"/>
      <c r="B707" s="78"/>
      <c r="C707" s="189"/>
      <c r="D707" s="185"/>
      <c r="E707" s="186"/>
      <c r="F707" s="187"/>
    </row>
    <row r="708" spans="1:6" x14ac:dyDescent="0.2">
      <c r="A708" s="275"/>
      <c r="B708" s="78"/>
      <c r="C708" s="189"/>
      <c r="D708" s="185"/>
      <c r="E708" s="186"/>
      <c r="F708" s="187"/>
    </row>
    <row r="709" spans="1:6" x14ac:dyDescent="0.2">
      <c r="A709" s="275"/>
      <c r="B709" s="78"/>
      <c r="C709" s="189"/>
      <c r="D709" s="185"/>
      <c r="E709" s="186"/>
      <c r="F709" s="187"/>
    </row>
    <row r="710" spans="1:6" x14ac:dyDescent="0.2">
      <c r="A710" s="275"/>
      <c r="B710" s="78"/>
      <c r="C710" s="189"/>
      <c r="D710" s="185"/>
      <c r="E710" s="186"/>
      <c r="F710" s="187"/>
    </row>
    <row r="711" spans="1:6" x14ac:dyDescent="0.2">
      <c r="A711" s="275"/>
      <c r="B711" s="78"/>
      <c r="C711" s="189"/>
      <c r="D711" s="185"/>
      <c r="E711" s="186"/>
      <c r="F711" s="187"/>
    </row>
    <row r="712" spans="1:6" x14ac:dyDescent="0.2">
      <c r="A712" s="275"/>
      <c r="B712" s="78"/>
      <c r="C712" s="189"/>
      <c r="D712" s="185"/>
      <c r="E712" s="186"/>
      <c r="F712" s="187"/>
    </row>
    <row r="713" spans="1:6" x14ac:dyDescent="0.2">
      <c r="A713" s="275"/>
      <c r="B713" s="78"/>
      <c r="C713" s="189"/>
      <c r="D713" s="185"/>
      <c r="E713" s="186"/>
      <c r="F713" s="187"/>
    </row>
    <row r="714" spans="1:6" x14ac:dyDescent="0.2">
      <c r="A714" s="275"/>
      <c r="B714" s="78"/>
      <c r="C714" s="189"/>
      <c r="D714" s="185"/>
      <c r="E714" s="186"/>
      <c r="F714" s="187"/>
    </row>
    <row r="715" spans="1:6" x14ac:dyDescent="0.2">
      <c r="A715" s="275"/>
      <c r="B715" s="78"/>
      <c r="C715" s="189"/>
      <c r="D715" s="185"/>
      <c r="E715" s="186"/>
      <c r="F715" s="187"/>
    </row>
    <row r="716" spans="1:6" x14ac:dyDescent="0.2">
      <c r="A716" s="275"/>
      <c r="B716" s="78"/>
      <c r="C716" s="189"/>
      <c r="D716" s="185"/>
      <c r="E716" s="186"/>
      <c r="F716" s="187"/>
    </row>
    <row r="717" spans="1:6" x14ac:dyDescent="0.2">
      <c r="A717" s="275"/>
      <c r="B717" s="78"/>
      <c r="C717" s="189"/>
      <c r="D717" s="185"/>
      <c r="E717" s="186"/>
      <c r="F717" s="187"/>
    </row>
    <row r="718" spans="1:6" x14ac:dyDescent="0.2">
      <c r="A718" s="275"/>
      <c r="B718" s="78"/>
      <c r="C718" s="189"/>
      <c r="D718" s="185"/>
      <c r="E718" s="186"/>
      <c r="F718" s="187"/>
    </row>
    <row r="719" spans="1:6" x14ac:dyDescent="0.2">
      <c r="A719" s="275"/>
      <c r="B719" s="78"/>
      <c r="C719" s="189"/>
      <c r="D719" s="185"/>
      <c r="E719" s="186"/>
      <c r="F719" s="187"/>
    </row>
    <row r="720" spans="1:6" x14ac:dyDescent="0.2">
      <c r="A720" s="275"/>
      <c r="B720" s="78"/>
      <c r="C720" s="189"/>
      <c r="D720" s="185"/>
      <c r="E720" s="186"/>
      <c r="F720" s="187"/>
    </row>
    <row r="721" spans="1:6" x14ac:dyDescent="0.2">
      <c r="A721" s="275"/>
      <c r="B721" s="78"/>
      <c r="C721" s="189"/>
      <c r="D721" s="185"/>
      <c r="E721" s="186"/>
      <c r="F721" s="187"/>
    </row>
    <row r="722" spans="1:6" x14ac:dyDescent="0.2">
      <c r="A722" s="275"/>
      <c r="B722" s="78"/>
      <c r="C722" s="189"/>
      <c r="D722" s="185"/>
      <c r="E722" s="186"/>
      <c r="F722" s="187"/>
    </row>
    <row r="723" spans="1:6" x14ac:dyDescent="0.2">
      <c r="A723" s="275"/>
      <c r="B723" s="78"/>
      <c r="C723" s="189"/>
      <c r="D723" s="185"/>
      <c r="E723" s="186"/>
      <c r="F723" s="187"/>
    </row>
    <row r="724" spans="1:6" x14ac:dyDescent="0.2">
      <c r="A724" s="275"/>
      <c r="B724" s="78"/>
      <c r="C724" s="189"/>
      <c r="D724" s="185"/>
      <c r="E724" s="186"/>
      <c r="F724" s="187"/>
    </row>
    <row r="725" spans="1:6" x14ac:dyDescent="0.2">
      <c r="A725" s="275"/>
      <c r="B725" s="78"/>
      <c r="C725" s="189"/>
      <c r="D725" s="185"/>
      <c r="E725" s="186"/>
      <c r="F725" s="187"/>
    </row>
    <row r="726" spans="1:6" x14ac:dyDescent="0.2">
      <c r="A726" s="275"/>
      <c r="B726" s="78"/>
      <c r="C726" s="189"/>
      <c r="D726" s="185"/>
      <c r="E726" s="186"/>
      <c r="F726" s="187"/>
    </row>
    <row r="727" spans="1:6" x14ac:dyDescent="0.2">
      <c r="A727" s="275"/>
      <c r="B727" s="78"/>
      <c r="C727" s="189"/>
      <c r="D727" s="185"/>
      <c r="E727" s="186"/>
      <c r="F727" s="187"/>
    </row>
    <row r="728" spans="1:6" x14ac:dyDescent="0.2">
      <c r="A728" s="275"/>
      <c r="B728" s="78"/>
      <c r="C728" s="189"/>
      <c r="D728" s="185"/>
      <c r="E728" s="186"/>
      <c r="F728" s="187"/>
    </row>
    <row r="729" spans="1:6" x14ac:dyDescent="0.2">
      <c r="A729" s="275"/>
      <c r="B729" s="78"/>
      <c r="C729" s="189"/>
      <c r="D729" s="185"/>
      <c r="E729" s="186"/>
      <c r="F729" s="187"/>
    </row>
    <row r="730" spans="1:6" x14ac:dyDescent="0.2">
      <c r="A730" s="275"/>
      <c r="B730" s="78"/>
      <c r="C730" s="189"/>
      <c r="D730" s="185"/>
      <c r="E730" s="186"/>
      <c r="F730" s="187"/>
    </row>
    <row r="731" spans="1:6" x14ac:dyDescent="0.2">
      <c r="A731" s="275"/>
      <c r="B731" s="78"/>
      <c r="C731" s="189"/>
      <c r="D731" s="185"/>
      <c r="E731" s="186"/>
      <c r="F731" s="187"/>
    </row>
    <row r="732" spans="1:6" x14ac:dyDescent="0.2">
      <c r="A732" s="275"/>
      <c r="B732" s="78"/>
      <c r="C732" s="189"/>
      <c r="D732" s="185"/>
      <c r="E732" s="186"/>
      <c r="F732" s="187"/>
    </row>
    <row r="733" spans="1:6" x14ac:dyDescent="0.2">
      <c r="A733" s="275"/>
      <c r="B733" s="78"/>
      <c r="C733" s="189"/>
      <c r="D733" s="185"/>
      <c r="E733" s="186"/>
      <c r="F733" s="187"/>
    </row>
    <row r="734" spans="1:6" x14ac:dyDescent="0.2">
      <c r="A734" s="275"/>
      <c r="B734" s="78"/>
      <c r="C734" s="189"/>
      <c r="D734" s="185"/>
      <c r="E734" s="186"/>
      <c r="F734" s="187"/>
    </row>
    <row r="735" spans="1:6" x14ac:dyDescent="0.2">
      <c r="A735" s="275"/>
      <c r="B735" s="78"/>
      <c r="C735" s="189"/>
      <c r="D735" s="185"/>
      <c r="E735" s="186"/>
      <c r="F735" s="187"/>
    </row>
    <row r="736" spans="1:6" x14ac:dyDescent="0.2">
      <c r="A736" s="275"/>
      <c r="B736" s="78"/>
      <c r="C736" s="189"/>
      <c r="D736" s="185"/>
      <c r="E736" s="186"/>
      <c r="F736" s="187"/>
    </row>
    <row r="737" spans="1:6" x14ac:dyDescent="0.2">
      <c r="A737" s="275"/>
      <c r="B737" s="78"/>
      <c r="C737" s="189"/>
      <c r="D737" s="185"/>
      <c r="E737" s="186"/>
      <c r="F737" s="187"/>
    </row>
    <row r="738" spans="1:6" x14ac:dyDescent="0.2">
      <c r="A738" s="275"/>
      <c r="B738" s="78"/>
      <c r="C738" s="189"/>
      <c r="D738" s="185"/>
      <c r="E738" s="186"/>
      <c r="F738" s="187"/>
    </row>
    <row r="739" spans="1:6" x14ac:dyDescent="0.2">
      <c r="A739" s="275"/>
      <c r="B739" s="78"/>
      <c r="C739" s="189"/>
      <c r="D739" s="185"/>
      <c r="E739" s="186"/>
      <c r="F739" s="187"/>
    </row>
    <row r="740" spans="1:6" x14ac:dyDescent="0.2">
      <c r="A740" s="275"/>
      <c r="B740" s="78"/>
      <c r="C740" s="189"/>
      <c r="D740" s="185"/>
      <c r="E740" s="186"/>
      <c r="F740" s="187"/>
    </row>
    <row r="741" spans="1:6" x14ac:dyDescent="0.2">
      <c r="A741" s="275"/>
      <c r="B741" s="78"/>
      <c r="C741" s="189"/>
      <c r="D741" s="185"/>
      <c r="E741" s="186"/>
      <c r="F741" s="187"/>
    </row>
    <row r="742" spans="1:6" x14ac:dyDescent="0.2">
      <c r="A742" s="275"/>
      <c r="B742" s="78"/>
      <c r="C742" s="189"/>
      <c r="D742" s="185"/>
      <c r="E742" s="186"/>
      <c r="F742" s="187"/>
    </row>
    <row r="743" spans="1:6" x14ac:dyDescent="0.2">
      <c r="A743" s="275"/>
      <c r="B743" s="78"/>
      <c r="C743" s="189"/>
      <c r="D743" s="185"/>
      <c r="E743" s="186"/>
      <c r="F743" s="187"/>
    </row>
    <row r="744" spans="1:6" x14ac:dyDescent="0.2">
      <c r="A744" s="275"/>
      <c r="B744" s="78"/>
      <c r="C744" s="189"/>
      <c r="D744" s="185"/>
      <c r="E744" s="186"/>
      <c r="F744" s="187"/>
    </row>
    <row r="745" spans="1:6" x14ac:dyDescent="0.2">
      <c r="A745" s="275"/>
      <c r="B745" s="78"/>
      <c r="C745" s="189"/>
      <c r="D745" s="185"/>
      <c r="E745" s="186"/>
      <c r="F745" s="187"/>
    </row>
    <row r="746" spans="1:6" x14ac:dyDescent="0.2">
      <c r="A746" s="275"/>
      <c r="B746" s="78"/>
      <c r="C746" s="189"/>
      <c r="D746" s="185"/>
      <c r="E746" s="186"/>
      <c r="F746" s="187"/>
    </row>
    <row r="747" spans="1:6" x14ac:dyDescent="0.2">
      <c r="A747" s="275"/>
      <c r="B747" s="78"/>
      <c r="C747" s="189"/>
      <c r="D747" s="185"/>
      <c r="E747" s="186"/>
      <c r="F747" s="187"/>
    </row>
    <row r="748" spans="1:6" x14ac:dyDescent="0.2">
      <c r="A748" s="275"/>
      <c r="B748" s="78"/>
      <c r="C748" s="189"/>
      <c r="D748" s="185"/>
      <c r="E748" s="186"/>
      <c r="F748" s="187"/>
    </row>
    <row r="749" spans="1:6" x14ac:dyDescent="0.2">
      <c r="A749" s="275"/>
      <c r="B749" s="78"/>
      <c r="C749" s="189"/>
      <c r="D749" s="185"/>
      <c r="E749" s="186"/>
      <c r="F749" s="187"/>
    </row>
    <row r="750" spans="1:6" x14ac:dyDescent="0.2">
      <c r="A750" s="275"/>
      <c r="B750" s="78"/>
      <c r="C750" s="189"/>
      <c r="D750" s="185"/>
      <c r="E750" s="186"/>
      <c r="F750" s="187"/>
    </row>
    <row r="751" spans="1:6" x14ac:dyDescent="0.2">
      <c r="A751" s="275"/>
      <c r="B751" s="78"/>
      <c r="C751" s="189"/>
      <c r="D751" s="185"/>
      <c r="E751" s="186"/>
      <c r="F751" s="187"/>
    </row>
    <row r="752" spans="1:6" x14ac:dyDescent="0.2">
      <c r="A752" s="275"/>
      <c r="B752" s="78"/>
      <c r="C752" s="189"/>
      <c r="D752" s="185"/>
      <c r="E752" s="186"/>
      <c r="F752" s="187"/>
    </row>
    <row r="753" spans="1:6" x14ac:dyDescent="0.2">
      <c r="A753" s="275"/>
      <c r="B753" s="78"/>
      <c r="C753" s="189"/>
      <c r="D753" s="185"/>
      <c r="E753" s="186"/>
      <c r="F753" s="187"/>
    </row>
    <row r="754" spans="1:6" x14ac:dyDescent="0.2">
      <c r="A754" s="275"/>
      <c r="B754" s="78"/>
      <c r="C754" s="189"/>
      <c r="D754" s="185"/>
      <c r="E754" s="186"/>
      <c r="F754" s="187"/>
    </row>
    <row r="755" spans="1:6" x14ac:dyDescent="0.2">
      <c r="A755" s="275"/>
      <c r="B755" s="78"/>
      <c r="C755" s="189"/>
      <c r="D755" s="185"/>
      <c r="E755" s="186"/>
      <c r="F755" s="187"/>
    </row>
    <row r="756" spans="1:6" x14ac:dyDescent="0.2">
      <c r="A756" s="275"/>
      <c r="B756" s="78"/>
      <c r="C756" s="189"/>
      <c r="D756" s="185"/>
      <c r="E756" s="186"/>
      <c r="F756" s="187"/>
    </row>
    <row r="757" spans="1:6" x14ac:dyDescent="0.2">
      <c r="A757" s="275"/>
      <c r="B757" s="78"/>
      <c r="C757" s="189"/>
      <c r="D757" s="185"/>
      <c r="E757" s="186"/>
      <c r="F757" s="187"/>
    </row>
    <row r="758" spans="1:6" x14ac:dyDescent="0.2">
      <c r="A758" s="275"/>
      <c r="B758" s="78"/>
      <c r="C758" s="189"/>
      <c r="D758" s="185"/>
      <c r="E758" s="186"/>
      <c r="F758" s="187"/>
    </row>
    <row r="759" spans="1:6" x14ac:dyDescent="0.2">
      <c r="A759" s="275"/>
      <c r="B759" s="78"/>
      <c r="C759" s="189"/>
      <c r="D759" s="185"/>
      <c r="E759" s="186"/>
      <c r="F759" s="187"/>
    </row>
    <row r="760" spans="1:6" x14ac:dyDescent="0.2">
      <c r="A760" s="275"/>
      <c r="B760" s="78"/>
      <c r="C760" s="189"/>
      <c r="D760" s="185"/>
      <c r="E760" s="186"/>
      <c r="F760" s="187"/>
    </row>
    <row r="761" spans="1:6" x14ac:dyDescent="0.2">
      <c r="A761" s="275"/>
      <c r="B761" s="78"/>
      <c r="C761" s="189"/>
      <c r="D761" s="185"/>
      <c r="E761" s="186"/>
      <c r="F761" s="187"/>
    </row>
    <row r="762" spans="1:6" x14ac:dyDescent="0.2">
      <c r="A762" s="275"/>
      <c r="B762" s="78"/>
      <c r="C762" s="189"/>
      <c r="D762" s="185"/>
      <c r="E762" s="186"/>
      <c r="F762" s="187"/>
    </row>
    <row r="763" spans="1:6" x14ac:dyDescent="0.2">
      <c r="A763" s="275"/>
      <c r="B763" s="78"/>
      <c r="C763" s="189"/>
      <c r="D763" s="185"/>
      <c r="E763" s="186"/>
      <c r="F763" s="187"/>
    </row>
    <row r="764" spans="1:6" x14ac:dyDescent="0.2">
      <c r="A764" s="275"/>
      <c r="B764" s="78"/>
      <c r="C764" s="189"/>
      <c r="D764" s="185"/>
      <c r="E764" s="186"/>
      <c r="F764" s="187"/>
    </row>
    <row r="765" spans="1:6" x14ac:dyDescent="0.2">
      <c r="A765" s="275"/>
      <c r="B765" s="78"/>
      <c r="C765" s="189"/>
      <c r="D765" s="185"/>
      <c r="E765" s="186"/>
      <c r="F765" s="187"/>
    </row>
    <row r="766" spans="1:6" x14ac:dyDescent="0.2">
      <c r="A766" s="275"/>
      <c r="B766" s="78"/>
      <c r="C766" s="189"/>
      <c r="D766" s="185"/>
      <c r="E766" s="186"/>
      <c r="F766" s="187"/>
    </row>
    <row r="767" spans="1:6" x14ac:dyDescent="0.2">
      <c r="A767" s="275"/>
      <c r="B767" s="78"/>
      <c r="C767" s="189"/>
      <c r="D767" s="185"/>
      <c r="E767" s="186"/>
      <c r="F767" s="187"/>
    </row>
    <row r="768" spans="1:6" x14ac:dyDescent="0.2">
      <c r="A768" s="275"/>
      <c r="B768" s="78"/>
      <c r="C768" s="189"/>
      <c r="D768" s="185"/>
      <c r="E768" s="186"/>
      <c r="F768" s="187"/>
    </row>
    <row r="769" spans="1:6" x14ac:dyDescent="0.2">
      <c r="A769" s="275"/>
      <c r="B769" s="78"/>
      <c r="C769" s="189"/>
      <c r="D769" s="185"/>
      <c r="E769" s="186"/>
      <c r="F769" s="187"/>
    </row>
    <row r="770" spans="1:6" x14ac:dyDescent="0.2">
      <c r="A770" s="275"/>
      <c r="B770" s="78"/>
      <c r="C770" s="189"/>
      <c r="D770" s="185"/>
      <c r="E770" s="186"/>
      <c r="F770" s="187"/>
    </row>
    <row r="771" spans="1:6" x14ac:dyDescent="0.2">
      <c r="A771" s="275"/>
      <c r="B771" s="78"/>
      <c r="C771" s="189"/>
      <c r="D771" s="185"/>
      <c r="E771" s="186"/>
      <c r="F771" s="187"/>
    </row>
    <row r="772" spans="1:6" x14ac:dyDescent="0.2">
      <c r="A772" s="275"/>
      <c r="B772" s="78"/>
      <c r="C772" s="189"/>
      <c r="D772" s="185"/>
      <c r="E772" s="186"/>
      <c r="F772" s="187"/>
    </row>
    <row r="773" spans="1:6" x14ac:dyDescent="0.2">
      <c r="A773" s="275"/>
      <c r="B773" s="78"/>
      <c r="C773" s="189"/>
      <c r="D773" s="185"/>
      <c r="E773" s="186"/>
      <c r="F773" s="187"/>
    </row>
    <row r="774" spans="1:6" x14ac:dyDescent="0.2">
      <c r="A774" s="275"/>
      <c r="B774" s="78"/>
      <c r="C774" s="189"/>
      <c r="D774" s="185"/>
      <c r="E774" s="186"/>
      <c r="F774" s="187"/>
    </row>
    <row r="775" spans="1:6" x14ac:dyDescent="0.2">
      <c r="A775" s="275"/>
      <c r="B775" s="78"/>
      <c r="C775" s="189"/>
      <c r="D775" s="185"/>
      <c r="E775" s="186"/>
      <c r="F775" s="187"/>
    </row>
    <row r="776" spans="1:6" x14ac:dyDescent="0.2">
      <c r="A776" s="275"/>
      <c r="B776" s="78"/>
      <c r="C776" s="189"/>
      <c r="D776" s="185"/>
      <c r="E776" s="186"/>
      <c r="F776" s="187"/>
    </row>
    <row r="777" spans="1:6" x14ac:dyDescent="0.2">
      <c r="A777" s="275"/>
      <c r="B777" s="78"/>
      <c r="C777" s="189"/>
      <c r="D777" s="185"/>
      <c r="E777" s="186"/>
      <c r="F777" s="187"/>
    </row>
    <row r="778" spans="1:6" x14ac:dyDescent="0.2">
      <c r="A778" s="275"/>
      <c r="B778" s="78"/>
      <c r="C778" s="189"/>
      <c r="D778" s="185"/>
      <c r="E778" s="186"/>
      <c r="F778" s="187"/>
    </row>
    <row r="779" spans="1:6" x14ac:dyDescent="0.2">
      <c r="A779" s="275"/>
      <c r="B779" s="78"/>
      <c r="C779" s="189"/>
      <c r="D779" s="185"/>
      <c r="E779" s="186"/>
      <c r="F779" s="187"/>
    </row>
    <row r="780" spans="1:6" x14ac:dyDescent="0.2">
      <c r="A780" s="275"/>
      <c r="B780" s="78"/>
      <c r="C780" s="189"/>
      <c r="D780" s="185"/>
      <c r="E780" s="186"/>
      <c r="F780" s="187"/>
    </row>
    <row r="781" spans="1:6" x14ac:dyDescent="0.2">
      <c r="A781" s="275"/>
      <c r="B781" s="78"/>
      <c r="C781" s="189"/>
      <c r="D781" s="185"/>
      <c r="E781" s="186"/>
      <c r="F781" s="187"/>
    </row>
    <row r="782" spans="1:6" x14ac:dyDescent="0.2">
      <c r="A782" s="275"/>
      <c r="B782" s="78"/>
      <c r="C782" s="189"/>
      <c r="D782" s="185"/>
      <c r="E782" s="186"/>
      <c r="F782" s="187"/>
    </row>
    <row r="783" spans="1:6" x14ac:dyDescent="0.2">
      <c r="A783" s="275"/>
      <c r="B783" s="78"/>
      <c r="C783" s="189"/>
      <c r="D783" s="185"/>
      <c r="E783" s="186"/>
      <c r="F783" s="187"/>
    </row>
    <row r="784" spans="1:6" x14ac:dyDescent="0.2">
      <c r="A784" s="275"/>
      <c r="B784" s="78"/>
      <c r="C784" s="189"/>
      <c r="D784" s="185"/>
      <c r="E784" s="186"/>
      <c r="F784" s="187"/>
    </row>
    <row r="785" spans="1:6" x14ac:dyDescent="0.2">
      <c r="A785" s="275"/>
      <c r="B785" s="78"/>
      <c r="C785" s="189"/>
      <c r="D785" s="185"/>
      <c r="E785" s="186"/>
      <c r="F785" s="187"/>
    </row>
    <row r="786" spans="1:6" x14ac:dyDescent="0.2">
      <c r="A786" s="275"/>
      <c r="B786" s="78"/>
      <c r="C786" s="189"/>
      <c r="D786" s="185"/>
      <c r="E786" s="186"/>
      <c r="F786" s="187"/>
    </row>
    <row r="787" spans="1:6" x14ac:dyDescent="0.2">
      <c r="A787" s="275"/>
      <c r="B787" s="78"/>
      <c r="C787" s="189"/>
      <c r="D787" s="185"/>
      <c r="E787" s="186"/>
      <c r="F787" s="187"/>
    </row>
    <row r="788" spans="1:6" x14ac:dyDescent="0.2">
      <c r="A788" s="275"/>
      <c r="B788" s="78"/>
      <c r="C788" s="189"/>
      <c r="D788" s="185"/>
      <c r="E788" s="186"/>
      <c r="F788" s="187"/>
    </row>
    <row r="789" spans="1:6" x14ac:dyDescent="0.2">
      <c r="A789" s="275"/>
      <c r="B789" s="78"/>
      <c r="C789" s="189"/>
      <c r="D789" s="185"/>
      <c r="E789" s="186"/>
      <c r="F789" s="187"/>
    </row>
    <row r="790" spans="1:6" x14ac:dyDescent="0.2">
      <c r="A790" s="275"/>
      <c r="B790" s="78"/>
      <c r="C790" s="189"/>
      <c r="D790" s="185"/>
      <c r="E790" s="186"/>
      <c r="F790" s="187"/>
    </row>
    <row r="791" spans="1:6" x14ac:dyDescent="0.2">
      <c r="A791" s="275"/>
      <c r="B791" s="78"/>
      <c r="C791" s="189"/>
      <c r="D791" s="185"/>
      <c r="E791" s="186"/>
      <c r="F791" s="187"/>
    </row>
    <row r="792" spans="1:6" x14ac:dyDescent="0.2">
      <c r="A792" s="275"/>
      <c r="B792" s="78"/>
      <c r="C792" s="189"/>
      <c r="D792" s="185"/>
      <c r="E792" s="186"/>
      <c r="F792" s="187"/>
    </row>
    <row r="793" spans="1:6" x14ac:dyDescent="0.2">
      <c r="A793" s="275"/>
      <c r="B793" s="78"/>
      <c r="C793" s="189"/>
      <c r="D793" s="185"/>
      <c r="E793" s="186"/>
      <c r="F793" s="187"/>
    </row>
    <row r="794" spans="1:6" x14ac:dyDescent="0.2">
      <c r="A794" s="275"/>
      <c r="B794" s="78"/>
      <c r="C794" s="189"/>
      <c r="D794" s="185"/>
      <c r="E794" s="186"/>
      <c r="F794" s="187"/>
    </row>
    <row r="795" spans="1:6" x14ac:dyDescent="0.2">
      <c r="A795" s="275"/>
      <c r="B795" s="78"/>
      <c r="C795" s="189"/>
      <c r="D795" s="185"/>
      <c r="E795" s="186"/>
      <c r="F795" s="187"/>
    </row>
    <row r="796" spans="1:6" x14ac:dyDescent="0.2">
      <c r="A796" s="275"/>
      <c r="B796" s="78"/>
      <c r="C796" s="189"/>
      <c r="D796" s="185"/>
      <c r="E796" s="186"/>
      <c r="F796" s="187"/>
    </row>
    <row r="797" spans="1:6" x14ac:dyDescent="0.2">
      <c r="A797" s="275"/>
      <c r="B797" s="78"/>
      <c r="C797" s="189"/>
      <c r="D797" s="185"/>
      <c r="E797" s="186"/>
      <c r="F797" s="187"/>
    </row>
    <row r="798" spans="1:6" x14ac:dyDescent="0.2">
      <c r="A798" s="275"/>
      <c r="B798" s="78"/>
      <c r="C798" s="189"/>
      <c r="D798" s="185"/>
      <c r="E798" s="186"/>
      <c r="F798" s="187"/>
    </row>
    <row r="799" spans="1:6" x14ac:dyDescent="0.2">
      <c r="A799" s="275"/>
      <c r="B799" s="78"/>
      <c r="C799" s="189"/>
      <c r="D799" s="185"/>
      <c r="E799" s="186"/>
      <c r="F799" s="187"/>
    </row>
    <row r="800" spans="1:6" x14ac:dyDescent="0.2">
      <c r="A800" s="275"/>
      <c r="B800" s="78"/>
      <c r="C800" s="189"/>
      <c r="D800" s="185"/>
      <c r="E800" s="186"/>
      <c r="F800" s="187"/>
    </row>
    <row r="801" spans="1:6" x14ac:dyDescent="0.2">
      <c r="A801" s="275"/>
      <c r="B801" s="78"/>
      <c r="C801" s="189"/>
      <c r="D801" s="185"/>
      <c r="E801" s="186"/>
      <c r="F801" s="187"/>
    </row>
    <row r="802" spans="1:6" x14ac:dyDescent="0.2">
      <c r="A802" s="275"/>
      <c r="B802" s="78"/>
      <c r="C802" s="189"/>
      <c r="D802" s="185"/>
      <c r="E802" s="186"/>
      <c r="F802" s="187"/>
    </row>
    <row r="803" spans="1:6" x14ac:dyDescent="0.2">
      <c r="A803" s="275"/>
      <c r="B803" s="78"/>
      <c r="C803" s="189"/>
      <c r="D803" s="185"/>
      <c r="E803" s="186"/>
      <c r="F803" s="187"/>
    </row>
    <row r="804" spans="1:6" x14ac:dyDescent="0.2">
      <c r="A804" s="275"/>
      <c r="B804" s="78"/>
      <c r="C804" s="189"/>
      <c r="D804" s="185"/>
      <c r="E804" s="186"/>
      <c r="F804" s="187"/>
    </row>
    <row r="805" spans="1:6" x14ac:dyDescent="0.2">
      <c r="A805" s="275"/>
      <c r="B805" s="78"/>
      <c r="C805" s="189"/>
      <c r="D805" s="185"/>
      <c r="E805" s="186"/>
      <c r="F805" s="187"/>
    </row>
    <row r="806" spans="1:6" x14ac:dyDescent="0.2">
      <c r="A806" s="275"/>
      <c r="B806" s="78"/>
      <c r="C806" s="189"/>
      <c r="D806" s="185"/>
      <c r="E806" s="186"/>
      <c r="F806" s="187"/>
    </row>
    <row r="807" spans="1:6" x14ac:dyDescent="0.2">
      <c r="A807" s="275"/>
      <c r="B807" s="78"/>
      <c r="C807" s="189"/>
      <c r="D807" s="185"/>
      <c r="E807" s="186"/>
      <c r="F807" s="187"/>
    </row>
    <row r="808" spans="1:6" x14ac:dyDescent="0.2">
      <c r="A808" s="275"/>
      <c r="B808" s="78"/>
      <c r="C808" s="189"/>
      <c r="D808" s="185"/>
      <c r="E808" s="186"/>
      <c r="F808" s="187"/>
    </row>
    <row r="809" spans="1:6" x14ac:dyDescent="0.2">
      <c r="A809" s="275"/>
      <c r="B809" s="78"/>
      <c r="C809" s="189"/>
      <c r="D809" s="185"/>
      <c r="E809" s="186"/>
      <c r="F809" s="187"/>
    </row>
    <row r="810" spans="1:6" x14ac:dyDescent="0.2">
      <c r="A810" s="275"/>
      <c r="B810" s="78"/>
      <c r="C810" s="189"/>
      <c r="D810" s="185"/>
      <c r="E810" s="186"/>
      <c r="F810" s="187"/>
    </row>
    <row r="811" spans="1:6" x14ac:dyDescent="0.2">
      <c r="A811" s="275"/>
      <c r="B811" s="78"/>
      <c r="C811" s="189"/>
      <c r="D811" s="185"/>
      <c r="E811" s="186"/>
      <c r="F811" s="187"/>
    </row>
    <row r="812" spans="1:6" x14ac:dyDescent="0.2">
      <c r="A812" s="275"/>
      <c r="B812" s="78"/>
      <c r="C812" s="189"/>
      <c r="D812" s="185"/>
      <c r="E812" s="186"/>
      <c r="F812" s="187"/>
    </row>
    <row r="813" spans="1:6" x14ac:dyDescent="0.2">
      <c r="A813" s="275"/>
      <c r="B813" s="78"/>
      <c r="C813" s="189"/>
      <c r="D813" s="185"/>
      <c r="E813" s="186"/>
      <c r="F813" s="187"/>
    </row>
    <row r="814" spans="1:6" x14ac:dyDescent="0.2">
      <c r="A814" s="275"/>
      <c r="B814" s="78"/>
      <c r="C814" s="189"/>
      <c r="D814" s="185"/>
      <c r="E814" s="186"/>
      <c r="F814" s="187"/>
    </row>
    <row r="815" spans="1:6" x14ac:dyDescent="0.2">
      <c r="A815" s="275"/>
      <c r="B815" s="78"/>
      <c r="C815" s="189"/>
      <c r="D815" s="185"/>
      <c r="E815" s="186"/>
      <c r="F815" s="187"/>
    </row>
    <row r="816" spans="1:6" x14ac:dyDescent="0.2">
      <c r="A816" s="275"/>
      <c r="B816" s="78"/>
      <c r="C816" s="189"/>
      <c r="D816" s="185"/>
      <c r="E816" s="186"/>
      <c r="F816" s="187"/>
    </row>
    <row r="817" spans="1:6" x14ac:dyDescent="0.2">
      <c r="A817" s="275"/>
      <c r="B817" s="78"/>
      <c r="C817" s="189"/>
      <c r="D817" s="185"/>
      <c r="E817" s="186"/>
      <c r="F817" s="187"/>
    </row>
    <row r="818" spans="1:6" x14ac:dyDescent="0.2">
      <c r="A818" s="275"/>
      <c r="B818" s="78"/>
      <c r="C818" s="189"/>
      <c r="D818" s="185"/>
      <c r="E818" s="186"/>
      <c r="F818" s="187"/>
    </row>
    <row r="819" spans="1:6" x14ac:dyDescent="0.2">
      <c r="A819" s="275"/>
      <c r="B819" s="78"/>
      <c r="C819" s="189"/>
      <c r="D819" s="185"/>
      <c r="E819" s="186"/>
      <c r="F819" s="187"/>
    </row>
    <row r="820" spans="1:6" x14ac:dyDescent="0.2">
      <c r="A820" s="275"/>
      <c r="B820" s="78"/>
      <c r="C820" s="189"/>
      <c r="D820" s="185"/>
      <c r="E820" s="186"/>
      <c r="F820" s="187"/>
    </row>
    <row r="821" spans="1:6" x14ac:dyDescent="0.2">
      <c r="A821" s="275"/>
      <c r="B821" s="78"/>
      <c r="C821" s="189"/>
      <c r="D821" s="185"/>
      <c r="E821" s="186"/>
      <c r="F821" s="187"/>
    </row>
    <row r="822" spans="1:6" x14ac:dyDescent="0.2">
      <c r="A822" s="275"/>
      <c r="B822" s="78"/>
      <c r="C822" s="189"/>
      <c r="D822" s="185"/>
      <c r="E822" s="186"/>
      <c r="F822" s="187"/>
    </row>
    <row r="823" spans="1:6" x14ac:dyDescent="0.2">
      <c r="A823" s="275"/>
      <c r="B823" s="78"/>
      <c r="C823" s="189"/>
      <c r="D823" s="185"/>
      <c r="E823" s="186"/>
      <c r="F823" s="187"/>
    </row>
    <row r="824" spans="1:6" x14ac:dyDescent="0.2">
      <c r="A824" s="275"/>
      <c r="B824" s="78"/>
      <c r="C824" s="189"/>
      <c r="D824" s="185"/>
      <c r="E824" s="186"/>
      <c r="F824" s="187"/>
    </row>
    <row r="825" spans="1:6" x14ac:dyDescent="0.2">
      <c r="A825" s="275"/>
      <c r="B825" s="78"/>
      <c r="C825" s="189"/>
      <c r="D825" s="185"/>
      <c r="E825" s="186"/>
      <c r="F825" s="187"/>
    </row>
    <row r="826" spans="1:6" x14ac:dyDescent="0.2">
      <c r="A826" s="275"/>
      <c r="B826" s="78"/>
      <c r="C826" s="189"/>
      <c r="D826" s="185"/>
      <c r="E826" s="186"/>
      <c r="F826" s="187"/>
    </row>
    <row r="827" spans="1:6" x14ac:dyDescent="0.2">
      <c r="A827" s="275"/>
      <c r="B827" s="78"/>
      <c r="C827" s="189"/>
      <c r="D827" s="185"/>
      <c r="E827" s="186"/>
      <c r="F827" s="187"/>
    </row>
    <row r="828" spans="1:6" x14ac:dyDescent="0.2">
      <c r="A828" s="275"/>
      <c r="B828" s="78"/>
      <c r="C828" s="189"/>
      <c r="D828" s="185"/>
      <c r="E828" s="186"/>
      <c r="F828" s="187"/>
    </row>
    <row r="829" spans="1:6" x14ac:dyDescent="0.2">
      <c r="A829" s="275"/>
      <c r="B829" s="78"/>
      <c r="C829" s="189"/>
      <c r="D829" s="185"/>
      <c r="E829" s="186"/>
      <c r="F829" s="187"/>
    </row>
    <row r="830" spans="1:6" x14ac:dyDescent="0.2">
      <c r="A830" s="275"/>
      <c r="B830" s="78"/>
      <c r="C830" s="189"/>
      <c r="D830" s="185"/>
      <c r="E830" s="186"/>
      <c r="F830" s="187"/>
    </row>
    <row r="831" spans="1:6" x14ac:dyDescent="0.2">
      <c r="A831" s="275"/>
      <c r="B831" s="78"/>
      <c r="C831" s="189"/>
      <c r="D831" s="185"/>
      <c r="E831" s="186"/>
      <c r="F831" s="187"/>
    </row>
    <row r="832" spans="1:6" x14ac:dyDescent="0.2">
      <c r="A832" s="275"/>
      <c r="B832" s="78"/>
      <c r="C832" s="189"/>
      <c r="D832" s="185"/>
      <c r="E832" s="186"/>
      <c r="F832" s="187"/>
    </row>
    <row r="833" spans="1:6" x14ac:dyDescent="0.2">
      <c r="A833" s="275"/>
      <c r="B833" s="78"/>
      <c r="C833" s="189"/>
      <c r="D833" s="185"/>
      <c r="E833" s="186"/>
      <c r="F833" s="187"/>
    </row>
    <row r="834" spans="1:6" x14ac:dyDescent="0.2">
      <c r="A834" s="275"/>
      <c r="B834" s="78"/>
      <c r="C834" s="189"/>
      <c r="D834" s="185"/>
      <c r="E834" s="186"/>
      <c r="F834" s="187"/>
    </row>
    <row r="835" spans="1:6" x14ac:dyDescent="0.2">
      <c r="A835" s="275"/>
      <c r="B835" s="78"/>
      <c r="C835" s="189"/>
      <c r="D835" s="185"/>
      <c r="E835" s="186"/>
      <c r="F835" s="187"/>
    </row>
    <row r="836" spans="1:6" x14ac:dyDescent="0.2">
      <c r="A836" s="275"/>
      <c r="B836" s="78"/>
      <c r="C836" s="189"/>
      <c r="D836" s="185"/>
      <c r="E836" s="186"/>
      <c r="F836" s="187"/>
    </row>
    <row r="837" spans="1:6" x14ac:dyDescent="0.2">
      <c r="A837" s="275"/>
      <c r="B837" s="78"/>
      <c r="C837" s="189"/>
      <c r="D837" s="185"/>
      <c r="E837" s="186"/>
      <c r="F837" s="187"/>
    </row>
    <row r="838" spans="1:6" x14ac:dyDescent="0.2">
      <c r="A838" s="275"/>
      <c r="B838" s="78"/>
      <c r="C838" s="189"/>
      <c r="D838" s="185"/>
      <c r="E838" s="186"/>
      <c r="F838" s="187"/>
    </row>
    <row r="839" spans="1:6" x14ac:dyDescent="0.2">
      <c r="A839" s="275"/>
      <c r="B839" s="78"/>
      <c r="C839" s="189"/>
      <c r="D839" s="185"/>
      <c r="E839" s="186"/>
      <c r="F839" s="187"/>
    </row>
    <row r="840" spans="1:6" x14ac:dyDescent="0.2">
      <c r="A840" s="275"/>
      <c r="B840" s="78"/>
      <c r="C840" s="189"/>
      <c r="D840" s="185"/>
      <c r="E840" s="186"/>
      <c r="F840" s="187"/>
    </row>
    <row r="841" spans="1:6" x14ac:dyDescent="0.2">
      <c r="A841" s="275"/>
      <c r="B841" s="78"/>
      <c r="C841" s="189"/>
      <c r="D841" s="185"/>
      <c r="E841" s="186"/>
      <c r="F841" s="187"/>
    </row>
    <row r="842" spans="1:6" x14ac:dyDescent="0.2">
      <c r="A842" s="275"/>
      <c r="B842" s="78"/>
      <c r="C842" s="189"/>
      <c r="D842" s="185"/>
      <c r="E842" s="186"/>
      <c r="F842" s="187"/>
    </row>
    <row r="843" spans="1:6" x14ac:dyDescent="0.2">
      <c r="A843" s="275"/>
      <c r="B843" s="78"/>
      <c r="C843" s="189"/>
      <c r="D843" s="185"/>
      <c r="E843" s="186"/>
      <c r="F843" s="187"/>
    </row>
    <row r="844" spans="1:6" x14ac:dyDescent="0.2">
      <c r="A844" s="275"/>
      <c r="B844" s="78"/>
      <c r="C844" s="189"/>
      <c r="D844" s="185"/>
      <c r="E844" s="186"/>
      <c r="F844" s="187"/>
    </row>
    <row r="845" spans="1:6" x14ac:dyDescent="0.2">
      <c r="A845" s="275"/>
      <c r="B845" s="78"/>
      <c r="C845" s="189"/>
      <c r="D845" s="185"/>
      <c r="E845" s="186"/>
      <c r="F845" s="187"/>
    </row>
    <row r="846" spans="1:6" x14ac:dyDescent="0.2">
      <c r="A846" s="275"/>
      <c r="B846" s="78"/>
      <c r="C846" s="189"/>
      <c r="D846" s="185"/>
      <c r="E846" s="186"/>
      <c r="F846" s="187"/>
    </row>
    <row r="847" spans="1:6" x14ac:dyDescent="0.2">
      <c r="A847" s="275"/>
      <c r="B847" s="78"/>
      <c r="C847" s="189"/>
      <c r="D847" s="185"/>
      <c r="E847" s="186"/>
      <c r="F847" s="187"/>
    </row>
    <row r="848" spans="1:6" x14ac:dyDescent="0.2">
      <c r="A848" s="275"/>
      <c r="B848" s="78"/>
      <c r="C848" s="189"/>
      <c r="D848" s="185"/>
      <c r="E848" s="186"/>
      <c r="F848" s="187"/>
    </row>
    <row r="849" spans="1:6" x14ac:dyDescent="0.2">
      <c r="A849" s="275"/>
      <c r="B849" s="78"/>
      <c r="C849" s="189"/>
      <c r="D849" s="185"/>
      <c r="E849" s="186"/>
      <c r="F849" s="187"/>
    </row>
    <row r="850" spans="1:6" x14ac:dyDescent="0.2">
      <c r="A850" s="275"/>
      <c r="B850" s="78"/>
      <c r="C850" s="189"/>
      <c r="D850" s="185"/>
      <c r="E850" s="186"/>
      <c r="F850" s="187"/>
    </row>
    <row r="851" spans="1:6" x14ac:dyDescent="0.2">
      <c r="A851" s="275"/>
      <c r="B851" s="78"/>
      <c r="C851" s="189"/>
      <c r="D851" s="185"/>
      <c r="E851" s="186"/>
      <c r="F851" s="187"/>
    </row>
    <row r="852" spans="1:6" x14ac:dyDescent="0.2">
      <c r="A852" s="275"/>
      <c r="B852" s="78"/>
      <c r="C852" s="189"/>
      <c r="D852" s="185"/>
      <c r="E852" s="186"/>
      <c r="F852" s="187"/>
    </row>
    <row r="853" spans="1:6" x14ac:dyDescent="0.2">
      <c r="A853" s="275"/>
      <c r="B853" s="78"/>
      <c r="C853" s="189"/>
      <c r="D853" s="185"/>
      <c r="E853" s="186"/>
      <c r="F853" s="187"/>
    </row>
    <row r="854" spans="1:6" x14ac:dyDescent="0.2">
      <c r="A854" s="275"/>
      <c r="B854" s="78"/>
      <c r="C854" s="189"/>
      <c r="D854" s="185"/>
      <c r="E854" s="186"/>
      <c r="F854" s="187"/>
    </row>
    <row r="855" spans="1:6" x14ac:dyDescent="0.2">
      <c r="A855" s="275"/>
      <c r="B855" s="78"/>
      <c r="C855" s="189"/>
      <c r="D855" s="185"/>
      <c r="E855" s="186"/>
      <c r="F855" s="187"/>
    </row>
    <row r="856" spans="1:6" x14ac:dyDescent="0.2">
      <c r="A856" s="275"/>
      <c r="B856" s="78"/>
      <c r="C856" s="189"/>
      <c r="D856" s="185"/>
      <c r="E856" s="186"/>
      <c r="F856" s="187"/>
    </row>
    <row r="857" spans="1:6" x14ac:dyDescent="0.2">
      <c r="A857" s="275"/>
      <c r="B857" s="78"/>
      <c r="C857" s="189"/>
      <c r="D857" s="185"/>
      <c r="E857" s="186"/>
      <c r="F857" s="187"/>
    </row>
    <row r="858" spans="1:6" x14ac:dyDescent="0.2">
      <c r="A858" s="275"/>
      <c r="B858" s="78"/>
      <c r="C858" s="189"/>
      <c r="D858" s="185"/>
      <c r="E858" s="186"/>
      <c r="F858" s="187"/>
    </row>
    <row r="859" spans="1:6" x14ac:dyDescent="0.2">
      <c r="A859" s="275"/>
      <c r="B859" s="78"/>
      <c r="C859" s="189"/>
      <c r="D859" s="185"/>
      <c r="E859" s="186"/>
      <c r="F859" s="187"/>
    </row>
    <row r="860" spans="1:6" x14ac:dyDescent="0.2">
      <c r="A860" s="275"/>
      <c r="B860" s="78"/>
      <c r="C860" s="189"/>
      <c r="D860" s="185"/>
      <c r="E860" s="186"/>
      <c r="F860" s="187"/>
    </row>
    <row r="861" spans="1:6" x14ac:dyDescent="0.2">
      <c r="A861" s="275"/>
      <c r="B861" s="78"/>
      <c r="C861" s="189"/>
      <c r="D861" s="185"/>
      <c r="E861" s="186"/>
      <c r="F861" s="187"/>
    </row>
    <row r="862" spans="1:6" x14ac:dyDescent="0.2">
      <c r="A862" s="275"/>
      <c r="B862" s="78"/>
      <c r="C862" s="189"/>
      <c r="D862" s="185"/>
      <c r="E862" s="186"/>
      <c r="F862" s="187"/>
    </row>
    <row r="863" spans="1:6" x14ac:dyDescent="0.2">
      <c r="A863" s="275"/>
      <c r="B863" s="78"/>
      <c r="C863" s="189"/>
      <c r="D863" s="185"/>
      <c r="E863" s="186"/>
      <c r="F863" s="187"/>
    </row>
    <row r="864" spans="1:6" x14ac:dyDescent="0.2">
      <c r="A864" s="275"/>
      <c r="B864" s="78"/>
      <c r="C864" s="189"/>
      <c r="D864" s="185"/>
      <c r="E864" s="186"/>
      <c r="F864" s="187"/>
    </row>
    <row r="865" spans="1:6" x14ac:dyDescent="0.2">
      <c r="A865" s="275"/>
      <c r="B865" s="78"/>
      <c r="C865" s="189"/>
      <c r="D865" s="185"/>
      <c r="E865" s="186"/>
      <c r="F865" s="187"/>
    </row>
    <row r="866" spans="1:6" x14ac:dyDescent="0.2">
      <c r="A866" s="275"/>
      <c r="B866" s="78"/>
      <c r="C866" s="189"/>
      <c r="D866" s="185"/>
      <c r="E866" s="186"/>
      <c r="F866" s="187"/>
    </row>
    <row r="867" spans="1:6" x14ac:dyDescent="0.2">
      <c r="A867" s="275"/>
      <c r="B867" s="78"/>
      <c r="C867" s="189"/>
      <c r="D867" s="185"/>
      <c r="E867" s="186"/>
      <c r="F867" s="187"/>
    </row>
    <row r="868" spans="1:6" x14ac:dyDescent="0.2">
      <c r="A868" s="275"/>
      <c r="B868" s="78"/>
      <c r="C868" s="189"/>
      <c r="D868" s="185"/>
      <c r="E868" s="186"/>
      <c r="F868" s="187"/>
    </row>
    <row r="869" spans="1:6" x14ac:dyDescent="0.2">
      <c r="A869" s="275"/>
      <c r="B869" s="78"/>
      <c r="C869" s="189"/>
      <c r="D869" s="185"/>
      <c r="E869" s="186"/>
      <c r="F869" s="187"/>
    </row>
    <row r="870" spans="1:6" x14ac:dyDescent="0.2">
      <c r="A870" s="275"/>
      <c r="B870" s="78"/>
      <c r="C870" s="189"/>
      <c r="D870" s="185"/>
      <c r="E870" s="186"/>
      <c r="F870" s="187"/>
    </row>
    <row r="871" spans="1:6" x14ac:dyDescent="0.2">
      <c r="A871" s="275"/>
      <c r="B871" s="78"/>
      <c r="C871" s="189"/>
      <c r="D871" s="185"/>
      <c r="E871" s="186"/>
      <c r="F871" s="187"/>
    </row>
    <row r="872" spans="1:6" x14ac:dyDescent="0.2">
      <c r="A872" s="275"/>
      <c r="B872" s="78"/>
      <c r="C872" s="189"/>
      <c r="D872" s="185"/>
      <c r="E872" s="186"/>
      <c r="F872" s="187"/>
    </row>
    <row r="873" spans="1:6" x14ac:dyDescent="0.2">
      <c r="A873" s="275"/>
      <c r="B873" s="78"/>
      <c r="C873" s="189"/>
      <c r="D873" s="185"/>
      <c r="E873" s="186"/>
      <c r="F873" s="187"/>
    </row>
    <row r="874" spans="1:6" x14ac:dyDescent="0.2">
      <c r="A874" s="275"/>
      <c r="B874" s="78"/>
      <c r="C874" s="189"/>
      <c r="D874" s="185"/>
      <c r="E874" s="186"/>
      <c r="F874" s="187"/>
    </row>
    <row r="875" spans="1:6" x14ac:dyDescent="0.2">
      <c r="A875" s="275"/>
      <c r="B875" s="78"/>
      <c r="C875" s="189"/>
      <c r="D875" s="185"/>
      <c r="E875" s="186"/>
      <c r="F875" s="187"/>
    </row>
    <row r="876" spans="1:6" x14ac:dyDescent="0.2">
      <c r="A876" s="275"/>
      <c r="B876" s="78"/>
      <c r="C876" s="189"/>
      <c r="D876" s="185"/>
      <c r="E876" s="186"/>
      <c r="F876" s="187"/>
    </row>
    <row r="877" spans="1:6" x14ac:dyDescent="0.2">
      <c r="A877" s="275"/>
      <c r="B877" s="78"/>
      <c r="C877" s="189"/>
      <c r="D877" s="185"/>
      <c r="E877" s="186"/>
      <c r="F877" s="187"/>
    </row>
    <row r="878" spans="1:6" x14ac:dyDescent="0.2">
      <c r="A878" s="275"/>
      <c r="B878" s="78"/>
      <c r="C878" s="189"/>
      <c r="D878" s="185"/>
      <c r="E878" s="186"/>
      <c r="F878" s="187"/>
    </row>
    <row r="879" spans="1:6" x14ac:dyDescent="0.2">
      <c r="A879" s="275"/>
      <c r="B879" s="78"/>
      <c r="C879" s="189"/>
      <c r="D879" s="185"/>
      <c r="E879" s="186"/>
      <c r="F879" s="187"/>
    </row>
    <row r="880" spans="1:6" x14ac:dyDescent="0.2">
      <c r="A880" s="275"/>
      <c r="B880" s="78"/>
      <c r="C880" s="189"/>
      <c r="D880" s="185"/>
      <c r="E880" s="186"/>
      <c r="F880" s="187"/>
    </row>
    <row r="881" spans="1:6" x14ac:dyDescent="0.2">
      <c r="A881" s="275"/>
      <c r="B881" s="78"/>
      <c r="C881" s="189"/>
      <c r="D881" s="185"/>
      <c r="E881" s="186"/>
      <c r="F881" s="187"/>
    </row>
    <row r="882" spans="1:6" x14ac:dyDescent="0.2">
      <c r="A882" s="275"/>
      <c r="B882" s="78"/>
      <c r="C882" s="189"/>
      <c r="D882" s="185"/>
      <c r="E882" s="186"/>
      <c r="F882" s="187"/>
    </row>
    <row r="883" spans="1:6" x14ac:dyDescent="0.2">
      <c r="A883" s="275"/>
      <c r="B883" s="78"/>
      <c r="C883" s="189"/>
      <c r="D883" s="185"/>
      <c r="E883" s="186"/>
      <c r="F883" s="187"/>
    </row>
    <row r="884" spans="1:6" x14ac:dyDescent="0.2">
      <c r="A884" s="275"/>
      <c r="B884" s="78"/>
      <c r="C884" s="189"/>
      <c r="D884" s="185"/>
      <c r="E884" s="186"/>
      <c r="F884" s="187"/>
    </row>
    <row r="885" spans="1:6" x14ac:dyDescent="0.2">
      <c r="A885" s="275"/>
      <c r="B885" s="78"/>
      <c r="C885" s="189"/>
      <c r="D885" s="185"/>
      <c r="E885" s="186"/>
      <c r="F885" s="187"/>
    </row>
    <row r="886" spans="1:6" x14ac:dyDescent="0.2">
      <c r="A886" s="275"/>
      <c r="B886" s="78"/>
      <c r="C886" s="189"/>
      <c r="D886" s="185"/>
      <c r="E886" s="186"/>
      <c r="F886" s="187"/>
    </row>
    <row r="887" spans="1:6" x14ac:dyDescent="0.2">
      <c r="A887" s="275"/>
      <c r="B887" s="78"/>
      <c r="C887" s="189"/>
      <c r="D887" s="185"/>
      <c r="E887" s="186"/>
      <c r="F887" s="187"/>
    </row>
    <row r="888" spans="1:6" x14ac:dyDescent="0.2">
      <c r="A888" s="275"/>
      <c r="B888" s="78"/>
      <c r="C888" s="189"/>
      <c r="D888" s="185"/>
      <c r="E888" s="186"/>
      <c r="F888" s="187"/>
    </row>
    <row r="889" spans="1:6" x14ac:dyDescent="0.2">
      <c r="A889" s="275"/>
      <c r="B889" s="78"/>
      <c r="C889" s="189"/>
      <c r="D889" s="185"/>
      <c r="E889" s="186"/>
      <c r="F889" s="187"/>
    </row>
    <row r="890" spans="1:6" x14ac:dyDescent="0.2">
      <c r="A890" s="275"/>
      <c r="B890" s="78"/>
      <c r="C890" s="189"/>
      <c r="D890" s="185"/>
      <c r="E890" s="186"/>
      <c r="F890" s="187"/>
    </row>
    <row r="891" spans="1:6" x14ac:dyDescent="0.2">
      <c r="A891" s="275"/>
      <c r="B891" s="78"/>
      <c r="C891" s="189"/>
      <c r="D891" s="185"/>
      <c r="E891" s="186"/>
      <c r="F891" s="187"/>
    </row>
    <row r="892" spans="1:6" x14ac:dyDescent="0.2">
      <c r="A892" s="275"/>
      <c r="B892" s="78"/>
      <c r="C892" s="189"/>
      <c r="D892" s="185"/>
      <c r="E892" s="186"/>
      <c r="F892" s="187"/>
    </row>
    <row r="893" spans="1:6" x14ac:dyDescent="0.2">
      <c r="A893" s="275"/>
      <c r="B893" s="78"/>
      <c r="C893" s="189"/>
      <c r="D893" s="185"/>
      <c r="E893" s="186"/>
      <c r="F893" s="187"/>
    </row>
    <row r="894" spans="1:6" x14ac:dyDescent="0.2">
      <c r="A894" s="275"/>
      <c r="B894" s="78"/>
      <c r="C894" s="189"/>
      <c r="D894" s="185"/>
      <c r="E894" s="186"/>
      <c r="F894" s="187"/>
    </row>
    <row r="895" spans="1:6" x14ac:dyDescent="0.2">
      <c r="A895" s="275"/>
      <c r="B895" s="78"/>
      <c r="C895" s="189"/>
      <c r="D895" s="185"/>
      <c r="E895" s="186"/>
      <c r="F895" s="187"/>
    </row>
    <row r="896" spans="1:6" x14ac:dyDescent="0.2">
      <c r="A896" s="275"/>
      <c r="B896" s="78"/>
      <c r="C896" s="189"/>
      <c r="D896" s="185"/>
      <c r="E896" s="186"/>
      <c r="F896" s="187"/>
    </row>
    <row r="897" spans="1:6" x14ac:dyDescent="0.2">
      <c r="A897" s="275"/>
      <c r="B897" s="78"/>
      <c r="C897" s="189"/>
      <c r="D897" s="185"/>
      <c r="E897" s="186"/>
      <c r="F897" s="187"/>
    </row>
    <row r="898" spans="1:6" x14ac:dyDescent="0.2">
      <c r="A898" s="275"/>
      <c r="B898" s="78"/>
      <c r="C898" s="189"/>
      <c r="D898" s="185"/>
      <c r="E898" s="186"/>
      <c r="F898" s="187"/>
    </row>
    <row r="899" spans="1:6" x14ac:dyDescent="0.2">
      <c r="A899" s="275"/>
      <c r="B899" s="78"/>
      <c r="C899" s="189"/>
      <c r="D899" s="185"/>
      <c r="E899" s="186"/>
      <c r="F899" s="187"/>
    </row>
    <row r="900" spans="1:6" x14ac:dyDescent="0.2">
      <c r="A900" s="275"/>
      <c r="B900" s="78"/>
      <c r="C900" s="189"/>
      <c r="D900" s="185"/>
      <c r="E900" s="186"/>
      <c r="F900" s="187"/>
    </row>
    <row r="901" spans="1:6" x14ac:dyDescent="0.2">
      <c r="A901" s="275"/>
      <c r="B901" s="78"/>
      <c r="C901" s="189"/>
      <c r="D901" s="185"/>
      <c r="E901" s="186"/>
      <c r="F901" s="187"/>
    </row>
    <row r="902" spans="1:6" x14ac:dyDescent="0.2">
      <c r="A902" s="275"/>
      <c r="B902" s="78"/>
      <c r="C902" s="189"/>
      <c r="D902" s="185"/>
      <c r="E902" s="186"/>
      <c r="F902" s="187"/>
    </row>
    <row r="903" spans="1:6" x14ac:dyDescent="0.2">
      <c r="A903" s="275"/>
      <c r="B903" s="78"/>
      <c r="C903" s="189"/>
      <c r="D903" s="185"/>
      <c r="E903" s="186"/>
      <c r="F903" s="187"/>
    </row>
    <row r="904" spans="1:6" x14ac:dyDescent="0.2">
      <c r="A904" s="275"/>
      <c r="B904" s="78"/>
      <c r="C904" s="189"/>
      <c r="D904" s="185"/>
      <c r="E904" s="186"/>
      <c r="F904" s="187"/>
    </row>
    <row r="905" spans="1:6" x14ac:dyDescent="0.2">
      <c r="A905" s="275"/>
      <c r="B905" s="78"/>
      <c r="C905" s="189"/>
      <c r="D905" s="185"/>
      <c r="E905" s="186"/>
      <c r="F905" s="187"/>
    </row>
    <row r="906" spans="1:6" x14ac:dyDescent="0.2">
      <c r="A906" s="275"/>
      <c r="B906" s="78"/>
      <c r="C906" s="189"/>
      <c r="D906" s="185"/>
      <c r="E906" s="186"/>
      <c r="F906" s="187"/>
    </row>
    <row r="907" spans="1:6" x14ac:dyDescent="0.2">
      <c r="A907" s="275"/>
      <c r="B907" s="78"/>
      <c r="C907" s="189"/>
      <c r="D907" s="185"/>
      <c r="E907" s="186"/>
      <c r="F907" s="187"/>
    </row>
    <row r="908" spans="1:6" x14ac:dyDescent="0.2">
      <c r="A908" s="275"/>
      <c r="B908" s="78"/>
      <c r="C908" s="189"/>
      <c r="D908" s="185"/>
      <c r="E908" s="186"/>
      <c r="F908" s="187"/>
    </row>
    <row r="909" spans="1:6" x14ac:dyDescent="0.2">
      <c r="A909" s="275"/>
      <c r="B909" s="78"/>
      <c r="C909" s="189"/>
      <c r="D909" s="185"/>
      <c r="E909" s="186"/>
      <c r="F909" s="187"/>
    </row>
    <row r="910" spans="1:6" x14ac:dyDescent="0.2">
      <c r="A910" s="275"/>
      <c r="B910" s="78"/>
      <c r="C910" s="189"/>
      <c r="D910" s="185"/>
      <c r="E910" s="186"/>
      <c r="F910" s="187"/>
    </row>
    <row r="911" spans="1:6" x14ac:dyDescent="0.2">
      <c r="A911" s="275"/>
      <c r="B911" s="78"/>
      <c r="C911" s="189"/>
      <c r="D911" s="185"/>
      <c r="E911" s="186"/>
      <c r="F911" s="187"/>
    </row>
    <row r="912" spans="1:6" x14ac:dyDescent="0.2">
      <c r="A912" s="275"/>
      <c r="B912" s="78"/>
      <c r="C912" s="189"/>
      <c r="D912" s="185"/>
      <c r="E912" s="186"/>
      <c r="F912" s="187"/>
    </row>
    <row r="913" spans="1:6" x14ac:dyDescent="0.2">
      <c r="A913" s="275"/>
      <c r="B913" s="78"/>
      <c r="C913" s="189"/>
      <c r="D913" s="185"/>
      <c r="E913" s="186"/>
      <c r="F913" s="187"/>
    </row>
    <row r="914" spans="1:6" x14ac:dyDescent="0.2">
      <c r="A914" s="275"/>
      <c r="B914" s="78"/>
      <c r="C914" s="189"/>
      <c r="D914" s="185"/>
      <c r="E914" s="186"/>
      <c r="F914" s="187"/>
    </row>
    <row r="915" spans="1:6" x14ac:dyDescent="0.2">
      <c r="A915" s="275"/>
      <c r="B915" s="78"/>
      <c r="C915" s="189"/>
      <c r="D915" s="185"/>
      <c r="E915" s="186"/>
      <c r="F915" s="187"/>
    </row>
    <row r="916" spans="1:6" x14ac:dyDescent="0.2">
      <c r="A916" s="275"/>
      <c r="B916" s="78"/>
      <c r="C916" s="189"/>
      <c r="D916" s="185"/>
      <c r="E916" s="186"/>
      <c r="F916" s="187"/>
    </row>
    <row r="917" spans="1:6" x14ac:dyDescent="0.2">
      <c r="A917" s="275"/>
      <c r="B917" s="78"/>
      <c r="C917" s="189"/>
      <c r="D917" s="185"/>
      <c r="E917" s="186"/>
      <c r="F917" s="187"/>
    </row>
    <row r="918" spans="1:6" x14ac:dyDescent="0.2">
      <c r="A918" s="275"/>
      <c r="B918" s="78"/>
      <c r="C918" s="189"/>
      <c r="D918" s="185"/>
      <c r="E918" s="186"/>
      <c r="F918" s="187"/>
    </row>
    <row r="919" spans="1:6" x14ac:dyDescent="0.2">
      <c r="A919" s="275"/>
      <c r="B919" s="78"/>
      <c r="C919" s="189"/>
      <c r="D919" s="185"/>
      <c r="E919" s="186"/>
      <c r="F919" s="187"/>
    </row>
    <row r="920" spans="1:6" x14ac:dyDescent="0.2">
      <c r="A920" s="275"/>
      <c r="B920" s="78"/>
      <c r="C920" s="189"/>
      <c r="D920" s="185"/>
      <c r="E920" s="186"/>
      <c r="F920" s="187"/>
    </row>
    <row r="921" spans="1:6" x14ac:dyDescent="0.2">
      <c r="A921" s="275"/>
      <c r="B921" s="78"/>
      <c r="C921" s="189"/>
      <c r="D921" s="185"/>
      <c r="E921" s="186"/>
      <c r="F921" s="187"/>
    </row>
    <row r="922" spans="1:6" x14ac:dyDescent="0.2">
      <c r="A922" s="275"/>
      <c r="B922" s="78"/>
      <c r="C922" s="189"/>
      <c r="D922" s="185"/>
      <c r="E922" s="186"/>
      <c r="F922" s="187"/>
    </row>
    <row r="923" spans="1:6" x14ac:dyDescent="0.2">
      <c r="A923" s="275"/>
      <c r="B923" s="78"/>
      <c r="C923" s="189"/>
      <c r="D923" s="185"/>
      <c r="E923" s="186"/>
      <c r="F923" s="187"/>
    </row>
    <row r="924" spans="1:6" x14ac:dyDescent="0.2">
      <c r="A924" s="275"/>
      <c r="B924" s="78"/>
      <c r="C924" s="189"/>
      <c r="D924" s="185"/>
      <c r="E924" s="186"/>
      <c r="F924" s="187"/>
    </row>
    <row r="925" spans="1:6" x14ac:dyDescent="0.2">
      <c r="A925" s="275"/>
      <c r="B925" s="78"/>
      <c r="C925" s="189"/>
      <c r="D925" s="185"/>
      <c r="E925" s="186"/>
      <c r="F925" s="187"/>
    </row>
    <row r="926" spans="1:6" x14ac:dyDescent="0.2">
      <c r="A926" s="275"/>
      <c r="B926" s="78"/>
      <c r="C926" s="189"/>
      <c r="D926" s="185"/>
      <c r="E926" s="186"/>
      <c r="F926" s="187"/>
    </row>
    <row r="927" spans="1:6" x14ac:dyDescent="0.2">
      <c r="A927" s="275"/>
      <c r="B927" s="78"/>
      <c r="C927" s="189"/>
      <c r="D927" s="185"/>
      <c r="E927" s="186"/>
      <c r="F927" s="187"/>
    </row>
    <row r="928" spans="1:6" x14ac:dyDescent="0.2">
      <c r="A928" s="275"/>
      <c r="B928" s="78"/>
      <c r="C928" s="189"/>
      <c r="D928" s="185"/>
      <c r="E928" s="186"/>
      <c r="F928" s="187"/>
    </row>
    <row r="929" spans="1:6" x14ac:dyDescent="0.2">
      <c r="A929" s="275"/>
      <c r="B929" s="78"/>
      <c r="C929" s="189"/>
      <c r="D929" s="185"/>
      <c r="E929" s="186"/>
      <c r="F929" s="187"/>
    </row>
    <row r="930" spans="1:6" x14ac:dyDescent="0.2">
      <c r="A930" s="275"/>
      <c r="B930" s="78"/>
      <c r="C930" s="189"/>
      <c r="D930" s="185"/>
      <c r="E930" s="186"/>
      <c r="F930" s="187"/>
    </row>
    <row r="931" spans="1:6" x14ac:dyDescent="0.2">
      <c r="A931" s="275"/>
      <c r="B931" s="78"/>
      <c r="C931" s="189"/>
      <c r="D931" s="185"/>
      <c r="E931" s="186"/>
      <c r="F931" s="187"/>
    </row>
    <row r="932" spans="1:6" x14ac:dyDescent="0.2">
      <c r="A932" s="275"/>
      <c r="B932" s="78"/>
      <c r="C932" s="189"/>
      <c r="D932" s="185"/>
      <c r="E932" s="186"/>
      <c r="F932" s="187"/>
    </row>
    <row r="933" spans="1:6" x14ac:dyDescent="0.2">
      <c r="A933" s="275"/>
      <c r="B933" s="78"/>
      <c r="C933" s="189"/>
      <c r="D933" s="185"/>
      <c r="E933" s="186"/>
      <c r="F933" s="187"/>
    </row>
    <row r="934" spans="1:6" x14ac:dyDescent="0.2">
      <c r="A934" s="275"/>
      <c r="B934" s="78"/>
      <c r="C934" s="189"/>
      <c r="D934" s="185"/>
      <c r="E934" s="186"/>
      <c r="F934" s="187"/>
    </row>
    <row r="935" spans="1:6" x14ac:dyDescent="0.2">
      <c r="A935" s="275"/>
      <c r="B935" s="78"/>
      <c r="C935" s="189"/>
      <c r="D935" s="185"/>
      <c r="E935" s="186"/>
      <c r="F935" s="187"/>
    </row>
    <row r="936" spans="1:6" x14ac:dyDescent="0.2">
      <c r="A936" s="275"/>
      <c r="B936" s="78"/>
      <c r="C936" s="189"/>
      <c r="D936" s="185"/>
      <c r="E936" s="186"/>
      <c r="F936" s="187"/>
    </row>
    <row r="937" spans="1:6" x14ac:dyDescent="0.2">
      <c r="A937" s="275"/>
      <c r="B937" s="78"/>
      <c r="C937" s="189"/>
      <c r="D937" s="185"/>
      <c r="E937" s="186"/>
      <c r="F937" s="187"/>
    </row>
    <row r="938" spans="1:6" x14ac:dyDescent="0.2">
      <c r="A938" s="275"/>
      <c r="B938" s="78"/>
      <c r="C938" s="189"/>
      <c r="D938" s="185"/>
      <c r="E938" s="186"/>
      <c r="F938" s="187"/>
    </row>
    <row r="939" spans="1:6" x14ac:dyDescent="0.2">
      <c r="A939" s="275"/>
      <c r="B939" s="78"/>
      <c r="C939" s="189"/>
      <c r="D939" s="185"/>
      <c r="E939" s="186"/>
      <c r="F939" s="187"/>
    </row>
    <row r="940" spans="1:6" x14ac:dyDescent="0.2">
      <c r="A940" s="275"/>
      <c r="B940" s="78"/>
      <c r="C940" s="189"/>
      <c r="D940" s="185"/>
      <c r="E940" s="186"/>
      <c r="F940" s="187"/>
    </row>
    <row r="941" spans="1:6" x14ac:dyDescent="0.2">
      <c r="A941" s="275"/>
      <c r="B941" s="78"/>
      <c r="C941" s="189"/>
      <c r="D941" s="185"/>
      <c r="E941" s="186"/>
      <c r="F941" s="187"/>
    </row>
    <row r="942" spans="1:6" x14ac:dyDescent="0.2">
      <c r="A942" s="275"/>
      <c r="B942" s="78"/>
      <c r="C942" s="189"/>
      <c r="D942" s="185"/>
      <c r="E942" s="186"/>
      <c r="F942" s="187"/>
    </row>
    <row r="943" spans="1:6" x14ac:dyDescent="0.2">
      <c r="A943" s="275"/>
      <c r="B943" s="78"/>
      <c r="C943" s="189"/>
      <c r="D943" s="185"/>
      <c r="E943" s="186"/>
      <c r="F943" s="187"/>
    </row>
    <row r="944" spans="1:6" x14ac:dyDescent="0.2">
      <c r="A944" s="275"/>
      <c r="B944" s="78"/>
      <c r="C944" s="189"/>
      <c r="D944" s="185"/>
      <c r="E944" s="186"/>
      <c r="F944" s="187"/>
    </row>
    <row r="945" spans="1:6" x14ac:dyDescent="0.2">
      <c r="A945" s="275"/>
      <c r="B945" s="78"/>
      <c r="C945" s="189"/>
      <c r="D945" s="185"/>
      <c r="E945" s="186"/>
      <c r="F945" s="187"/>
    </row>
    <row r="946" spans="1:6" x14ac:dyDescent="0.2">
      <c r="A946" s="275"/>
      <c r="B946" s="78"/>
      <c r="C946" s="189"/>
      <c r="D946" s="185"/>
      <c r="E946" s="186"/>
      <c r="F946" s="187"/>
    </row>
    <row r="947" spans="1:6" x14ac:dyDescent="0.2">
      <c r="A947" s="275"/>
      <c r="B947" s="78"/>
      <c r="C947" s="189"/>
      <c r="D947" s="185"/>
      <c r="E947" s="186"/>
      <c r="F947" s="187"/>
    </row>
    <row r="948" spans="1:6" x14ac:dyDescent="0.2">
      <c r="A948" s="275"/>
      <c r="B948" s="78"/>
      <c r="C948" s="189"/>
      <c r="D948" s="185"/>
      <c r="E948" s="186"/>
      <c r="F948" s="187"/>
    </row>
    <row r="949" spans="1:6" x14ac:dyDescent="0.2">
      <c r="A949" s="275"/>
      <c r="B949" s="78"/>
      <c r="C949" s="189"/>
      <c r="D949" s="185"/>
      <c r="E949" s="186"/>
      <c r="F949" s="187"/>
    </row>
    <row r="950" spans="1:6" x14ac:dyDescent="0.2">
      <c r="A950" s="275"/>
      <c r="B950" s="78"/>
      <c r="C950" s="189"/>
      <c r="D950" s="185"/>
      <c r="E950" s="186"/>
      <c r="F950" s="187"/>
    </row>
    <row r="951" spans="1:6" x14ac:dyDescent="0.2">
      <c r="A951" s="275"/>
      <c r="B951" s="78"/>
      <c r="C951" s="189"/>
      <c r="D951" s="185"/>
      <c r="E951" s="186"/>
      <c r="F951" s="187"/>
    </row>
    <row r="952" spans="1:6" x14ac:dyDescent="0.2">
      <c r="A952" s="275"/>
      <c r="B952" s="78"/>
      <c r="C952" s="189"/>
      <c r="D952" s="185"/>
      <c r="E952" s="186"/>
      <c r="F952" s="187"/>
    </row>
    <row r="953" spans="1:6" x14ac:dyDescent="0.2">
      <c r="A953" s="275"/>
      <c r="B953" s="78"/>
      <c r="C953" s="189"/>
      <c r="D953" s="185"/>
      <c r="E953" s="186"/>
      <c r="F953" s="187"/>
    </row>
    <row r="954" spans="1:6" x14ac:dyDescent="0.2">
      <c r="A954" s="275"/>
      <c r="B954" s="78"/>
      <c r="C954" s="189"/>
      <c r="D954" s="185"/>
      <c r="E954" s="186"/>
      <c r="F954" s="187"/>
    </row>
    <row r="955" spans="1:6" x14ac:dyDescent="0.2">
      <c r="A955" s="275"/>
      <c r="B955" s="78"/>
      <c r="C955" s="189"/>
      <c r="D955" s="185"/>
      <c r="E955" s="186"/>
      <c r="F955" s="187"/>
    </row>
    <row r="956" spans="1:6" x14ac:dyDescent="0.2">
      <c r="A956" s="275"/>
      <c r="B956" s="78"/>
      <c r="C956" s="189"/>
      <c r="D956" s="185"/>
      <c r="E956" s="186"/>
      <c r="F956" s="187"/>
    </row>
    <row r="957" spans="1:6" x14ac:dyDescent="0.2">
      <c r="A957" s="275"/>
      <c r="B957" s="78"/>
      <c r="C957" s="189"/>
      <c r="D957" s="185"/>
      <c r="E957" s="186"/>
      <c r="F957" s="187"/>
    </row>
    <row r="958" spans="1:6" x14ac:dyDescent="0.2">
      <c r="A958" s="275"/>
      <c r="B958" s="78"/>
      <c r="C958" s="189"/>
      <c r="D958" s="185"/>
      <c r="E958" s="186"/>
      <c r="F958" s="187"/>
    </row>
    <row r="959" spans="1:6" x14ac:dyDescent="0.2">
      <c r="A959" s="275"/>
      <c r="B959" s="78"/>
      <c r="C959" s="189"/>
      <c r="D959" s="185"/>
      <c r="E959" s="186"/>
      <c r="F959" s="187"/>
    </row>
    <row r="960" spans="1:6" x14ac:dyDescent="0.2">
      <c r="A960" s="275"/>
      <c r="B960" s="78"/>
      <c r="C960" s="189"/>
      <c r="D960" s="185"/>
      <c r="E960" s="186"/>
      <c r="F960" s="187"/>
    </row>
    <row r="961" spans="1:6" x14ac:dyDescent="0.2">
      <c r="A961" s="275"/>
      <c r="B961" s="78"/>
      <c r="C961" s="189"/>
      <c r="D961" s="185"/>
      <c r="E961" s="186"/>
      <c r="F961" s="187"/>
    </row>
    <row r="962" spans="1:6" x14ac:dyDescent="0.2">
      <c r="A962" s="275"/>
      <c r="B962" s="78"/>
      <c r="C962" s="189"/>
      <c r="D962" s="185"/>
      <c r="E962" s="186"/>
      <c r="F962" s="187"/>
    </row>
    <row r="963" spans="1:6" x14ac:dyDescent="0.2">
      <c r="A963" s="275"/>
      <c r="B963" s="78"/>
      <c r="C963" s="189"/>
      <c r="D963" s="185"/>
      <c r="E963" s="186"/>
      <c r="F963" s="187"/>
    </row>
    <row r="964" spans="1:6" x14ac:dyDescent="0.2">
      <c r="A964" s="275"/>
      <c r="B964" s="78"/>
      <c r="C964" s="189"/>
      <c r="D964" s="185"/>
      <c r="E964" s="186"/>
      <c r="F964" s="187"/>
    </row>
    <row r="965" spans="1:6" x14ac:dyDescent="0.2">
      <c r="A965" s="275"/>
      <c r="B965" s="78"/>
      <c r="C965" s="189"/>
      <c r="D965" s="185"/>
      <c r="E965" s="186"/>
      <c r="F965" s="187"/>
    </row>
    <row r="966" spans="1:6" x14ac:dyDescent="0.2">
      <c r="A966" s="275"/>
      <c r="B966" s="78"/>
      <c r="C966" s="189"/>
      <c r="D966" s="185"/>
      <c r="E966" s="186"/>
      <c r="F966" s="187"/>
    </row>
    <row r="967" spans="1:6" x14ac:dyDescent="0.2">
      <c r="A967" s="275"/>
      <c r="B967" s="78"/>
      <c r="C967" s="189"/>
      <c r="D967" s="185"/>
      <c r="E967" s="186"/>
      <c r="F967" s="187"/>
    </row>
    <row r="968" spans="1:6" x14ac:dyDescent="0.2">
      <c r="A968" s="275"/>
      <c r="B968" s="78"/>
      <c r="C968" s="189"/>
      <c r="D968" s="185"/>
      <c r="E968" s="186"/>
      <c r="F968" s="187"/>
    </row>
    <row r="969" spans="1:6" x14ac:dyDescent="0.2">
      <c r="A969" s="275"/>
      <c r="B969" s="78"/>
      <c r="C969" s="189"/>
      <c r="D969" s="185"/>
      <c r="E969" s="186"/>
      <c r="F969" s="187"/>
    </row>
    <row r="970" spans="1:6" x14ac:dyDescent="0.2">
      <c r="A970" s="275"/>
      <c r="B970" s="78"/>
      <c r="C970" s="189"/>
      <c r="D970" s="185"/>
      <c r="E970" s="186"/>
      <c r="F970" s="187"/>
    </row>
    <row r="971" spans="1:6" x14ac:dyDescent="0.2">
      <c r="A971" s="275"/>
      <c r="B971" s="78"/>
      <c r="C971" s="189"/>
      <c r="D971" s="185"/>
      <c r="E971" s="186"/>
      <c r="F971" s="187"/>
    </row>
    <row r="972" spans="1:6" x14ac:dyDescent="0.2">
      <c r="A972" s="275"/>
      <c r="B972" s="78"/>
      <c r="C972" s="189"/>
      <c r="D972" s="185"/>
      <c r="E972" s="186"/>
      <c r="F972" s="187"/>
    </row>
    <row r="973" spans="1:6" x14ac:dyDescent="0.2">
      <c r="A973" s="275"/>
      <c r="B973" s="78"/>
      <c r="C973" s="189"/>
      <c r="D973" s="185"/>
      <c r="E973" s="186"/>
      <c r="F973" s="187"/>
    </row>
    <row r="974" spans="1:6" x14ac:dyDescent="0.2">
      <c r="A974" s="275"/>
      <c r="B974" s="78"/>
      <c r="C974" s="189"/>
      <c r="D974" s="185"/>
      <c r="E974" s="186"/>
      <c r="F974" s="187"/>
    </row>
    <row r="975" spans="1:6" x14ac:dyDescent="0.2">
      <c r="A975" s="275"/>
      <c r="B975" s="78"/>
      <c r="C975" s="189"/>
      <c r="D975" s="185"/>
      <c r="E975" s="186"/>
      <c r="F975" s="187"/>
    </row>
    <row r="976" spans="1:6" x14ac:dyDescent="0.2">
      <c r="A976" s="275"/>
      <c r="B976" s="78"/>
      <c r="C976" s="189"/>
      <c r="D976" s="185"/>
      <c r="E976" s="186"/>
      <c r="F976" s="187"/>
    </row>
    <row r="977" spans="1:6" x14ac:dyDescent="0.2">
      <c r="A977" s="275"/>
      <c r="B977" s="78"/>
      <c r="C977" s="189"/>
      <c r="D977" s="185"/>
      <c r="E977" s="186"/>
      <c r="F977" s="187"/>
    </row>
    <row r="978" spans="1:6" x14ac:dyDescent="0.2">
      <c r="A978" s="275"/>
      <c r="B978" s="78"/>
      <c r="C978" s="189"/>
      <c r="D978" s="185"/>
      <c r="E978" s="186"/>
      <c r="F978" s="187"/>
    </row>
    <row r="979" spans="1:6" x14ac:dyDescent="0.2">
      <c r="A979" s="275"/>
      <c r="B979" s="78"/>
      <c r="C979" s="189"/>
      <c r="D979" s="185"/>
      <c r="E979" s="186"/>
      <c r="F979" s="187"/>
    </row>
    <row r="980" spans="1:6" x14ac:dyDescent="0.2">
      <c r="A980" s="275"/>
      <c r="B980" s="78"/>
      <c r="C980" s="189"/>
      <c r="D980" s="185"/>
      <c r="E980" s="186"/>
      <c r="F980" s="187"/>
    </row>
    <row r="981" spans="1:6" x14ac:dyDescent="0.2">
      <c r="A981" s="275"/>
      <c r="B981" s="78"/>
      <c r="C981" s="189"/>
      <c r="D981" s="185"/>
      <c r="E981" s="186"/>
      <c r="F981" s="187"/>
    </row>
    <row r="982" spans="1:6" x14ac:dyDescent="0.2">
      <c r="A982" s="275"/>
      <c r="B982" s="78"/>
      <c r="C982" s="189"/>
      <c r="D982" s="185"/>
      <c r="E982" s="186"/>
      <c r="F982" s="187"/>
    </row>
    <row r="983" spans="1:6" x14ac:dyDescent="0.2">
      <c r="A983" s="275"/>
      <c r="B983" s="78"/>
      <c r="C983" s="189"/>
      <c r="D983" s="185"/>
      <c r="E983" s="186"/>
      <c r="F983" s="187"/>
    </row>
    <row r="984" spans="1:6" x14ac:dyDescent="0.2">
      <c r="A984" s="275"/>
      <c r="B984" s="78"/>
      <c r="C984" s="189"/>
      <c r="D984" s="185"/>
      <c r="E984" s="186"/>
      <c r="F984" s="187"/>
    </row>
    <row r="985" spans="1:6" x14ac:dyDescent="0.2">
      <c r="A985" s="275"/>
      <c r="B985" s="78"/>
      <c r="C985" s="189"/>
      <c r="D985" s="185"/>
      <c r="E985" s="186"/>
      <c r="F985" s="187"/>
    </row>
    <row r="986" spans="1:6" x14ac:dyDescent="0.2">
      <c r="A986" s="275"/>
      <c r="B986" s="78"/>
      <c r="C986" s="189"/>
      <c r="D986" s="185"/>
      <c r="E986" s="186"/>
      <c r="F986" s="187"/>
    </row>
    <row r="987" spans="1:6" x14ac:dyDescent="0.2">
      <c r="A987" s="275"/>
      <c r="B987" s="78"/>
      <c r="C987" s="189"/>
      <c r="D987" s="185"/>
      <c r="E987" s="186"/>
      <c r="F987" s="187"/>
    </row>
    <row r="988" spans="1:6" x14ac:dyDescent="0.2">
      <c r="A988" s="275"/>
      <c r="B988" s="78"/>
      <c r="C988" s="189"/>
      <c r="D988" s="185"/>
      <c r="E988" s="186"/>
      <c r="F988" s="187"/>
    </row>
    <row r="989" spans="1:6" x14ac:dyDescent="0.2">
      <c r="A989" s="275"/>
      <c r="B989" s="78"/>
      <c r="C989" s="189"/>
      <c r="D989" s="185"/>
      <c r="E989" s="186"/>
      <c r="F989" s="187"/>
    </row>
    <row r="990" spans="1:6" x14ac:dyDescent="0.2">
      <c r="A990" s="275"/>
      <c r="B990" s="78"/>
      <c r="C990" s="189"/>
      <c r="D990" s="185"/>
      <c r="E990" s="186"/>
      <c r="F990" s="187"/>
    </row>
    <row r="991" spans="1:6" x14ac:dyDescent="0.2">
      <c r="A991" s="275"/>
      <c r="B991" s="78"/>
      <c r="C991" s="189"/>
      <c r="D991" s="185"/>
      <c r="E991" s="186"/>
      <c r="F991" s="187"/>
    </row>
    <row r="992" spans="1:6" x14ac:dyDescent="0.2">
      <c r="A992" s="275"/>
      <c r="B992" s="78"/>
      <c r="C992" s="189"/>
      <c r="D992" s="185"/>
      <c r="E992" s="186"/>
      <c r="F992" s="187"/>
    </row>
    <row r="993" spans="1:6" x14ac:dyDescent="0.2">
      <c r="A993" s="275"/>
      <c r="B993" s="78"/>
      <c r="C993" s="189"/>
      <c r="D993" s="185"/>
      <c r="E993" s="186"/>
      <c r="F993" s="187"/>
    </row>
    <row r="994" spans="1:6" x14ac:dyDescent="0.2">
      <c r="A994" s="275"/>
      <c r="B994" s="78"/>
      <c r="C994" s="189"/>
      <c r="D994" s="185"/>
      <c r="E994" s="186"/>
      <c r="F994" s="187"/>
    </row>
    <row r="995" spans="1:6" x14ac:dyDescent="0.2">
      <c r="A995" s="275"/>
      <c r="B995" s="78"/>
      <c r="C995" s="189"/>
      <c r="D995" s="185"/>
      <c r="E995" s="186"/>
      <c r="F995" s="187"/>
    </row>
    <row r="996" spans="1:6" x14ac:dyDescent="0.2">
      <c r="A996" s="275"/>
      <c r="B996" s="78"/>
      <c r="C996" s="189"/>
      <c r="D996" s="185"/>
      <c r="E996" s="186"/>
      <c r="F996" s="187"/>
    </row>
    <row r="997" spans="1:6" x14ac:dyDescent="0.2">
      <c r="A997" s="275"/>
      <c r="B997" s="78"/>
      <c r="C997" s="189"/>
      <c r="D997" s="185"/>
      <c r="E997" s="186"/>
      <c r="F997" s="187"/>
    </row>
    <row r="998" spans="1:6" x14ac:dyDescent="0.2">
      <c r="A998" s="275"/>
      <c r="B998" s="78"/>
      <c r="C998" s="189"/>
      <c r="D998" s="185"/>
      <c r="E998" s="186"/>
      <c r="F998" s="187"/>
    </row>
    <row r="999" spans="1:6" x14ac:dyDescent="0.2">
      <c r="A999" s="275"/>
      <c r="B999" s="78"/>
      <c r="C999" s="189"/>
      <c r="D999" s="185"/>
      <c r="E999" s="186"/>
      <c r="F999" s="187"/>
    </row>
    <row r="1000" spans="1:6" x14ac:dyDescent="0.2">
      <c r="A1000" s="275"/>
      <c r="B1000" s="78"/>
      <c r="C1000" s="189"/>
      <c r="D1000" s="185"/>
      <c r="E1000" s="186"/>
      <c r="F1000" s="187"/>
    </row>
    <row r="1001" spans="1:6" x14ac:dyDescent="0.2">
      <c r="A1001" s="275"/>
      <c r="B1001" s="78"/>
      <c r="C1001" s="189"/>
      <c r="D1001" s="185"/>
      <c r="E1001" s="186"/>
      <c r="F1001" s="187"/>
    </row>
    <row r="1002" spans="1:6" x14ac:dyDescent="0.2">
      <c r="A1002" s="275"/>
      <c r="B1002" s="78"/>
      <c r="C1002" s="189"/>
      <c r="D1002" s="185"/>
      <c r="E1002" s="186"/>
      <c r="F1002" s="187"/>
    </row>
    <row r="1003" spans="1:6" x14ac:dyDescent="0.2">
      <c r="A1003" s="275"/>
      <c r="B1003" s="78"/>
      <c r="C1003" s="189"/>
      <c r="D1003" s="185"/>
      <c r="E1003" s="186"/>
      <c r="F1003" s="187"/>
    </row>
    <row r="1004" spans="1:6" x14ac:dyDescent="0.2">
      <c r="A1004" s="275"/>
      <c r="B1004" s="78"/>
      <c r="C1004" s="189"/>
      <c r="D1004" s="185"/>
      <c r="E1004" s="186"/>
      <c r="F1004" s="187"/>
    </row>
    <row r="1005" spans="1:6" x14ac:dyDescent="0.2">
      <c r="A1005" s="275"/>
      <c r="B1005" s="78"/>
      <c r="C1005" s="189"/>
      <c r="D1005" s="185"/>
      <c r="E1005" s="186"/>
      <c r="F1005" s="187"/>
    </row>
    <row r="1006" spans="1:6" x14ac:dyDescent="0.2">
      <c r="A1006" s="275"/>
      <c r="B1006" s="78"/>
      <c r="C1006" s="189"/>
      <c r="D1006" s="185"/>
      <c r="E1006" s="186"/>
      <c r="F1006" s="187"/>
    </row>
    <row r="1007" spans="1:6" x14ac:dyDescent="0.2">
      <c r="A1007" s="275"/>
      <c r="B1007" s="78"/>
      <c r="C1007" s="189"/>
      <c r="D1007" s="185"/>
      <c r="E1007" s="186"/>
      <c r="F1007" s="187"/>
    </row>
    <row r="1008" spans="1:6" x14ac:dyDescent="0.2">
      <c r="A1008" s="275"/>
      <c r="B1008" s="78"/>
      <c r="C1008" s="189"/>
      <c r="D1008" s="185"/>
      <c r="E1008" s="186"/>
      <c r="F1008" s="187"/>
    </row>
    <row r="1009" spans="1:6" x14ac:dyDescent="0.2">
      <c r="A1009" s="275"/>
      <c r="B1009" s="78"/>
      <c r="C1009" s="189"/>
      <c r="D1009" s="185"/>
      <c r="E1009" s="186"/>
      <c r="F1009" s="187"/>
    </row>
    <row r="1010" spans="1:6" x14ac:dyDescent="0.2">
      <c r="A1010" s="275"/>
      <c r="B1010" s="78"/>
      <c r="C1010" s="189"/>
      <c r="D1010" s="185"/>
      <c r="E1010" s="186"/>
      <c r="F1010" s="187"/>
    </row>
    <row r="1011" spans="1:6" x14ac:dyDescent="0.2">
      <c r="A1011" s="275"/>
      <c r="B1011" s="78"/>
      <c r="C1011" s="189"/>
      <c r="D1011" s="185"/>
      <c r="E1011" s="186"/>
      <c r="F1011" s="187"/>
    </row>
    <row r="1012" spans="1:6" x14ac:dyDescent="0.2">
      <c r="A1012" s="275"/>
      <c r="B1012" s="78"/>
      <c r="C1012" s="189"/>
      <c r="D1012" s="185"/>
      <c r="E1012" s="186"/>
      <c r="F1012" s="187"/>
    </row>
    <row r="1013" spans="1:6" x14ac:dyDescent="0.2">
      <c r="A1013" s="275"/>
      <c r="B1013" s="78"/>
      <c r="C1013" s="189"/>
      <c r="D1013" s="185"/>
      <c r="E1013" s="186"/>
      <c r="F1013" s="187"/>
    </row>
    <row r="1014" spans="1:6" x14ac:dyDescent="0.2">
      <c r="A1014" s="275"/>
      <c r="B1014" s="78"/>
      <c r="C1014" s="189"/>
      <c r="D1014" s="185"/>
      <c r="E1014" s="186"/>
      <c r="F1014" s="187"/>
    </row>
    <row r="1015" spans="1:6" x14ac:dyDescent="0.2">
      <c r="A1015" s="275"/>
      <c r="B1015" s="78"/>
      <c r="C1015" s="189"/>
      <c r="D1015" s="185"/>
      <c r="E1015" s="186"/>
      <c r="F1015" s="187"/>
    </row>
    <row r="1016" spans="1:6" x14ac:dyDescent="0.2">
      <c r="A1016" s="275"/>
      <c r="B1016" s="78"/>
      <c r="C1016" s="189"/>
      <c r="D1016" s="185"/>
      <c r="E1016" s="186"/>
      <c r="F1016" s="187"/>
    </row>
    <row r="1017" spans="1:6" x14ac:dyDescent="0.2">
      <c r="A1017" s="275"/>
      <c r="B1017" s="78"/>
      <c r="C1017" s="189"/>
      <c r="D1017" s="185"/>
      <c r="E1017" s="186"/>
      <c r="F1017" s="187"/>
    </row>
    <row r="1018" spans="1:6" x14ac:dyDescent="0.2">
      <c r="A1018" s="275"/>
      <c r="B1018" s="78"/>
      <c r="C1018" s="189"/>
      <c r="D1018" s="185"/>
      <c r="E1018" s="186"/>
      <c r="F1018" s="187"/>
    </row>
    <row r="1019" spans="1:6" x14ac:dyDescent="0.2">
      <c r="A1019" s="275"/>
      <c r="B1019" s="78"/>
      <c r="C1019" s="189"/>
      <c r="D1019" s="185"/>
      <c r="E1019" s="186"/>
      <c r="F1019" s="187"/>
    </row>
    <row r="1020" spans="1:6" x14ac:dyDescent="0.2">
      <c r="A1020" s="275"/>
      <c r="B1020" s="78"/>
      <c r="C1020" s="189"/>
      <c r="D1020" s="185"/>
      <c r="E1020" s="186"/>
      <c r="F1020" s="187"/>
    </row>
    <row r="1021" spans="1:6" x14ac:dyDescent="0.2">
      <c r="A1021" s="275"/>
      <c r="B1021" s="78"/>
      <c r="C1021" s="189"/>
      <c r="D1021" s="185"/>
      <c r="E1021" s="186"/>
      <c r="F1021" s="187"/>
    </row>
    <row r="1022" spans="1:6" x14ac:dyDescent="0.2">
      <c r="A1022" s="275"/>
      <c r="B1022" s="78"/>
      <c r="C1022" s="189"/>
      <c r="D1022" s="185"/>
      <c r="E1022" s="186"/>
      <c r="F1022" s="187"/>
    </row>
    <row r="1023" spans="1:6" x14ac:dyDescent="0.2">
      <c r="A1023" s="275"/>
      <c r="B1023" s="78"/>
      <c r="C1023" s="189"/>
      <c r="D1023" s="185"/>
      <c r="E1023" s="186"/>
      <c r="F1023" s="187"/>
    </row>
    <row r="1024" spans="1:6" x14ac:dyDescent="0.2">
      <c r="A1024" s="275"/>
      <c r="B1024" s="78"/>
      <c r="C1024" s="189"/>
      <c r="D1024" s="185"/>
      <c r="E1024" s="186"/>
      <c r="F1024" s="187"/>
    </row>
    <row r="1025" spans="1:6" x14ac:dyDescent="0.2">
      <c r="A1025" s="275"/>
      <c r="B1025" s="78"/>
      <c r="C1025" s="189"/>
      <c r="D1025" s="185"/>
      <c r="E1025" s="186"/>
      <c r="F1025" s="187"/>
    </row>
    <row r="1026" spans="1:6" x14ac:dyDescent="0.2">
      <c r="A1026" s="275"/>
      <c r="B1026" s="78"/>
      <c r="C1026" s="189"/>
      <c r="D1026" s="185"/>
      <c r="E1026" s="186"/>
      <c r="F1026" s="187"/>
    </row>
    <row r="1027" spans="1:6" x14ac:dyDescent="0.2">
      <c r="A1027" s="275"/>
      <c r="B1027" s="78"/>
      <c r="C1027" s="189"/>
      <c r="D1027" s="185"/>
      <c r="E1027" s="186"/>
      <c r="F1027" s="187"/>
    </row>
    <row r="1028" spans="1:6" x14ac:dyDescent="0.2">
      <c r="A1028" s="275"/>
      <c r="B1028" s="78"/>
      <c r="C1028" s="189"/>
      <c r="D1028" s="185"/>
      <c r="E1028" s="186"/>
      <c r="F1028" s="187"/>
    </row>
    <row r="1029" spans="1:6" x14ac:dyDescent="0.2">
      <c r="A1029" s="275"/>
      <c r="B1029" s="78"/>
      <c r="C1029" s="189"/>
      <c r="D1029" s="185"/>
      <c r="E1029" s="186"/>
      <c r="F1029" s="187"/>
    </row>
    <row r="1030" spans="1:6" x14ac:dyDescent="0.2">
      <c r="A1030" s="275"/>
      <c r="B1030" s="78"/>
      <c r="C1030" s="189"/>
      <c r="D1030" s="185"/>
      <c r="E1030" s="186"/>
      <c r="F1030" s="187"/>
    </row>
    <row r="1031" spans="1:6" x14ac:dyDescent="0.2">
      <c r="A1031" s="275"/>
      <c r="B1031" s="78"/>
      <c r="C1031" s="189"/>
      <c r="D1031" s="185"/>
      <c r="E1031" s="186"/>
      <c r="F1031" s="187"/>
    </row>
    <row r="1032" spans="1:6" x14ac:dyDescent="0.2">
      <c r="A1032" s="275"/>
      <c r="B1032" s="78"/>
      <c r="C1032" s="189"/>
      <c r="D1032" s="185"/>
      <c r="E1032" s="186"/>
      <c r="F1032" s="187"/>
    </row>
    <row r="1033" spans="1:6" x14ac:dyDescent="0.2">
      <c r="A1033" s="275"/>
      <c r="B1033" s="78"/>
      <c r="C1033" s="189"/>
      <c r="D1033" s="185"/>
      <c r="E1033" s="186"/>
      <c r="F1033" s="187"/>
    </row>
    <row r="1034" spans="1:6" x14ac:dyDescent="0.2">
      <c r="A1034" s="275"/>
      <c r="B1034" s="78"/>
      <c r="C1034" s="189"/>
      <c r="D1034" s="185"/>
      <c r="E1034" s="186"/>
      <c r="F1034" s="187"/>
    </row>
    <row r="1035" spans="1:6" x14ac:dyDescent="0.2">
      <c r="A1035" s="275"/>
      <c r="B1035" s="78"/>
      <c r="C1035" s="189"/>
      <c r="D1035" s="185"/>
      <c r="E1035" s="186"/>
      <c r="F1035" s="187"/>
    </row>
    <row r="1036" spans="1:6" x14ac:dyDescent="0.2">
      <c r="A1036" s="275"/>
      <c r="B1036" s="78"/>
      <c r="C1036" s="189"/>
      <c r="D1036" s="185"/>
      <c r="E1036" s="186"/>
      <c r="F1036" s="187"/>
    </row>
    <row r="1037" spans="1:6" x14ac:dyDescent="0.2">
      <c r="A1037" s="275"/>
      <c r="B1037" s="78"/>
      <c r="C1037" s="189"/>
      <c r="D1037" s="185"/>
      <c r="E1037" s="186"/>
      <c r="F1037" s="187"/>
    </row>
    <row r="1038" spans="1:6" x14ac:dyDescent="0.2">
      <c r="A1038" s="275"/>
      <c r="B1038" s="78"/>
      <c r="C1038" s="189"/>
      <c r="D1038" s="185"/>
      <c r="E1038" s="186"/>
      <c r="F1038" s="187"/>
    </row>
    <row r="1039" spans="1:6" x14ac:dyDescent="0.2">
      <c r="A1039" s="275"/>
      <c r="B1039" s="78"/>
      <c r="C1039" s="189"/>
      <c r="D1039" s="185"/>
      <c r="E1039" s="186"/>
      <c r="F1039" s="187"/>
    </row>
    <row r="1040" spans="1:6" x14ac:dyDescent="0.2">
      <c r="A1040" s="275"/>
      <c r="B1040" s="78"/>
      <c r="C1040" s="189"/>
      <c r="D1040" s="185"/>
      <c r="E1040" s="186"/>
      <c r="F1040" s="187"/>
    </row>
    <row r="1041" spans="1:6" x14ac:dyDescent="0.2">
      <c r="A1041" s="275"/>
      <c r="B1041" s="78"/>
      <c r="C1041" s="189"/>
      <c r="D1041" s="185"/>
      <c r="E1041" s="186"/>
      <c r="F1041" s="187"/>
    </row>
    <row r="1042" spans="1:6" x14ac:dyDescent="0.2">
      <c r="A1042" s="275"/>
      <c r="B1042" s="78"/>
      <c r="C1042" s="189"/>
      <c r="D1042" s="185"/>
      <c r="E1042" s="186"/>
      <c r="F1042" s="187"/>
    </row>
    <row r="1043" spans="1:6" x14ac:dyDescent="0.2">
      <c r="A1043" s="275"/>
      <c r="B1043" s="78"/>
      <c r="C1043" s="189"/>
      <c r="D1043" s="185"/>
      <c r="E1043" s="186"/>
      <c r="F1043" s="187"/>
    </row>
    <row r="1044" spans="1:6" x14ac:dyDescent="0.2">
      <c r="A1044" s="275"/>
      <c r="B1044" s="78"/>
      <c r="C1044" s="189"/>
      <c r="D1044" s="185"/>
      <c r="E1044" s="186"/>
      <c r="F1044" s="187"/>
    </row>
    <row r="1045" spans="1:6" x14ac:dyDescent="0.2">
      <c r="A1045" s="275"/>
      <c r="B1045" s="78"/>
      <c r="C1045" s="189"/>
      <c r="D1045" s="185"/>
      <c r="E1045" s="186"/>
      <c r="F1045" s="187"/>
    </row>
    <row r="1046" spans="1:6" x14ac:dyDescent="0.2">
      <c r="A1046" s="275"/>
      <c r="B1046" s="78"/>
      <c r="C1046" s="189"/>
      <c r="D1046" s="185"/>
      <c r="E1046" s="186"/>
      <c r="F1046" s="187"/>
    </row>
    <row r="1047" spans="1:6" x14ac:dyDescent="0.2">
      <c r="A1047" s="275"/>
      <c r="B1047" s="78"/>
      <c r="C1047" s="189"/>
      <c r="D1047" s="185"/>
      <c r="E1047" s="186"/>
      <c r="F1047" s="187"/>
    </row>
    <row r="1048" spans="1:6" x14ac:dyDescent="0.2">
      <c r="A1048" s="275"/>
      <c r="B1048" s="78"/>
      <c r="C1048" s="189"/>
      <c r="D1048" s="185"/>
      <c r="E1048" s="186"/>
      <c r="F1048" s="187"/>
    </row>
    <row r="1049" spans="1:6" x14ac:dyDescent="0.2">
      <c r="A1049" s="275"/>
      <c r="B1049" s="78"/>
      <c r="C1049" s="189"/>
      <c r="D1049" s="185"/>
      <c r="E1049" s="186"/>
      <c r="F1049" s="187"/>
    </row>
    <row r="1050" spans="1:6" x14ac:dyDescent="0.2">
      <c r="A1050" s="275"/>
      <c r="B1050" s="78"/>
      <c r="C1050" s="189"/>
      <c r="D1050" s="185"/>
      <c r="E1050" s="186"/>
      <c r="F1050" s="187"/>
    </row>
    <row r="1051" spans="1:6" x14ac:dyDescent="0.2">
      <c r="A1051" s="275"/>
      <c r="B1051" s="78"/>
      <c r="C1051" s="189"/>
      <c r="D1051" s="185"/>
      <c r="E1051" s="186"/>
      <c r="F1051" s="187"/>
    </row>
    <row r="1052" spans="1:6" x14ac:dyDescent="0.2">
      <c r="A1052" s="275"/>
      <c r="B1052" s="78"/>
      <c r="C1052" s="189"/>
      <c r="D1052" s="185"/>
      <c r="E1052" s="186"/>
      <c r="F1052" s="187"/>
    </row>
    <row r="1053" spans="1:6" x14ac:dyDescent="0.2">
      <c r="A1053" s="275"/>
      <c r="B1053" s="78"/>
      <c r="C1053" s="189"/>
      <c r="D1053" s="185"/>
      <c r="E1053" s="186"/>
      <c r="F1053" s="187"/>
    </row>
    <row r="1054" spans="1:6" x14ac:dyDescent="0.2">
      <c r="A1054" s="275"/>
      <c r="B1054" s="78"/>
      <c r="C1054" s="189"/>
      <c r="D1054" s="185"/>
      <c r="E1054" s="186"/>
      <c r="F1054" s="187"/>
    </row>
    <row r="1055" spans="1:6" x14ac:dyDescent="0.2">
      <c r="A1055" s="275"/>
      <c r="B1055" s="78"/>
      <c r="C1055" s="189"/>
      <c r="D1055" s="185"/>
      <c r="E1055" s="186"/>
      <c r="F1055" s="187"/>
    </row>
    <row r="1056" spans="1:6" x14ac:dyDescent="0.2">
      <c r="A1056" s="275"/>
      <c r="B1056" s="78"/>
      <c r="C1056" s="189"/>
      <c r="D1056" s="185"/>
      <c r="E1056" s="186"/>
      <c r="F1056" s="187"/>
    </row>
    <row r="1057" spans="1:6" x14ac:dyDescent="0.2">
      <c r="A1057" s="275"/>
      <c r="B1057" s="78"/>
      <c r="C1057" s="189"/>
      <c r="D1057" s="185"/>
      <c r="E1057" s="186"/>
      <c r="F1057" s="187"/>
    </row>
    <row r="1058" spans="1:6" x14ac:dyDescent="0.2">
      <c r="A1058" s="275"/>
      <c r="B1058" s="78"/>
      <c r="C1058" s="189"/>
      <c r="D1058" s="185"/>
      <c r="E1058" s="186"/>
      <c r="F1058" s="187"/>
    </row>
    <row r="1059" spans="1:6" x14ac:dyDescent="0.2">
      <c r="A1059" s="275"/>
      <c r="B1059" s="78"/>
      <c r="C1059" s="189"/>
      <c r="D1059" s="185"/>
      <c r="E1059" s="186"/>
      <c r="F1059" s="187"/>
    </row>
    <row r="1060" spans="1:6" x14ac:dyDescent="0.2">
      <c r="A1060" s="275"/>
      <c r="B1060" s="78"/>
      <c r="C1060" s="189"/>
      <c r="D1060" s="185"/>
      <c r="E1060" s="186"/>
      <c r="F1060" s="187"/>
    </row>
    <row r="1061" spans="1:6" x14ac:dyDescent="0.2">
      <c r="A1061" s="275"/>
      <c r="B1061" s="78"/>
      <c r="C1061" s="189"/>
      <c r="D1061" s="185"/>
      <c r="E1061" s="186"/>
      <c r="F1061" s="187"/>
    </row>
    <row r="1062" spans="1:6" x14ac:dyDescent="0.2">
      <c r="A1062" s="275"/>
      <c r="B1062" s="78"/>
      <c r="C1062" s="189"/>
      <c r="D1062" s="185"/>
      <c r="E1062" s="186"/>
      <c r="F1062" s="187"/>
    </row>
    <row r="1063" spans="1:6" x14ac:dyDescent="0.2">
      <c r="A1063" s="275"/>
      <c r="B1063" s="78"/>
      <c r="C1063" s="189"/>
      <c r="D1063" s="185"/>
      <c r="E1063" s="186"/>
      <c r="F1063" s="187"/>
    </row>
    <row r="1064" spans="1:6" x14ac:dyDescent="0.2">
      <c r="A1064" s="275"/>
      <c r="B1064" s="78"/>
      <c r="C1064" s="189"/>
      <c r="D1064" s="185"/>
      <c r="E1064" s="186"/>
      <c r="F1064" s="187"/>
    </row>
    <row r="1065" spans="1:6" x14ac:dyDescent="0.2">
      <c r="A1065" s="275"/>
      <c r="B1065" s="78"/>
      <c r="C1065" s="189"/>
      <c r="D1065" s="185"/>
      <c r="E1065" s="186"/>
      <c r="F1065" s="187"/>
    </row>
    <row r="1066" spans="1:6" x14ac:dyDescent="0.2">
      <c r="A1066" s="275"/>
      <c r="B1066" s="78"/>
      <c r="C1066" s="189"/>
      <c r="D1066" s="185"/>
      <c r="E1066" s="186"/>
      <c r="F1066" s="187"/>
    </row>
    <row r="1067" spans="1:6" x14ac:dyDescent="0.2">
      <c r="A1067" s="275"/>
      <c r="B1067" s="78"/>
      <c r="C1067" s="189"/>
      <c r="D1067" s="185"/>
      <c r="E1067" s="186"/>
      <c r="F1067" s="187"/>
    </row>
    <row r="1068" spans="1:6" x14ac:dyDescent="0.2">
      <c r="A1068" s="275"/>
      <c r="B1068" s="78"/>
      <c r="C1068" s="189"/>
      <c r="D1068" s="185"/>
      <c r="E1068" s="186"/>
      <c r="F1068" s="187"/>
    </row>
    <row r="1069" spans="1:6" x14ac:dyDescent="0.2">
      <c r="A1069" s="275"/>
      <c r="B1069" s="78"/>
      <c r="C1069" s="189"/>
      <c r="D1069" s="185"/>
      <c r="E1069" s="186"/>
      <c r="F1069" s="187"/>
    </row>
    <row r="1070" spans="1:6" x14ac:dyDescent="0.2">
      <c r="A1070" s="275"/>
      <c r="B1070" s="78"/>
      <c r="C1070" s="189"/>
      <c r="D1070" s="185"/>
      <c r="E1070" s="186"/>
      <c r="F1070" s="187"/>
    </row>
    <row r="1071" spans="1:6" x14ac:dyDescent="0.2">
      <c r="A1071" s="275"/>
      <c r="B1071" s="78"/>
      <c r="C1071" s="189"/>
      <c r="D1071" s="185"/>
      <c r="E1071" s="186"/>
      <c r="F1071" s="187"/>
    </row>
    <row r="1072" spans="1:6" x14ac:dyDescent="0.2">
      <c r="A1072" s="275"/>
      <c r="B1072" s="78"/>
      <c r="C1072" s="189"/>
      <c r="D1072" s="185"/>
      <c r="E1072" s="186"/>
      <c r="F1072" s="187"/>
    </row>
    <row r="1073" spans="1:6" x14ac:dyDescent="0.2">
      <c r="A1073" s="275"/>
      <c r="B1073" s="78"/>
      <c r="C1073" s="189"/>
      <c r="D1073" s="185"/>
      <c r="E1073" s="186"/>
      <c r="F1073" s="187"/>
    </row>
    <row r="1074" spans="1:6" x14ac:dyDescent="0.2">
      <c r="A1074" s="275"/>
      <c r="B1074" s="78"/>
      <c r="C1074" s="189"/>
      <c r="D1074" s="185"/>
      <c r="E1074" s="186"/>
      <c r="F1074" s="187"/>
    </row>
    <row r="1075" spans="1:6" x14ac:dyDescent="0.2">
      <c r="A1075" s="275"/>
      <c r="B1075" s="78"/>
      <c r="C1075" s="189"/>
      <c r="D1075" s="185"/>
      <c r="E1075" s="186"/>
      <c r="F1075" s="187"/>
    </row>
    <row r="1076" spans="1:6" x14ac:dyDescent="0.2">
      <c r="A1076" s="275"/>
      <c r="B1076" s="78"/>
      <c r="C1076" s="189"/>
      <c r="D1076" s="185"/>
      <c r="E1076" s="186"/>
      <c r="F1076" s="187"/>
    </row>
    <row r="1077" spans="1:6" x14ac:dyDescent="0.2">
      <c r="A1077" s="275"/>
      <c r="B1077" s="78"/>
      <c r="C1077" s="189"/>
      <c r="D1077" s="185"/>
      <c r="E1077" s="186"/>
      <c r="F1077" s="187"/>
    </row>
    <row r="1078" spans="1:6" x14ac:dyDescent="0.2">
      <c r="A1078" s="275"/>
      <c r="B1078" s="78"/>
      <c r="C1078" s="189"/>
      <c r="D1078" s="185"/>
      <c r="E1078" s="186"/>
      <c r="F1078" s="187"/>
    </row>
    <row r="1079" spans="1:6" x14ac:dyDescent="0.2">
      <c r="A1079" s="275"/>
      <c r="B1079" s="78"/>
      <c r="C1079" s="189"/>
      <c r="D1079" s="185"/>
      <c r="E1079" s="186"/>
      <c r="F1079" s="187"/>
    </row>
    <row r="1080" spans="1:6" x14ac:dyDescent="0.2">
      <c r="A1080" s="275"/>
      <c r="B1080" s="78"/>
      <c r="C1080" s="189"/>
      <c r="D1080" s="185"/>
      <c r="E1080" s="186"/>
      <c r="F1080" s="187"/>
    </row>
    <row r="1081" spans="1:6" x14ac:dyDescent="0.2">
      <c r="A1081" s="275"/>
      <c r="B1081" s="78"/>
      <c r="C1081" s="189"/>
      <c r="D1081" s="185"/>
      <c r="E1081" s="186"/>
      <c r="F1081" s="187"/>
    </row>
    <row r="1082" spans="1:6" x14ac:dyDescent="0.2">
      <c r="A1082" s="275"/>
      <c r="B1082" s="78"/>
      <c r="C1082" s="189"/>
      <c r="D1082" s="185"/>
      <c r="E1082" s="186"/>
      <c r="F1082" s="187"/>
    </row>
    <row r="1083" spans="1:6" x14ac:dyDescent="0.2">
      <c r="A1083" s="275"/>
      <c r="B1083" s="78"/>
      <c r="C1083" s="189"/>
      <c r="D1083" s="185"/>
      <c r="E1083" s="186"/>
      <c r="F1083" s="187"/>
    </row>
    <row r="1084" spans="1:6" x14ac:dyDescent="0.2">
      <c r="A1084" s="275"/>
      <c r="B1084" s="78"/>
      <c r="C1084" s="189"/>
      <c r="D1084" s="185"/>
      <c r="E1084" s="186"/>
      <c r="F1084" s="187"/>
    </row>
    <row r="1085" spans="1:6" x14ac:dyDescent="0.2">
      <c r="A1085" s="275"/>
      <c r="B1085" s="78"/>
      <c r="C1085" s="189"/>
      <c r="D1085" s="185"/>
      <c r="E1085" s="186"/>
      <c r="F1085" s="187"/>
    </row>
    <row r="1086" spans="1:6" x14ac:dyDescent="0.2">
      <c r="A1086" s="275"/>
      <c r="B1086" s="78"/>
      <c r="C1086" s="189"/>
      <c r="D1086" s="185"/>
      <c r="E1086" s="186"/>
      <c r="F1086" s="187"/>
    </row>
    <row r="1087" spans="1:6" x14ac:dyDescent="0.2">
      <c r="A1087" s="275"/>
      <c r="B1087" s="78"/>
      <c r="C1087" s="189"/>
      <c r="D1087" s="185"/>
      <c r="E1087" s="186"/>
      <c r="F1087" s="187"/>
    </row>
    <row r="1088" spans="1:6" x14ac:dyDescent="0.2">
      <c r="A1088" s="275"/>
      <c r="B1088" s="78"/>
      <c r="C1088" s="189"/>
      <c r="D1088" s="185"/>
      <c r="E1088" s="186"/>
      <c r="F1088" s="187"/>
    </row>
    <row r="1089" spans="1:6" x14ac:dyDescent="0.2">
      <c r="A1089" s="275"/>
      <c r="B1089" s="78"/>
      <c r="C1089" s="189"/>
      <c r="D1089" s="185"/>
      <c r="E1089" s="186"/>
      <c r="F1089" s="187"/>
    </row>
    <row r="1090" spans="1:6" x14ac:dyDescent="0.2">
      <c r="A1090" s="275"/>
      <c r="B1090" s="78"/>
      <c r="C1090" s="189"/>
      <c r="D1090" s="185"/>
      <c r="E1090" s="186"/>
      <c r="F1090" s="187"/>
    </row>
    <row r="1091" spans="1:6" x14ac:dyDescent="0.2">
      <c r="A1091" s="275"/>
      <c r="B1091" s="78"/>
      <c r="C1091" s="189"/>
      <c r="D1091" s="185"/>
      <c r="E1091" s="186"/>
      <c r="F1091" s="187"/>
    </row>
    <row r="1092" spans="1:6" x14ac:dyDescent="0.2">
      <c r="A1092" s="275"/>
      <c r="B1092" s="78"/>
      <c r="C1092" s="189"/>
      <c r="D1092" s="185"/>
      <c r="E1092" s="186"/>
      <c r="F1092" s="187"/>
    </row>
    <row r="1093" spans="1:6" x14ac:dyDescent="0.2">
      <c r="A1093" s="275"/>
      <c r="B1093" s="78"/>
      <c r="C1093" s="189"/>
      <c r="D1093" s="185"/>
      <c r="E1093" s="186"/>
      <c r="F1093" s="187"/>
    </row>
    <row r="1094" spans="1:6" x14ac:dyDescent="0.2">
      <c r="A1094" s="275"/>
      <c r="B1094" s="78"/>
      <c r="C1094" s="189"/>
      <c r="D1094" s="185"/>
      <c r="E1094" s="186"/>
      <c r="F1094" s="187"/>
    </row>
    <row r="1095" spans="1:6" x14ac:dyDescent="0.2">
      <c r="A1095" s="275"/>
      <c r="B1095" s="78"/>
      <c r="C1095" s="189"/>
      <c r="D1095" s="185"/>
      <c r="E1095" s="186"/>
      <c r="F1095" s="187"/>
    </row>
    <row r="1096" spans="1:6" x14ac:dyDescent="0.2">
      <c r="A1096" s="275"/>
      <c r="B1096" s="78"/>
      <c r="C1096" s="189"/>
      <c r="D1096" s="185"/>
      <c r="E1096" s="186"/>
      <c r="F1096" s="187"/>
    </row>
    <row r="1097" spans="1:6" x14ac:dyDescent="0.2">
      <c r="A1097" s="275"/>
      <c r="B1097" s="78"/>
      <c r="C1097" s="189"/>
      <c r="D1097" s="185"/>
      <c r="E1097" s="186"/>
      <c r="F1097" s="187"/>
    </row>
    <row r="1098" spans="1:6" x14ac:dyDescent="0.2">
      <c r="A1098" s="275"/>
      <c r="B1098" s="78"/>
      <c r="C1098" s="189"/>
      <c r="D1098" s="185"/>
      <c r="E1098" s="186"/>
      <c r="F1098" s="187"/>
    </row>
    <row r="1099" spans="1:6" x14ac:dyDescent="0.2">
      <c r="A1099" s="275"/>
      <c r="B1099" s="78"/>
      <c r="C1099" s="189"/>
      <c r="D1099" s="185"/>
      <c r="E1099" s="186"/>
      <c r="F1099" s="187"/>
    </row>
    <row r="1100" spans="1:6" x14ac:dyDescent="0.2">
      <c r="A1100" s="275"/>
      <c r="B1100" s="78"/>
      <c r="C1100" s="189"/>
      <c r="D1100" s="185"/>
      <c r="E1100" s="186"/>
      <c r="F1100" s="187"/>
    </row>
    <row r="1101" spans="1:6" x14ac:dyDescent="0.2">
      <c r="A1101" s="275"/>
      <c r="B1101" s="78"/>
      <c r="C1101" s="189"/>
      <c r="D1101" s="185"/>
      <c r="E1101" s="186"/>
      <c r="F1101" s="187"/>
    </row>
    <row r="1102" spans="1:6" x14ac:dyDescent="0.2">
      <c r="A1102" s="275"/>
      <c r="B1102" s="78"/>
      <c r="C1102" s="189"/>
      <c r="D1102" s="185"/>
      <c r="E1102" s="186"/>
      <c r="F1102" s="187"/>
    </row>
    <row r="1103" spans="1:6" x14ac:dyDescent="0.2">
      <c r="A1103" s="275"/>
      <c r="B1103" s="78"/>
      <c r="C1103" s="189"/>
      <c r="D1103" s="185"/>
      <c r="E1103" s="186"/>
      <c r="F1103" s="187"/>
    </row>
    <row r="1104" spans="1:6" x14ac:dyDescent="0.2">
      <c r="A1104" s="275"/>
      <c r="B1104" s="78"/>
      <c r="C1104" s="189"/>
      <c r="D1104" s="185"/>
      <c r="E1104" s="186"/>
      <c r="F1104" s="187"/>
    </row>
    <row r="1105" spans="1:6" x14ac:dyDescent="0.2">
      <c r="A1105" s="275"/>
      <c r="B1105" s="78"/>
      <c r="C1105" s="189"/>
      <c r="D1105" s="185"/>
      <c r="E1105" s="186"/>
      <c r="F1105" s="187"/>
    </row>
    <row r="1106" spans="1:6" x14ac:dyDescent="0.2">
      <c r="A1106" s="275"/>
      <c r="B1106" s="78"/>
      <c r="C1106" s="189"/>
      <c r="D1106" s="185"/>
      <c r="E1106" s="186"/>
      <c r="F1106" s="187"/>
    </row>
    <row r="1107" spans="1:6" x14ac:dyDescent="0.2">
      <c r="A1107" s="275"/>
      <c r="B1107" s="78"/>
      <c r="C1107" s="189"/>
      <c r="D1107" s="185"/>
      <c r="E1107" s="186"/>
      <c r="F1107" s="187"/>
    </row>
    <row r="1108" spans="1:6" x14ac:dyDescent="0.2">
      <c r="A1108" s="275"/>
      <c r="B1108" s="78"/>
      <c r="C1108" s="189"/>
      <c r="D1108" s="185"/>
      <c r="E1108" s="186"/>
      <c r="F1108" s="187"/>
    </row>
    <row r="1109" spans="1:6" x14ac:dyDescent="0.2">
      <c r="A1109" s="275"/>
      <c r="B1109" s="78"/>
      <c r="C1109" s="189"/>
      <c r="D1109" s="185"/>
      <c r="E1109" s="186"/>
      <c r="F1109" s="187"/>
    </row>
    <row r="1110" spans="1:6" x14ac:dyDescent="0.2">
      <c r="A1110" s="275"/>
      <c r="B1110" s="78"/>
      <c r="C1110" s="189"/>
      <c r="D1110" s="185"/>
      <c r="E1110" s="186"/>
      <c r="F1110" s="187"/>
    </row>
    <row r="1111" spans="1:6" x14ac:dyDescent="0.2">
      <c r="A1111" s="275"/>
      <c r="B1111" s="78"/>
      <c r="C1111" s="189"/>
      <c r="D1111" s="185"/>
      <c r="E1111" s="186"/>
      <c r="F1111" s="187"/>
    </row>
    <row r="1112" spans="1:6" x14ac:dyDescent="0.2">
      <c r="A1112" s="275"/>
      <c r="B1112" s="78"/>
      <c r="C1112" s="189"/>
      <c r="D1112" s="185"/>
      <c r="E1112" s="186"/>
      <c r="F1112" s="187"/>
    </row>
    <row r="1113" spans="1:6" x14ac:dyDescent="0.2">
      <c r="A1113" s="275"/>
      <c r="B1113" s="78"/>
      <c r="C1113" s="189"/>
      <c r="D1113" s="185"/>
      <c r="E1113" s="186"/>
      <c r="F1113" s="187"/>
    </row>
    <row r="1114" spans="1:6" x14ac:dyDescent="0.2">
      <c r="A1114" s="275"/>
      <c r="B1114" s="78"/>
      <c r="C1114" s="189"/>
      <c r="D1114" s="185"/>
      <c r="E1114" s="186"/>
      <c r="F1114" s="187"/>
    </row>
    <row r="1115" spans="1:6" x14ac:dyDescent="0.2">
      <c r="A1115" s="275"/>
      <c r="B1115" s="78"/>
      <c r="C1115" s="189"/>
      <c r="D1115" s="185"/>
      <c r="E1115" s="186"/>
      <c r="F1115" s="187"/>
    </row>
    <row r="1116" spans="1:6" x14ac:dyDescent="0.2">
      <c r="A1116" s="275"/>
      <c r="B1116" s="78"/>
      <c r="C1116" s="189"/>
      <c r="D1116" s="185"/>
      <c r="E1116" s="186"/>
      <c r="F1116" s="187"/>
    </row>
    <row r="1117" spans="1:6" x14ac:dyDescent="0.2">
      <c r="A1117" s="275"/>
      <c r="B1117" s="78"/>
      <c r="C1117" s="189"/>
      <c r="D1117" s="185"/>
      <c r="E1117" s="186"/>
      <c r="F1117" s="187"/>
    </row>
    <row r="1118" spans="1:6" x14ac:dyDescent="0.2">
      <c r="A1118" s="275"/>
      <c r="B1118" s="78"/>
      <c r="C1118" s="189"/>
      <c r="D1118" s="185"/>
      <c r="E1118" s="186"/>
      <c r="F1118" s="187"/>
    </row>
    <row r="1119" spans="1:6" x14ac:dyDescent="0.2">
      <c r="A1119" s="275"/>
      <c r="B1119" s="78"/>
      <c r="C1119" s="189"/>
      <c r="D1119" s="185"/>
      <c r="E1119" s="186"/>
      <c r="F1119" s="187"/>
    </row>
    <row r="1120" spans="1:6" x14ac:dyDescent="0.2">
      <c r="A1120" s="275"/>
      <c r="B1120" s="78"/>
      <c r="C1120" s="189"/>
      <c r="D1120" s="185"/>
      <c r="E1120" s="186"/>
      <c r="F1120" s="187"/>
    </row>
    <row r="1121" spans="1:6" x14ac:dyDescent="0.2">
      <c r="A1121" s="275"/>
      <c r="B1121" s="78"/>
      <c r="C1121" s="189"/>
      <c r="D1121" s="185"/>
      <c r="E1121" s="186"/>
      <c r="F1121" s="187"/>
    </row>
    <row r="1122" spans="1:6" x14ac:dyDescent="0.2">
      <c r="A1122" s="275"/>
      <c r="B1122" s="78"/>
      <c r="C1122" s="189"/>
      <c r="D1122" s="185"/>
      <c r="E1122" s="186"/>
      <c r="F1122" s="187"/>
    </row>
    <row r="1123" spans="1:6" x14ac:dyDescent="0.2">
      <c r="A1123" s="275"/>
      <c r="B1123" s="78"/>
      <c r="C1123" s="189"/>
      <c r="D1123" s="185"/>
      <c r="E1123" s="186"/>
      <c r="F1123" s="187"/>
    </row>
    <row r="1124" spans="1:6" x14ac:dyDescent="0.2">
      <c r="A1124" s="275"/>
      <c r="B1124" s="78"/>
      <c r="C1124" s="189"/>
      <c r="D1124" s="185"/>
      <c r="E1124" s="186"/>
      <c r="F1124" s="187"/>
    </row>
    <row r="1125" spans="1:6" x14ac:dyDescent="0.2">
      <c r="A1125" s="275"/>
      <c r="B1125" s="78"/>
      <c r="C1125" s="189"/>
      <c r="D1125" s="185"/>
      <c r="E1125" s="186"/>
      <c r="F1125" s="187"/>
    </row>
    <row r="1126" spans="1:6" x14ac:dyDescent="0.2">
      <c r="A1126" s="275"/>
      <c r="B1126" s="78"/>
      <c r="C1126" s="189"/>
      <c r="D1126" s="185"/>
      <c r="E1126" s="186"/>
      <c r="F1126" s="187"/>
    </row>
    <row r="1127" spans="1:6" x14ac:dyDescent="0.2">
      <c r="A1127" s="275"/>
      <c r="B1127" s="78"/>
      <c r="C1127" s="189"/>
      <c r="D1127" s="185"/>
      <c r="E1127" s="186"/>
      <c r="F1127" s="187"/>
    </row>
    <row r="1128" spans="1:6" x14ac:dyDescent="0.2">
      <c r="A1128" s="275"/>
      <c r="B1128" s="78"/>
      <c r="C1128" s="189"/>
      <c r="D1128" s="185"/>
      <c r="E1128" s="186"/>
      <c r="F1128" s="187"/>
    </row>
    <row r="1129" spans="1:6" x14ac:dyDescent="0.2">
      <c r="A1129" s="275"/>
      <c r="B1129" s="78"/>
      <c r="C1129" s="189"/>
      <c r="D1129" s="185"/>
      <c r="E1129" s="186"/>
      <c r="F1129" s="187"/>
    </row>
    <row r="1130" spans="1:6" x14ac:dyDescent="0.2">
      <c r="A1130" s="275"/>
      <c r="B1130" s="78"/>
      <c r="C1130" s="189"/>
      <c r="D1130" s="185"/>
      <c r="E1130" s="186"/>
      <c r="F1130" s="187"/>
    </row>
    <row r="1131" spans="1:6" x14ac:dyDescent="0.2">
      <c r="A1131" s="275"/>
      <c r="B1131" s="78"/>
      <c r="C1131" s="189"/>
      <c r="D1131" s="185"/>
      <c r="E1131" s="186"/>
      <c r="F1131" s="187"/>
    </row>
    <row r="1132" spans="1:6" x14ac:dyDescent="0.2">
      <c r="A1132" s="275"/>
      <c r="B1132" s="78"/>
      <c r="C1132" s="189"/>
      <c r="D1132" s="185"/>
      <c r="E1132" s="186"/>
      <c r="F1132" s="187"/>
    </row>
    <row r="1133" spans="1:6" x14ac:dyDescent="0.2">
      <c r="A1133" s="275"/>
      <c r="B1133" s="78"/>
      <c r="C1133" s="189"/>
      <c r="D1133" s="185"/>
      <c r="E1133" s="186"/>
      <c r="F1133" s="187"/>
    </row>
    <row r="1134" spans="1:6" x14ac:dyDescent="0.2">
      <c r="A1134" s="275"/>
      <c r="B1134" s="78"/>
      <c r="C1134" s="189"/>
      <c r="D1134" s="185"/>
      <c r="E1134" s="186"/>
      <c r="F1134" s="187"/>
    </row>
    <row r="1135" spans="1:6" x14ac:dyDescent="0.2">
      <c r="A1135" s="275"/>
      <c r="B1135" s="78"/>
      <c r="C1135" s="189"/>
      <c r="D1135" s="185"/>
      <c r="E1135" s="186"/>
      <c r="F1135" s="187"/>
    </row>
    <row r="1136" spans="1:6" x14ac:dyDescent="0.2">
      <c r="A1136" s="275"/>
      <c r="B1136" s="78"/>
      <c r="C1136" s="189"/>
      <c r="D1136" s="185"/>
      <c r="E1136" s="186"/>
      <c r="F1136" s="187"/>
    </row>
    <row r="1137" spans="1:6" x14ac:dyDescent="0.2">
      <c r="A1137" s="275"/>
      <c r="B1137" s="78"/>
      <c r="C1137" s="189"/>
      <c r="D1137" s="185"/>
      <c r="E1137" s="186"/>
      <c r="F1137" s="187"/>
    </row>
    <row r="1138" spans="1:6" x14ac:dyDescent="0.2">
      <c r="A1138" s="275"/>
      <c r="B1138" s="78"/>
      <c r="C1138" s="189"/>
      <c r="D1138" s="185"/>
      <c r="E1138" s="186"/>
      <c r="F1138" s="187"/>
    </row>
    <row r="1139" spans="1:6" x14ac:dyDescent="0.2">
      <c r="A1139" s="275"/>
      <c r="B1139" s="78"/>
      <c r="C1139" s="189"/>
      <c r="D1139" s="185"/>
      <c r="E1139" s="186"/>
      <c r="F1139" s="187"/>
    </row>
    <row r="1140" spans="1:6" x14ac:dyDescent="0.2">
      <c r="A1140" s="275"/>
      <c r="B1140" s="78"/>
      <c r="C1140" s="189"/>
      <c r="D1140" s="185"/>
      <c r="E1140" s="186"/>
      <c r="F1140" s="187"/>
    </row>
    <row r="1141" spans="1:6" x14ac:dyDescent="0.2">
      <c r="A1141" s="275"/>
      <c r="B1141" s="78"/>
      <c r="C1141" s="189"/>
      <c r="D1141" s="185"/>
      <c r="E1141" s="186"/>
      <c r="F1141" s="187"/>
    </row>
    <row r="1142" spans="1:6" x14ac:dyDescent="0.2">
      <c r="A1142" s="275"/>
      <c r="B1142" s="78"/>
      <c r="C1142" s="189"/>
      <c r="D1142" s="185"/>
      <c r="E1142" s="186"/>
      <c r="F1142" s="187"/>
    </row>
    <row r="1143" spans="1:6" x14ac:dyDescent="0.2">
      <c r="A1143" s="275"/>
      <c r="B1143" s="78"/>
      <c r="C1143" s="189"/>
      <c r="D1143" s="185"/>
      <c r="E1143" s="186"/>
      <c r="F1143" s="187"/>
    </row>
    <row r="1144" spans="1:6" x14ac:dyDescent="0.2">
      <c r="A1144" s="275"/>
      <c r="B1144" s="78"/>
      <c r="C1144" s="189"/>
      <c r="D1144" s="185"/>
      <c r="E1144" s="186"/>
      <c r="F1144" s="187"/>
    </row>
    <row r="1145" spans="1:6" x14ac:dyDescent="0.2">
      <c r="A1145" s="275"/>
      <c r="B1145" s="78"/>
      <c r="C1145" s="189"/>
      <c r="D1145" s="185"/>
      <c r="E1145" s="186"/>
      <c r="F1145" s="187"/>
    </row>
    <row r="1146" spans="1:6" x14ac:dyDescent="0.2">
      <c r="A1146" s="275"/>
      <c r="B1146" s="78"/>
      <c r="C1146" s="189"/>
      <c r="D1146" s="185"/>
      <c r="E1146" s="186"/>
      <c r="F1146" s="187"/>
    </row>
    <row r="1147" spans="1:6" x14ac:dyDescent="0.2">
      <c r="A1147" s="275"/>
      <c r="B1147" s="78"/>
      <c r="C1147" s="189"/>
      <c r="D1147" s="185"/>
      <c r="E1147" s="186"/>
      <c r="F1147" s="187"/>
    </row>
    <row r="1148" spans="1:6" x14ac:dyDescent="0.2">
      <c r="A1148" s="275"/>
      <c r="B1148" s="78"/>
      <c r="C1148" s="189"/>
      <c r="D1148" s="185"/>
      <c r="E1148" s="186"/>
      <c r="F1148" s="187"/>
    </row>
    <row r="1149" spans="1:6" x14ac:dyDescent="0.2">
      <c r="A1149" s="275"/>
      <c r="B1149" s="78"/>
      <c r="C1149" s="189"/>
      <c r="D1149" s="185"/>
      <c r="E1149" s="186"/>
      <c r="F1149" s="187"/>
    </row>
    <row r="1150" spans="1:6" x14ac:dyDescent="0.2">
      <c r="A1150" s="275"/>
      <c r="B1150" s="78"/>
      <c r="C1150" s="189"/>
      <c r="D1150" s="185"/>
      <c r="E1150" s="186"/>
      <c r="F1150" s="187"/>
    </row>
    <row r="1151" spans="1:6" x14ac:dyDescent="0.2">
      <c r="A1151" s="275"/>
      <c r="B1151" s="78"/>
      <c r="C1151" s="189"/>
      <c r="D1151" s="185"/>
      <c r="E1151" s="186"/>
      <c r="F1151" s="187"/>
    </row>
    <row r="1152" spans="1:6" x14ac:dyDescent="0.2">
      <c r="A1152" s="275"/>
      <c r="B1152" s="78"/>
      <c r="C1152" s="189"/>
      <c r="D1152" s="185"/>
      <c r="E1152" s="186"/>
      <c r="F1152" s="187"/>
    </row>
    <row r="1153" spans="1:6" x14ac:dyDescent="0.2">
      <c r="A1153" s="275"/>
      <c r="B1153" s="78"/>
      <c r="C1153" s="189"/>
      <c r="D1153" s="185"/>
      <c r="E1153" s="186"/>
      <c r="F1153" s="187"/>
    </row>
    <row r="1154" spans="1:6" x14ac:dyDescent="0.2">
      <c r="A1154" s="275"/>
      <c r="B1154" s="78"/>
      <c r="C1154" s="189"/>
      <c r="D1154" s="185"/>
      <c r="E1154" s="186"/>
      <c r="F1154" s="187"/>
    </row>
    <row r="1155" spans="1:6" x14ac:dyDescent="0.2">
      <c r="A1155" s="275"/>
      <c r="B1155" s="78"/>
      <c r="C1155" s="189"/>
      <c r="D1155" s="185"/>
      <c r="E1155" s="186"/>
      <c r="F1155" s="187"/>
    </row>
    <row r="1156" spans="1:6" x14ac:dyDescent="0.2">
      <c r="A1156" s="275"/>
      <c r="B1156" s="78"/>
      <c r="C1156" s="189"/>
      <c r="D1156" s="185"/>
      <c r="E1156" s="186"/>
      <c r="F1156" s="187"/>
    </row>
    <row r="1157" spans="1:6" x14ac:dyDescent="0.2">
      <c r="A1157" s="275"/>
      <c r="B1157" s="78"/>
      <c r="C1157" s="189"/>
      <c r="D1157" s="185"/>
      <c r="E1157" s="186"/>
      <c r="F1157" s="187"/>
    </row>
    <row r="1158" spans="1:6" x14ac:dyDescent="0.2">
      <c r="A1158" s="275"/>
      <c r="B1158" s="78"/>
      <c r="C1158" s="189"/>
      <c r="D1158" s="185"/>
      <c r="E1158" s="186"/>
      <c r="F1158" s="187"/>
    </row>
    <row r="1159" spans="1:6" x14ac:dyDescent="0.2">
      <c r="A1159" s="275"/>
      <c r="B1159" s="78"/>
      <c r="C1159" s="189"/>
      <c r="D1159" s="185"/>
      <c r="E1159" s="186"/>
      <c r="F1159" s="187"/>
    </row>
    <row r="1160" spans="1:6" x14ac:dyDescent="0.2">
      <c r="A1160" s="275"/>
      <c r="B1160" s="78"/>
      <c r="C1160" s="189"/>
      <c r="D1160" s="185"/>
      <c r="E1160" s="186"/>
      <c r="F1160" s="187"/>
    </row>
    <row r="1161" spans="1:6" x14ac:dyDescent="0.2">
      <c r="A1161" s="275"/>
      <c r="B1161" s="78"/>
      <c r="C1161" s="189"/>
      <c r="D1161" s="185"/>
      <c r="E1161" s="186"/>
      <c r="F1161" s="187"/>
    </row>
    <row r="1162" spans="1:6" x14ac:dyDescent="0.2">
      <c r="A1162" s="275"/>
      <c r="B1162" s="78"/>
      <c r="C1162" s="189"/>
      <c r="D1162" s="185"/>
      <c r="E1162" s="186"/>
      <c r="F1162" s="187"/>
    </row>
    <row r="1163" spans="1:6" x14ac:dyDescent="0.2">
      <c r="A1163" s="275"/>
      <c r="B1163" s="78"/>
      <c r="C1163" s="189"/>
      <c r="D1163" s="185"/>
      <c r="E1163" s="186"/>
      <c r="F1163" s="187"/>
    </row>
    <row r="1164" spans="1:6" x14ac:dyDescent="0.2">
      <c r="A1164" s="275"/>
      <c r="B1164" s="78"/>
      <c r="C1164" s="189"/>
      <c r="D1164" s="185"/>
      <c r="E1164" s="186"/>
      <c r="F1164" s="187"/>
    </row>
    <row r="1165" spans="1:6" x14ac:dyDescent="0.2">
      <c r="A1165" s="275"/>
      <c r="B1165" s="78"/>
      <c r="C1165" s="189"/>
      <c r="D1165" s="185"/>
      <c r="E1165" s="186"/>
      <c r="F1165" s="187"/>
    </row>
    <row r="1166" spans="1:6" x14ac:dyDescent="0.2">
      <c r="A1166" s="275"/>
      <c r="B1166" s="78"/>
      <c r="C1166" s="189"/>
      <c r="D1166" s="185"/>
      <c r="E1166" s="186"/>
      <c r="F1166" s="187"/>
    </row>
    <row r="1167" spans="1:6" x14ac:dyDescent="0.2">
      <c r="A1167" s="275"/>
      <c r="B1167" s="78"/>
      <c r="C1167" s="189"/>
      <c r="D1167" s="185"/>
      <c r="E1167" s="186"/>
      <c r="F1167" s="187"/>
    </row>
    <row r="1168" spans="1:6" x14ac:dyDescent="0.2">
      <c r="A1168" s="275"/>
      <c r="B1168" s="78"/>
      <c r="C1168" s="189"/>
      <c r="D1168" s="185"/>
      <c r="E1168" s="186"/>
      <c r="F1168" s="187"/>
    </row>
    <row r="1169" spans="1:6" x14ac:dyDescent="0.2">
      <c r="A1169" s="275"/>
      <c r="B1169" s="78"/>
      <c r="C1169" s="189"/>
      <c r="D1169" s="185"/>
      <c r="E1169" s="186"/>
      <c r="F1169" s="187"/>
    </row>
    <row r="1170" spans="1:6" x14ac:dyDescent="0.2">
      <c r="A1170" s="275"/>
      <c r="B1170" s="78"/>
      <c r="C1170" s="189"/>
      <c r="D1170" s="185"/>
      <c r="E1170" s="186"/>
      <c r="F1170" s="187"/>
    </row>
    <row r="1171" spans="1:6" x14ac:dyDescent="0.2">
      <c r="A1171" s="275"/>
      <c r="B1171" s="78"/>
      <c r="C1171" s="189"/>
      <c r="D1171" s="185"/>
      <c r="E1171" s="186"/>
      <c r="F1171" s="187"/>
    </row>
    <row r="1172" spans="1:6" x14ac:dyDescent="0.2">
      <c r="A1172" s="275"/>
      <c r="B1172" s="78"/>
      <c r="C1172" s="189"/>
      <c r="D1172" s="185"/>
      <c r="E1172" s="186"/>
      <c r="F1172" s="187"/>
    </row>
    <row r="1173" spans="1:6" x14ac:dyDescent="0.2">
      <c r="A1173" s="275"/>
      <c r="B1173" s="78"/>
      <c r="C1173" s="189"/>
      <c r="D1173" s="185"/>
      <c r="E1173" s="186"/>
      <c r="F1173" s="187"/>
    </row>
    <row r="1174" spans="1:6" x14ac:dyDescent="0.2">
      <c r="A1174" s="275"/>
      <c r="B1174" s="78"/>
      <c r="C1174" s="189"/>
      <c r="D1174" s="185"/>
      <c r="E1174" s="186"/>
      <c r="F1174" s="187"/>
    </row>
    <row r="1175" spans="1:6" x14ac:dyDescent="0.2">
      <c r="A1175" s="275"/>
      <c r="B1175" s="78"/>
      <c r="C1175" s="189"/>
      <c r="D1175" s="185"/>
      <c r="E1175" s="186"/>
      <c r="F1175" s="187"/>
    </row>
    <row r="1176" spans="1:6" x14ac:dyDescent="0.2">
      <c r="A1176" s="275"/>
      <c r="B1176" s="78"/>
      <c r="C1176" s="189"/>
      <c r="D1176" s="185"/>
      <c r="E1176" s="186"/>
      <c r="F1176" s="187"/>
    </row>
    <row r="1177" spans="1:6" x14ac:dyDescent="0.2">
      <c r="A1177" s="275"/>
      <c r="B1177" s="78"/>
      <c r="C1177" s="189"/>
      <c r="D1177" s="185"/>
      <c r="E1177" s="186"/>
      <c r="F1177" s="187"/>
    </row>
    <row r="1178" spans="1:6" x14ac:dyDescent="0.2">
      <c r="A1178" s="275"/>
      <c r="B1178" s="78"/>
      <c r="C1178" s="189"/>
      <c r="D1178" s="185"/>
      <c r="E1178" s="186"/>
      <c r="F1178" s="187"/>
    </row>
    <row r="1179" spans="1:6" x14ac:dyDescent="0.2">
      <c r="A1179" s="275"/>
      <c r="B1179" s="78"/>
      <c r="C1179" s="189"/>
      <c r="D1179" s="185"/>
      <c r="E1179" s="186"/>
      <c r="F1179" s="187"/>
    </row>
    <row r="1180" spans="1:6" x14ac:dyDescent="0.2">
      <c r="A1180" s="275"/>
      <c r="B1180" s="78"/>
      <c r="C1180" s="189"/>
      <c r="D1180" s="185"/>
      <c r="E1180" s="186"/>
      <c r="F1180" s="187"/>
    </row>
    <row r="1181" spans="1:6" x14ac:dyDescent="0.2">
      <c r="A1181" s="275"/>
      <c r="B1181" s="78"/>
      <c r="C1181" s="189"/>
      <c r="D1181" s="185"/>
      <c r="E1181" s="186"/>
      <c r="F1181" s="187"/>
    </row>
    <row r="1182" spans="1:6" x14ac:dyDescent="0.2">
      <c r="A1182" s="275"/>
      <c r="B1182" s="78"/>
      <c r="C1182" s="189"/>
      <c r="D1182" s="185"/>
      <c r="E1182" s="186"/>
      <c r="F1182" s="187"/>
    </row>
    <row r="1183" spans="1:6" x14ac:dyDescent="0.2">
      <c r="A1183" s="275"/>
      <c r="B1183" s="78"/>
      <c r="C1183" s="189"/>
      <c r="D1183" s="185"/>
      <c r="E1183" s="186"/>
      <c r="F1183" s="187"/>
    </row>
    <row r="1184" spans="1:6" x14ac:dyDescent="0.2">
      <c r="A1184" s="275"/>
      <c r="B1184" s="78"/>
      <c r="C1184" s="189"/>
      <c r="D1184" s="185"/>
      <c r="E1184" s="186"/>
      <c r="F1184" s="187"/>
    </row>
    <row r="1185" spans="1:6" x14ac:dyDescent="0.2">
      <c r="A1185" s="275"/>
      <c r="B1185" s="78"/>
      <c r="C1185" s="189"/>
      <c r="D1185" s="185"/>
      <c r="E1185" s="186"/>
      <c r="F1185" s="187"/>
    </row>
    <row r="1186" spans="1:6" x14ac:dyDescent="0.2">
      <c r="A1186" s="275"/>
      <c r="B1186" s="78"/>
      <c r="C1186" s="189"/>
      <c r="D1186" s="185"/>
      <c r="E1186" s="186"/>
      <c r="F1186" s="187"/>
    </row>
    <row r="1187" spans="1:6" x14ac:dyDescent="0.2">
      <c r="A1187" s="275"/>
      <c r="B1187" s="78"/>
      <c r="C1187" s="189"/>
      <c r="D1187" s="185"/>
      <c r="E1187" s="186"/>
      <c r="F1187" s="187"/>
    </row>
    <row r="1188" spans="1:6" x14ac:dyDescent="0.2">
      <c r="A1188" s="275"/>
      <c r="B1188" s="78"/>
      <c r="C1188" s="189"/>
      <c r="D1188" s="185"/>
      <c r="E1188" s="186"/>
      <c r="F1188" s="187"/>
    </row>
    <row r="1189" spans="1:6" x14ac:dyDescent="0.2">
      <c r="A1189" s="275"/>
      <c r="B1189" s="78"/>
      <c r="C1189" s="189"/>
      <c r="D1189" s="185"/>
      <c r="E1189" s="186"/>
      <c r="F1189" s="187"/>
    </row>
    <row r="1190" spans="1:6" x14ac:dyDescent="0.2">
      <c r="A1190" s="275"/>
      <c r="B1190" s="78"/>
      <c r="C1190" s="189"/>
      <c r="D1190" s="185"/>
      <c r="E1190" s="186"/>
      <c r="F1190" s="187"/>
    </row>
    <row r="1191" spans="1:6" x14ac:dyDescent="0.2">
      <c r="A1191" s="275"/>
      <c r="B1191" s="78"/>
      <c r="C1191" s="189"/>
      <c r="D1191" s="185"/>
      <c r="E1191" s="186"/>
      <c r="F1191" s="187"/>
    </row>
    <row r="1192" spans="1:6" x14ac:dyDescent="0.2">
      <c r="A1192" s="275"/>
      <c r="B1192" s="78"/>
      <c r="C1192" s="189"/>
      <c r="D1192" s="185"/>
      <c r="E1192" s="186"/>
      <c r="F1192" s="187"/>
    </row>
    <row r="1193" spans="1:6" x14ac:dyDescent="0.2">
      <c r="A1193" s="275"/>
      <c r="B1193" s="78"/>
      <c r="C1193" s="189"/>
      <c r="D1193" s="185"/>
      <c r="E1193" s="186"/>
      <c r="F1193" s="187"/>
    </row>
    <row r="1194" spans="1:6" x14ac:dyDescent="0.2">
      <c r="A1194" s="275"/>
      <c r="B1194" s="78"/>
      <c r="C1194" s="189"/>
      <c r="D1194" s="185"/>
      <c r="E1194" s="186"/>
      <c r="F1194" s="187"/>
    </row>
    <row r="1195" spans="1:6" x14ac:dyDescent="0.2">
      <c r="A1195" s="275"/>
      <c r="B1195" s="78"/>
      <c r="C1195" s="189"/>
      <c r="D1195" s="185"/>
      <c r="E1195" s="186"/>
      <c r="F1195" s="187"/>
    </row>
    <row r="1196" spans="1:6" x14ac:dyDescent="0.2">
      <c r="A1196" s="275"/>
      <c r="B1196" s="78"/>
      <c r="C1196" s="189"/>
      <c r="D1196" s="185"/>
      <c r="E1196" s="186"/>
      <c r="F1196" s="187"/>
    </row>
    <row r="1197" spans="1:6" x14ac:dyDescent="0.2">
      <c r="A1197" s="275"/>
      <c r="B1197" s="78"/>
      <c r="C1197" s="189"/>
      <c r="D1197" s="185"/>
      <c r="E1197" s="186"/>
      <c r="F1197" s="187"/>
    </row>
    <row r="1198" spans="1:6" x14ac:dyDescent="0.2">
      <c r="A1198" s="275"/>
      <c r="B1198" s="78"/>
      <c r="C1198" s="189"/>
      <c r="D1198" s="185"/>
      <c r="E1198" s="186"/>
      <c r="F1198" s="187"/>
    </row>
    <row r="1199" spans="1:6" x14ac:dyDescent="0.2">
      <c r="A1199" s="275"/>
      <c r="B1199" s="78"/>
      <c r="C1199" s="189"/>
      <c r="D1199" s="185"/>
      <c r="E1199" s="186"/>
      <c r="F1199" s="187"/>
    </row>
    <row r="1200" spans="1:6" x14ac:dyDescent="0.2">
      <c r="A1200" s="275"/>
      <c r="B1200" s="78"/>
      <c r="C1200" s="189"/>
      <c r="D1200" s="185"/>
      <c r="E1200" s="186"/>
      <c r="F1200" s="187"/>
    </row>
    <row r="1201" spans="1:6" x14ac:dyDescent="0.2">
      <c r="A1201" s="275"/>
      <c r="B1201" s="78"/>
      <c r="C1201" s="189"/>
      <c r="D1201" s="185"/>
      <c r="E1201" s="186"/>
      <c r="F1201" s="187"/>
    </row>
    <row r="1202" spans="1:6" x14ac:dyDescent="0.2">
      <c r="A1202" s="275"/>
      <c r="B1202" s="78"/>
      <c r="C1202" s="189"/>
      <c r="D1202" s="185"/>
      <c r="E1202" s="186"/>
      <c r="F1202" s="187"/>
    </row>
    <row r="1203" spans="1:6" x14ac:dyDescent="0.2">
      <c r="A1203" s="275"/>
      <c r="B1203" s="78"/>
      <c r="C1203" s="189"/>
      <c r="D1203" s="185"/>
      <c r="E1203" s="186"/>
      <c r="F1203" s="187"/>
    </row>
    <row r="1204" spans="1:6" x14ac:dyDescent="0.2">
      <c r="A1204" s="275"/>
      <c r="B1204" s="78"/>
      <c r="C1204" s="189"/>
      <c r="D1204" s="185"/>
      <c r="E1204" s="186"/>
      <c r="F1204" s="187"/>
    </row>
    <row r="1205" spans="1:6" x14ac:dyDescent="0.2">
      <c r="A1205" s="275"/>
      <c r="B1205" s="78"/>
      <c r="C1205" s="189"/>
      <c r="D1205" s="185"/>
      <c r="E1205" s="186"/>
      <c r="F1205" s="187"/>
    </row>
    <row r="1206" spans="1:6" x14ac:dyDescent="0.2">
      <c r="A1206" s="275"/>
      <c r="B1206" s="78"/>
      <c r="C1206" s="189"/>
      <c r="D1206" s="185"/>
      <c r="E1206" s="186"/>
      <c r="F1206" s="187"/>
    </row>
    <row r="1207" spans="1:6" x14ac:dyDescent="0.2">
      <c r="A1207" s="275"/>
      <c r="B1207" s="78"/>
      <c r="C1207" s="189"/>
      <c r="D1207" s="185"/>
      <c r="E1207" s="186"/>
      <c r="F1207" s="187"/>
    </row>
    <row r="1208" spans="1:6" x14ac:dyDescent="0.2">
      <c r="A1208" s="275"/>
      <c r="B1208" s="78"/>
      <c r="C1208" s="189"/>
      <c r="D1208" s="185"/>
      <c r="E1208" s="186"/>
      <c r="F1208" s="187"/>
    </row>
    <row r="1209" spans="1:6" x14ac:dyDescent="0.2">
      <c r="A1209" s="275"/>
      <c r="B1209" s="78"/>
      <c r="C1209" s="189"/>
      <c r="D1209" s="185"/>
      <c r="E1209" s="186"/>
      <c r="F1209" s="187"/>
    </row>
    <row r="1210" spans="1:6" x14ac:dyDescent="0.2">
      <c r="A1210" s="275"/>
      <c r="B1210" s="78"/>
      <c r="C1210" s="189"/>
      <c r="D1210" s="185"/>
      <c r="E1210" s="186"/>
      <c r="F1210" s="187"/>
    </row>
    <row r="1211" spans="1:6" x14ac:dyDescent="0.2">
      <c r="A1211" s="275"/>
      <c r="B1211" s="78"/>
      <c r="C1211" s="189"/>
      <c r="D1211" s="185"/>
      <c r="E1211" s="186"/>
      <c r="F1211" s="187"/>
    </row>
    <row r="1212" spans="1:6" x14ac:dyDescent="0.2">
      <c r="A1212" s="275"/>
      <c r="B1212" s="78"/>
      <c r="C1212" s="189"/>
      <c r="D1212" s="185"/>
      <c r="E1212" s="186"/>
      <c r="F1212" s="187"/>
    </row>
    <row r="1213" spans="1:6" x14ac:dyDescent="0.2">
      <c r="A1213" s="275"/>
      <c r="B1213" s="78"/>
      <c r="C1213" s="189"/>
      <c r="D1213" s="185"/>
      <c r="E1213" s="186"/>
      <c r="F1213" s="187"/>
    </row>
    <row r="1214" spans="1:6" x14ac:dyDescent="0.2">
      <c r="A1214" s="275"/>
      <c r="B1214" s="78"/>
      <c r="C1214" s="189"/>
      <c r="D1214" s="185"/>
      <c r="E1214" s="186"/>
      <c r="F1214" s="187"/>
    </row>
    <row r="1215" spans="1:6" x14ac:dyDescent="0.2">
      <c r="A1215" s="275"/>
      <c r="B1215" s="78"/>
      <c r="C1215" s="189"/>
      <c r="D1215" s="185"/>
      <c r="E1215" s="186"/>
      <c r="F1215" s="187"/>
    </row>
    <row r="1216" spans="1:6" x14ac:dyDescent="0.2">
      <c r="A1216" s="275"/>
      <c r="B1216" s="78"/>
      <c r="C1216" s="189"/>
      <c r="D1216" s="185"/>
      <c r="E1216" s="186"/>
      <c r="F1216" s="187"/>
    </row>
    <row r="1217" spans="1:6" x14ac:dyDescent="0.2">
      <c r="A1217" s="275"/>
      <c r="B1217" s="78"/>
      <c r="C1217" s="189"/>
      <c r="D1217" s="185"/>
      <c r="E1217" s="186"/>
      <c r="F1217" s="187"/>
    </row>
    <row r="1218" spans="1:6" x14ac:dyDescent="0.2">
      <c r="A1218" s="275"/>
      <c r="B1218" s="78"/>
      <c r="C1218" s="189"/>
      <c r="D1218" s="185"/>
      <c r="E1218" s="186"/>
      <c r="F1218" s="187"/>
    </row>
    <row r="1219" spans="1:6" x14ac:dyDescent="0.2">
      <c r="A1219" s="275"/>
      <c r="B1219" s="78"/>
      <c r="C1219" s="189"/>
      <c r="D1219" s="185"/>
      <c r="E1219" s="186"/>
      <c r="F1219" s="187"/>
    </row>
    <row r="1220" spans="1:6" x14ac:dyDescent="0.2">
      <c r="A1220" s="275"/>
      <c r="B1220" s="78"/>
      <c r="C1220" s="189"/>
      <c r="D1220" s="185"/>
      <c r="E1220" s="186"/>
      <c r="F1220" s="187"/>
    </row>
    <row r="1221" spans="1:6" x14ac:dyDescent="0.2">
      <c r="A1221" s="275"/>
      <c r="B1221" s="78"/>
      <c r="C1221" s="189"/>
      <c r="D1221" s="185"/>
      <c r="E1221" s="186"/>
      <c r="F1221" s="187"/>
    </row>
    <row r="1222" spans="1:6" x14ac:dyDescent="0.2">
      <c r="A1222" s="275"/>
      <c r="B1222" s="78"/>
      <c r="C1222" s="189"/>
      <c r="D1222" s="185"/>
      <c r="E1222" s="186"/>
      <c r="F1222" s="187"/>
    </row>
    <row r="1223" spans="1:6" x14ac:dyDescent="0.2">
      <c r="A1223" s="275"/>
      <c r="B1223" s="78"/>
      <c r="C1223" s="189"/>
      <c r="D1223" s="185"/>
      <c r="E1223" s="186"/>
      <c r="F1223" s="187"/>
    </row>
    <row r="1224" spans="1:6" x14ac:dyDescent="0.2">
      <c r="A1224" s="275"/>
      <c r="B1224" s="78"/>
      <c r="C1224" s="189"/>
      <c r="D1224" s="185"/>
      <c r="E1224" s="186"/>
      <c r="F1224" s="187"/>
    </row>
    <row r="1225" spans="1:6" x14ac:dyDescent="0.2">
      <c r="A1225" s="275"/>
      <c r="B1225" s="78"/>
      <c r="C1225" s="189"/>
      <c r="D1225" s="185"/>
      <c r="E1225" s="186"/>
      <c r="F1225" s="187"/>
    </row>
    <row r="1226" spans="1:6" x14ac:dyDescent="0.2">
      <c r="A1226" s="275"/>
      <c r="B1226" s="78"/>
      <c r="C1226" s="189"/>
      <c r="D1226" s="185"/>
      <c r="E1226" s="186"/>
      <c r="F1226" s="187"/>
    </row>
    <row r="1227" spans="1:6" x14ac:dyDescent="0.2">
      <c r="A1227" s="275"/>
      <c r="B1227" s="78"/>
      <c r="C1227" s="189"/>
      <c r="D1227" s="185"/>
      <c r="E1227" s="186"/>
      <c r="F1227" s="187"/>
    </row>
    <row r="1228" spans="1:6" x14ac:dyDescent="0.2">
      <c r="A1228" s="275"/>
      <c r="B1228" s="78"/>
      <c r="C1228" s="189"/>
      <c r="D1228" s="185"/>
      <c r="E1228" s="186"/>
      <c r="F1228" s="187"/>
    </row>
    <row r="1229" spans="1:6" x14ac:dyDescent="0.2">
      <c r="A1229" s="275"/>
      <c r="B1229" s="78"/>
      <c r="C1229" s="189"/>
      <c r="D1229" s="185"/>
      <c r="E1229" s="186"/>
      <c r="F1229" s="187"/>
    </row>
    <row r="1230" spans="1:6" x14ac:dyDescent="0.2">
      <c r="A1230" s="275"/>
      <c r="B1230" s="78"/>
      <c r="C1230" s="189"/>
      <c r="D1230" s="185"/>
      <c r="E1230" s="186"/>
      <c r="F1230" s="187"/>
    </row>
    <row r="1231" spans="1:6" x14ac:dyDescent="0.2">
      <c r="A1231" s="275"/>
      <c r="B1231" s="78"/>
      <c r="C1231" s="189"/>
      <c r="D1231" s="185"/>
      <c r="E1231" s="186"/>
      <c r="F1231" s="187"/>
    </row>
    <row r="1232" spans="1:6" x14ac:dyDescent="0.2">
      <c r="A1232" s="275"/>
      <c r="B1232" s="78"/>
      <c r="C1232" s="189"/>
      <c r="D1232" s="185"/>
      <c r="E1232" s="186"/>
      <c r="F1232" s="187"/>
    </row>
    <row r="1233" spans="1:6" x14ac:dyDescent="0.2">
      <c r="A1233" s="275"/>
      <c r="B1233" s="78"/>
      <c r="C1233" s="189"/>
      <c r="D1233" s="185"/>
      <c r="E1233" s="186"/>
      <c r="F1233" s="187"/>
    </row>
    <row r="1234" spans="1:6" x14ac:dyDescent="0.2">
      <c r="A1234" s="275"/>
      <c r="B1234" s="78"/>
      <c r="C1234" s="189"/>
      <c r="D1234" s="185"/>
      <c r="E1234" s="186"/>
      <c r="F1234" s="187"/>
    </row>
    <row r="1235" spans="1:6" x14ac:dyDescent="0.2">
      <c r="A1235" s="275"/>
      <c r="B1235" s="78"/>
      <c r="C1235" s="189"/>
      <c r="D1235" s="185"/>
      <c r="E1235" s="186"/>
      <c r="F1235" s="187"/>
    </row>
    <row r="1236" spans="1:6" x14ac:dyDescent="0.2">
      <c r="A1236" s="275"/>
      <c r="B1236" s="78"/>
      <c r="C1236" s="189"/>
      <c r="D1236" s="185"/>
      <c r="E1236" s="186"/>
      <c r="F1236" s="187"/>
    </row>
    <row r="1237" spans="1:6" x14ac:dyDescent="0.2">
      <c r="A1237" s="275"/>
      <c r="B1237" s="78"/>
      <c r="C1237" s="189"/>
      <c r="D1237" s="185"/>
      <c r="E1237" s="186"/>
      <c r="F1237" s="187"/>
    </row>
    <row r="1238" spans="1:6" x14ac:dyDescent="0.2">
      <c r="A1238" s="275"/>
      <c r="B1238" s="78"/>
      <c r="C1238" s="189"/>
      <c r="D1238" s="185"/>
      <c r="E1238" s="186"/>
      <c r="F1238" s="187"/>
    </row>
    <row r="1239" spans="1:6" x14ac:dyDescent="0.2">
      <c r="A1239" s="275"/>
      <c r="B1239" s="78"/>
      <c r="C1239" s="189"/>
      <c r="D1239" s="185"/>
      <c r="E1239" s="186"/>
      <c r="F1239" s="187"/>
    </row>
    <row r="1240" spans="1:6" x14ac:dyDescent="0.2">
      <c r="A1240" s="275"/>
      <c r="B1240" s="78"/>
      <c r="C1240" s="189"/>
      <c r="D1240" s="185"/>
      <c r="E1240" s="186"/>
      <c r="F1240" s="187"/>
    </row>
    <row r="1241" spans="1:6" x14ac:dyDescent="0.2">
      <c r="A1241" s="275"/>
      <c r="B1241" s="78"/>
      <c r="C1241" s="189"/>
      <c r="D1241" s="185"/>
      <c r="E1241" s="186"/>
      <c r="F1241" s="187"/>
    </row>
    <row r="1242" spans="1:6" x14ac:dyDescent="0.2">
      <c r="A1242" s="275"/>
      <c r="B1242" s="78"/>
      <c r="C1242" s="189"/>
      <c r="D1242" s="185"/>
      <c r="E1242" s="186"/>
      <c r="F1242" s="187"/>
    </row>
    <row r="1243" spans="1:6" x14ac:dyDescent="0.2">
      <c r="A1243" s="275"/>
      <c r="B1243" s="78"/>
      <c r="C1243" s="189"/>
      <c r="D1243" s="185"/>
      <c r="E1243" s="186"/>
      <c r="F1243" s="187"/>
    </row>
    <row r="1244" spans="1:6" x14ac:dyDescent="0.2">
      <c r="A1244" s="275"/>
      <c r="B1244" s="78"/>
      <c r="C1244" s="189"/>
      <c r="D1244" s="185"/>
      <c r="E1244" s="186"/>
      <c r="F1244" s="187"/>
    </row>
    <row r="1245" spans="1:6" x14ac:dyDescent="0.2">
      <c r="A1245" s="275"/>
      <c r="B1245" s="78"/>
      <c r="C1245" s="189"/>
      <c r="D1245" s="185"/>
      <c r="E1245" s="186"/>
      <c r="F1245" s="187"/>
    </row>
    <row r="1246" spans="1:6" x14ac:dyDescent="0.2">
      <c r="A1246" s="275"/>
      <c r="B1246" s="78"/>
      <c r="C1246" s="189"/>
      <c r="D1246" s="185"/>
      <c r="E1246" s="186"/>
      <c r="F1246" s="187"/>
    </row>
    <row r="1247" spans="1:6" x14ac:dyDescent="0.2">
      <c r="A1247" s="275"/>
      <c r="B1247" s="78"/>
      <c r="C1247" s="189"/>
      <c r="D1247" s="185"/>
      <c r="E1247" s="186"/>
      <c r="F1247" s="187"/>
    </row>
    <row r="1248" spans="1:6" x14ac:dyDescent="0.2">
      <c r="A1248" s="275"/>
      <c r="B1248" s="78"/>
      <c r="C1248" s="189"/>
      <c r="D1248" s="185"/>
      <c r="E1248" s="186"/>
      <c r="F1248" s="187"/>
    </row>
    <row r="1249" spans="1:6" x14ac:dyDescent="0.2">
      <c r="A1249" s="275"/>
      <c r="B1249" s="78"/>
      <c r="C1249" s="189"/>
      <c r="D1249" s="185"/>
      <c r="E1249" s="186"/>
      <c r="F1249" s="187"/>
    </row>
    <row r="1250" spans="1:6" x14ac:dyDescent="0.2">
      <c r="A1250" s="275"/>
      <c r="B1250" s="78"/>
      <c r="C1250" s="189"/>
      <c r="D1250" s="185"/>
      <c r="E1250" s="186"/>
      <c r="F1250" s="187"/>
    </row>
    <row r="1251" spans="1:6" x14ac:dyDescent="0.2">
      <c r="A1251" s="275"/>
      <c r="B1251" s="78"/>
      <c r="C1251" s="189"/>
      <c r="D1251" s="185"/>
      <c r="E1251" s="186"/>
      <c r="F1251" s="187"/>
    </row>
    <row r="1252" spans="1:6" x14ac:dyDescent="0.2">
      <c r="A1252" s="275"/>
      <c r="B1252" s="78"/>
      <c r="C1252" s="189"/>
      <c r="D1252" s="185"/>
      <c r="E1252" s="186"/>
      <c r="F1252" s="187"/>
    </row>
    <row r="1253" spans="1:6" x14ac:dyDescent="0.2">
      <c r="A1253" s="275"/>
      <c r="B1253" s="78"/>
      <c r="C1253" s="189"/>
      <c r="D1253" s="185"/>
      <c r="E1253" s="186"/>
      <c r="F1253" s="187"/>
    </row>
    <row r="1254" spans="1:6" x14ac:dyDescent="0.2">
      <c r="A1254" s="275"/>
      <c r="B1254" s="78"/>
      <c r="C1254" s="189"/>
      <c r="D1254" s="185"/>
      <c r="E1254" s="186"/>
      <c r="F1254" s="187"/>
    </row>
    <row r="1255" spans="1:6" x14ac:dyDescent="0.2">
      <c r="A1255" s="275"/>
      <c r="B1255" s="78"/>
      <c r="C1255" s="189"/>
      <c r="D1255" s="185"/>
      <c r="E1255" s="186"/>
      <c r="F1255" s="187"/>
    </row>
    <row r="1256" spans="1:6" x14ac:dyDescent="0.2">
      <c r="A1256" s="275"/>
      <c r="B1256" s="78"/>
      <c r="C1256" s="189"/>
      <c r="D1256" s="185"/>
      <c r="E1256" s="186"/>
      <c r="F1256" s="187"/>
    </row>
    <row r="1257" spans="1:6" x14ac:dyDescent="0.2">
      <c r="A1257" s="275"/>
      <c r="B1257" s="78"/>
      <c r="C1257" s="189"/>
      <c r="D1257" s="185"/>
      <c r="E1257" s="186"/>
      <c r="F1257" s="187"/>
    </row>
    <row r="1258" spans="1:6" x14ac:dyDescent="0.2">
      <c r="A1258" s="275"/>
      <c r="B1258" s="78"/>
      <c r="C1258" s="189"/>
      <c r="D1258" s="185"/>
      <c r="E1258" s="186"/>
      <c r="F1258" s="187"/>
    </row>
    <row r="1259" spans="1:6" x14ac:dyDescent="0.2">
      <c r="A1259" s="275"/>
      <c r="B1259" s="78"/>
      <c r="C1259" s="189"/>
      <c r="D1259" s="185"/>
      <c r="E1259" s="186"/>
      <c r="F1259" s="187"/>
    </row>
    <row r="1260" spans="1:6" x14ac:dyDescent="0.2">
      <c r="A1260" s="275"/>
      <c r="B1260" s="78"/>
      <c r="C1260" s="189"/>
      <c r="D1260" s="185"/>
      <c r="E1260" s="186"/>
      <c r="F1260" s="187"/>
    </row>
    <row r="1261" spans="1:6" x14ac:dyDescent="0.2">
      <c r="A1261" s="275"/>
      <c r="B1261" s="78"/>
      <c r="C1261" s="189"/>
      <c r="D1261" s="185"/>
      <c r="E1261" s="186"/>
      <c r="F1261" s="187"/>
    </row>
    <row r="1262" spans="1:6" x14ac:dyDescent="0.2">
      <c r="A1262" s="275"/>
      <c r="B1262" s="78"/>
      <c r="C1262" s="189"/>
      <c r="D1262" s="185"/>
      <c r="E1262" s="186"/>
      <c r="F1262" s="187"/>
    </row>
    <row r="1263" spans="1:6" x14ac:dyDescent="0.2">
      <c r="A1263" s="275"/>
      <c r="B1263" s="78"/>
      <c r="C1263" s="189"/>
      <c r="D1263" s="185"/>
      <c r="E1263" s="186"/>
      <c r="F1263" s="187"/>
    </row>
    <row r="1264" spans="1:6" x14ac:dyDescent="0.2">
      <c r="A1264" s="275"/>
      <c r="B1264" s="78"/>
      <c r="C1264" s="189"/>
      <c r="D1264" s="185"/>
      <c r="E1264" s="186"/>
      <c r="F1264" s="187"/>
    </row>
    <row r="1265" spans="1:6" x14ac:dyDescent="0.2">
      <c r="A1265" s="275"/>
      <c r="B1265" s="78"/>
      <c r="C1265" s="189"/>
      <c r="D1265" s="185"/>
      <c r="E1265" s="186"/>
      <c r="F1265" s="187"/>
    </row>
    <row r="1266" spans="1:6" x14ac:dyDescent="0.2">
      <c r="A1266" s="275"/>
      <c r="B1266" s="78"/>
      <c r="C1266" s="189"/>
      <c r="D1266" s="185"/>
      <c r="E1266" s="186"/>
      <c r="F1266" s="187"/>
    </row>
    <row r="1267" spans="1:6" x14ac:dyDescent="0.2">
      <c r="A1267" s="275"/>
      <c r="B1267" s="78"/>
      <c r="C1267" s="189"/>
      <c r="D1267" s="185"/>
      <c r="E1267" s="186"/>
      <c r="F1267" s="187"/>
    </row>
    <row r="1268" spans="1:6" x14ac:dyDescent="0.2">
      <c r="A1268" s="275"/>
      <c r="B1268" s="78"/>
      <c r="C1268" s="189"/>
      <c r="D1268" s="185"/>
      <c r="E1268" s="186"/>
      <c r="F1268" s="187"/>
    </row>
    <row r="1269" spans="1:6" x14ac:dyDescent="0.2">
      <c r="A1269" s="275"/>
      <c r="B1269" s="78"/>
      <c r="C1269" s="189"/>
      <c r="D1269" s="185"/>
      <c r="E1269" s="186"/>
      <c r="F1269" s="187"/>
    </row>
    <row r="1270" spans="1:6" x14ac:dyDescent="0.2">
      <c r="A1270" s="275"/>
      <c r="B1270" s="78"/>
      <c r="C1270" s="189"/>
      <c r="D1270" s="185"/>
      <c r="E1270" s="186"/>
      <c r="F1270" s="187"/>
    </row>
    <row r="1271" spans="1:6" x14ac:dyDescent="0.2">
      <c r="A1271" s="275"/>
      <c r="B1271" s="78"/>
      <c r="C1271" s="189"/>
      <c r="D1271" s="185"/>
      <c r="E1271" s="186"/>
      <c r="F1271" s="187"/>
    </row>
    <row r="1272" spans="1:6" x14ac:dyDescent="0.2">
      <c r="A1272" s="275"/>
      <c r="B1272" s="78"/>
      <c r="C1272" s="189"/>
      <c r="D1272" s="185"/>
      <c r="E1272" s="186"/>
      <c r="F1272" s="187"/>
    </row>
    <row r="1273" spans="1:6" x14ac:dyDescent="0.2">
      <c r="A1273" s="275"/>
      <c r="B1273" s="78"/>
      <c r="C1273" s="189"/>
      <c r="D1273" s="185"/>
      <c r="E1273" s="186"/>
      <c r="F1273" s="187"/>
    </row>
    <row r="1274" spans="1:6" x14ac:dyDescent="0.2">
      <c r="A1274" s="275"/>
      <c r="B1274" s="78"/>
      <c r="C1274" s="189"/>
      <c r="D1274" s="185"/>
      <c r="E1274" s="186"/>
      <c r="F1274" s="187"/>
    </row>
    <row r="1275" spans="1:6" x14ac:dyDescent="0.2">
      <c r="A1275" s="275"/>
      <c r="B1275" s="78"/>
      <c r="C1275" s="189"/>
      <c r="D1275" s="185"/>
      <c r="E1275" s="186"/>
      <c r="F1275" s="187"/>
    </row>
    <row r="1276" spans="1:6" x14ac:dyDescent="0.2">
      <c r="A1276" s="275"/>
      <c r="B1276" s="78"/>
      <c r="C1276" s="189"/>
      <c r="D1276" s="185"/>
      <c r="E1276" s="186"/>
      <c r="F1276" s="187"/>
    </row>
    <row r="1277" spans="1:6" x14ac:dyDescent="0.2">
      <c r="A1277" s="275"/>
      <c r="B1277" s="78"/>
      <c r="C1277" s="189"/>
      <c r="D1277" s="185"/>
      <c r="E1277" s="186"/>
      <c r="F1277" s="187"/>
    </row>
    <row r="1278" spans="1:6" x14ac:dyDescent="0.2">
      <c r="A1278" s="275"/>
      <c r="B1278" s="78"/>
      <c r="C1278" s="189"/>
      <c r="D1278" s="185"/>
      <c r="E1278" s="186"/>
      <c r="F1278" s="187"/>
    </row>
    <row r="1279" spans="1:6" x14ac:dyDescent="0.2">
      <c r="A1279" s="275"/>
      <c r="B1279" s="78"/>
      <c r="C1279" s="189"/>
      <c r="D1279" s="185"/>
      <c r="E1279" s="186"/>
      <c r="F1279" s="187"/>
    </row>
    <row r="1280" spans="1:6" x14ac:dyDescent="0.2">
      <c r="A1280" s="275"/>
      <c r="B1280" s="78"/>
      <c r="C1280" s="189"/>
      <c r="D1280" s="185"/>
      <c r="E1280" s="186"/>
      <c r="F1280" s="187"/>
    </row>
    <row r="1281" spans="1:6" x14ac:dyDescent="0.2">
      <c r="A1281" s="275"/>
      <c r="B1281" s="78"/>
      <c r="C1281" s="189"/>
      <c r="D1281" s="185"/>
      <c r="E1281" s="186"/>
      <c r="F1281" s="187"/>
    </row>
    <row r="1282" spans="1:6" x14ac:dyDescent="0.2">
      <c r="A1282" s="275"/>
      <c r="B1282" s="78"/>
      <c r="C1282" s="189"/>
      <c r="D1282" s="185"/>
      <c r="E1282" s="186"/>
      <c r="F1282" s="187"/>
    </row>
    <row r="1283" spans="1:6" x14ac:dyDescent="0.2">
      <c r="A1283" s="275"/>
      <c r="B1283" s="78"/>
      <c r="C1283" s="189"/>
      <c r="D1283" s="185"/>
      <c r="E1283" s="186"/>
      <c r="F1283" s="187"/>
    </row>
    <row r="1284" spans="1:6" x14ac:dyDescent="0.2">
      <c r="A1284" s="275"/>
      <c r="B1284" s="78"/>
      <c r="C1284" s="189"/>
      <c r="D1284" s="185"/>
      <c r="E1284" s="186"/>
      <c r="F1284" s="187"/>
    </row>
    <row r="1285" spans="1:6" x14ac:dyDescent="0.2">
      <c r="A1285" s="275"/>
      <c r="B1285" s="78"/>
      <c r="C1285" s="189"/>
      <c r="D1285" s="185"/>
      <c r="E1285" s="186"/>
      <c r="F1285" s="187"/>
    </row>
    <row r="1286" spans="1:6" x14ac:dyDescent="0.2">
      <c r="A1286" s="275"/>
      <c r="B1286" s="78"/>
      <c r="C1286" s="189"/>
      <c r="D1286" s="185"/>
      <c r="E1286" s="186"/>
      <c r="F1286" s="187"/>
    </row>
    <row r="1287" spans="1:6" x14ac:dyDescent="0.2">
      <c r="A1287" s="275"/>
      <c r="B1287" s="78"/>
      <c r="C1287" s="189"/>
      <c r="D1287" s="185"/>
      <c r="E1287" s="186"/>
      <c r="F1287" s="187"/>
    </row>
    <row r="1288" spans="1:6" x14ac:dyDescent="0.2">
      <c r="A1288" s="275"/>
      <c r="B1288" s="78"/>
      <c r="C1288" s="189"/>
      <c r="D1288" s="185"/>
      <c r="E1288" s="186"/>
      <c r="F1288" s="187"/>
    </row>
    <row r="1289" spans="1:6" x14ac:dyDescent="0.2">
      <c r="A1289" s="275"/>
      <c r="B1289" s="78"/>
      <c r="C1289" s="189"/>
      <c r="D1289" s="185"/>
      <c r="E1289" s="186"/>
      <c r="F1289" s="187"/>
    </row>
    <row r="1290" spans="1:6" x14ac:dyDescent="0.2">
      <c r="A1290" s="275"/>
      <c r="B1290" s="78"/>
      <c r="C1290" s="189"/>
      <c r="D1290" s="185"/>
      <c r="E1290" s="186"/>
      <c r="F1290" s="187"/>
    </row>
    <row r="1291" spans="1:6" x14ac:dyDescent="0.2">
      <c r="A1291" s="275"/>
      <c r="B1291" s="78"/>
      <c r="C1291" s="189"/>
      <c r="D1291" s="185"/>
      <c r="E1291" s="186"/>
      <c r="F1291" s="187"/>
    </row>
    <row r="1292" spans="1:6" x14ac:dyDescent="0.2">
      <c r="A1292" s="275"/>
      <c r="B1292" s="78"/>
      <c r="C1292" s="189"/>
      <c r="D1292" s="185"/>
      <c r="E1292" s="186"/>
      <c r="F1292" s="187"/>
    </row>
    <row r="1293" spans="1:6" x14ac:dyDescent="0.2">
      <c r="A1293" s="275"/>
      <c r="B1293" s="78"/>
      <c r="C1293" s="189"/>
      <c r="D1293" s="185"/>
      <c r="E1293" s="186"/>
      <c r="F1293" s="187"/>
    </row>
    <row r="1294" spans="1:6" x14ac:dyDescent="0.2">
      <c r="A1294" s="275"/>
      <c r="B1294" s="78"/>
      <c r="C1294" s="189"/>
      <c r="D1294" s="185"/>
      <c r="E1294" s="186"/>
      <c r="F1294" s="187"/>
    </row>
    <row r="1295" spans="1:6" x14ac:dyDescent="0.2">
      <c r="A1295" s="275"/>
      <c r="B1295" s="78"/>
      <c r="C1295" s="189"/>
      <c r="D1295" s="185"/>
      <c r="E1295" s="186"/>
      <c r="F1295" s="187"/>
    </row>
    <row r="1296" spans="1:6" x14ac:dyDescent="0.2">
      <c r="A1296" s="275"/>
      <c r="B1296" s="78"/>
      <c r="C1296" s="189"/>
      <c r="D1296" s="185"/>
      <c r="E1296" s="186"/>
      <c r="F1296" s="187"/>
    </row>
    <row r="1297" spans="1:6" x14ac:dyDescent="0.2">
      <c r="A1297" s="275"/>
      <c r="B1297" s="78"/>
      <c r="C1297" s="189"/>
      <c r="D1297" s="185"/>
      <c r="E1297" s="186"/>
      <c r="F1297" s="187"/>
    </row>
    <row r="1298" spans="1:6" x14ac:dyDescent="0.2">
      <c r="A1298" s="275"/>
      <c r="B1298" s="78"/>
      <c r="C1298" s="189"/>
      <c r="D1298" s="185"/>
      <c r="E1298" s="186"/>
      <c r="F1298" s="187"/>
    </row>
    <row r="1299" spans="1:6" x14ac:dyDescent="0.2">
      <c r="A1299" s="275"/>
      <c r="B1299" s="78"/>
      <c r="C1299" s="189"/>
      <c r="D1299" s="185"/>
      <c r="E1299" s="186"/>
      <c r="F1299" s="187"/>
    </row>
    <row r="1300" spans="1:6" x14ac:dyDescent="0.2">
      <c r="A1300" s="275"/>
      <c r="B1300" s="78"/>
      <c r="C1300" s="189"/>
      <c r="D1300" s="185"/>
      <c r="E1300" s="186"/>
      <c r="F1300" s="187"/>
    </row>
    <row r="1301" spans="1:6" x14ac:dyDescent="0.2">
      <c r="A1301" s="275"/>
      <c r="B1301" s="78"/>
      <c r="C1301" s="189"/>
      <c r="D1301" s="185"/>
      <c r="E1301" s="186"/>
      <c r="F1301" s="187"/>
    </row>
    <row r="1302" spans="1:6" x14ac:dyDescent="0.2">
      <c r="A1302" s="275"/>
      <c r="B1302" s="78"/>
      <c r="C1302" s="189"/>
      <c r="D1302" s="185"/>
      <c r="E1302" s="186"/>
      <c r="F1302" s="187"/>
    </row>
    <row r="1303" spans="1:6" x14ac:dyDescent="0.2">
      <c r="A1303" s="275"/>
      <c r="B1303" s="78"/>
      <c r="C1303" s="189"/>
      <c r="D1303" s="185"/>
      <c r="E1303" s="186"/>
      <c r="F1303" s="187"/>
    </row>
    <row r="1304" spans="1:6" x14ac:dyDescent="0.2">
      <c r="A1304" s="275"/>
      <c r="B1304" s="78"/>
      <c r="C1304" s="189"/>
      <c r="D1304" s="185"/>
      <c r="E1304" s="186"/>
      <c r="F1304" s="187"/>
    </row>
    <row r="1305" spans="1:6" x14ac:dyDescent="0.2">
      <c r="A1305" s="275"/>
      <c r="B1305" s="78"/>
      <c r="C1305" s="189"/>
      <c r="D1305" s="185"/>
      <c r="E1305" s="186"/>
      <c r="F1305" s="187"/>
    </row>
    <row r="1306" spans="1:6" x14ac:dyDescent="0.2">
      <c r="A1306" s="275"/>
      <c r="B1306" s="78"/>
      <c r="C1306" s="189"/>
      <c r="D1306" s="185"/>
      <c r="E1306" s="186"/>
      <c r="F1306" s="187"/>
    </row>
    <row r="1307" spans="1:6" x14ac:dyDescent="0.2">
      <c r="A1307" s="275"/>
      <c r="B1307" s="78"/>
      <c r="C1307" s="189"/>
      <c r="D1307" s="185"/>
      <c r="E1307" s="186"/>
      <c r="F1307" s="187"/>
    </row>
    <row r="1308" spans="1:6" x14ac:dyDescent="0.2">
      <c r="A1308" s="275"/>
      <c r="B1308" s="78"/>
      <c r="C1308" s="189"/>
      <c r="D1308" s="185"/>
      <c r="E1308" s="186"/>
      <c r="F1308" s="187"/>
    </row>
    <row r="1309" spans="1:6" x14ac:dyDescent="0.2">
      <c r="A1309" s="275"/>
      <c r="B1309" s="78"/>
      <c r="C1309" s="189"/>
      <c r="D1309" s="185"/>
      <c r="E1309" s="186"/>
      <c r="F1309" s="187"/>
    </row>
    <row r="1310" spans="1:6" x14ac:dyDescent="0.2">
      <c r="A1310" s="275"/>
      <c r="B1310" s="78"/>
      <c r="C1310" s="189"/>
      <c r="D1310" s="185"/>
      <c r="E1310" s="186"/>
      <c r="F1310" s="187"/>
    </row>
    <row r="1311" spans="1:6" x14ac:dyDescent="0.2">
      <c r="A1311" s="275"/>
      <c r="B1311" s="78"/>
      <c r="C1311" s="189"/>
      <c r="D1311" s="185"/>
      <c r="E1311" s="186"/>
      <c r="F1311" s="187"/>
    </row>
    <row r="1312" spans="1:6" x14ac:dyDescent="0.2">
      <c r="A1312" s="275"/>
      <c r="B1312" s="78"/>
      <c r="C1312" s="189"/>
      <c r="D1312" s="185"/>
      <c r="E1312" s="186"/>
      <c r="F1312" s="187"/>
    </row>
    <row r="1313" spans="1:6" x14ac:dyDescent="0.2">
      <c r="A1313" s="275"/>
      <c r="B1313" s="78"/>
      <c r="C1313" s="189"/>
      <c r="D1313" s="185"/>
      <c r="E1313" s="186"/>
      <c r="F1313" s="187"/>
    </row>
    <row r="1314" spans="1:6" x14ac:dyDescent="0.2">
      <c r="A1314" s="275"/>
      <c r="B1314" s="78"/>
      <c r="C1314" s="189"/>
      <c r="D1314" s="185"/>
      <c r="E1314" s="186"/>
      <c r="F1314" s="187"/>
    </row>
    <row r="1315" spans="1:6" x14ac:dyDescent="0.2">
      <c r="A1315" s="275"/>
      <c r="B1315" s="78"/>
      <c r="C1315" s="189"/>
      <c r="D1315" s="185"/>
      <c r="E1315" s="186"/>
      <c r="F1315" s="187"/>
    </row>
    <row r="1316" spans="1:6" x14ac:dyDescent="0.2">
      <c r="A1316" s="275"/>
      <c r="B1316" s="78"/>
      <c r="C1316" s="189"/>
      <c r="D1316" s="185"/>
      <c r="E1316" s="186"/>
      <c r="F1316" s="187"/>
    </row>
    <row r="1317" spans="1:6" x14ac:dyDescent="0.2">
      <c r="A1317" s="275"/>
      <c r="B1317" s="78"/>
      <c r="C1317" s="189"/>
      <c r="D1317" s="185"/>
      <c r="E1317" s="186"/>
      <c r="F1317" s="187"/>
    </row>
    <row r="1318" spans="1:6" x14ac:dyDescent="0.2">
      <c r="A1318" s="275"/>
      <c r="B1318" s="78"/>
      <c r="C1318" s="189"/>
      <c r="D1318" s="185"/>
      <c r="E1318" s="186"/>
      <c r="F1318" s="187"/>
    </row>
    <row r="1319" spans="1:6" x14ac:dyDescent="0.2">
      <c r="A1319" s="275"/>
      <c r="B1319" s="78"/>
      <c r="C1319" s="189"/>
      <c r="D1319" s="185"/>
      <c r="E1319" s="186"/>
      <c r="F1319" s="187"/>
    </row>
    <row r="1320" spans="1:6" x14ac:dyDescent="0.2">
      <c r="A1320" s="275"/>
      <c r="B1320" s="78"/>
      <c r="C1320" s="189"/>
      <c r="D1320" s="185"/>
      <c r="E1320" s="186"/>
      <c r="F1320" s="187"/>
    </row>
    <row r="1321" spans="1:6" x14ac:dyDescent="0.2">
      <c r="A1321" s="275"/>
      <c r="B1321" s="78"/>
      <c r="C1321" s="189"/>
      <c r="D1321" s="185"/>
      <c r="E1321" s="186"/>
      <c r="F1321" s="187"/>
    </row>
    <row r="1322" spans="1:6" x14ac:dyDescent="0.2">
      <c r="A1322" s="275"/>
      <c r="B1322" s="78"/>
      <c r="C1322" s="189"/>
      <c r="D1322" s="185"/>
      <c r="E1322" s="186"/>
      <c r="F1322" s="187"/>
    </row>
    <row r="1323" spans="1:6" x14ac:dyDescent="0.2">
      <c r="A1323" s="275"/>
      <c r="B1323" s="78"/>
      <c r="C1323" s="189"/>
      <c r="D1323" s="185"/>
      <c r="E1323" s="186"/>
      <c r="F1323" s="187"/>
    </row>
    <row r="1324" spans="1:6" x14ac:dyDescent="0.2">
      <c r="A1324" s="275"/>
      <c r="B1324" s="78"/>
      <c r="C1324" s="189"/>
      <c r="D1324" s="185"/>
      <c r="E1324" s="186"/>
      <c r="F1324" s="187"/>
    </row>
    <row r="1325" spans="1:6" x14ac:dyDescent="0.2">
      <c r="A1325" s="275"/>
      <c r="B1325" s="78"/>
      <c r="C1325" s="189"/>
      <c r="D1325" s="185"/>
      <c r="E1325" s="186"/>
      <c r="F1325" s="187"/>
    </row>
    <row r="1326" spans="1:6" x14ac:dyDescent="0.2">
      <c r="A1326" s="275"/>
      <c r="B1326" s="78"/>
      <c r="C1326" s="189"/>
      <c r="D1326" s="185"/>
      <c r="E1326" s="186"/>
      <c r="F1326" s="187"/>
    </row>
    <row r="1327" spans="1:6" x14ac:dyDescent="0.2">
      <c r="A1327" s="275"/>
      <c r="B1327" s="78"/>
      <c r="C1327" s="189"/>
      <c r="D1327" s="185"/>
      <c r="E1327" s="186"/>
      <c r="F1327" s="187"/>
    </row>
    <row r="1328" spans="1:6" x14ac:dyDescent="0.2">
      <c r="A1328" s="275"/>
      <c r="B1328" s="78"/>
      <c r="C1328" s="189"/>
      <c r="D1328" s="185"/>
      <c r="E1328" s="186"/>
      <c r="F1328" s="187"/>
    </row>
    <row r="1329" spans="1:6" x14ac:dyDescent="0.2">
      <c r="A1329" s="275"/>
      <c r="B1329" s="78"/>
      <c r="C1329" s="189"/>
      <c r="D1329" s="185"/>
      <c r="E1329" s="186"/>
      <c r="F1329" s="187"/>
    </row>
    <row r="1330" spans="1:6" x14ac:dyDescent="0.2">
      <c r="A1330" s="275"/>
      <c r="B1330" s="78"/>
      <c r="C1330" s="189"/>
      <c r="D1330" s="185"/>
      <c r="E1330" s="186"/>
      <c r="F1330" s="187"/>
    </row>
    <row r="1331" spans="1:6" x14ac:dyDescent="0.2">
      <c r="A1331" s="275"/>
      <c r="B1331" s="78"/>
      <c r="C1331" s="189"/>
      <c r="D1331" s="185"/>
      <c r="E1331" s="186"/>
      <c r="F1331" s="187"/>
    </row>
    <row r="1332" spans="1:6" x14ac:dyDescent="0.2">
      <c r="A1332" s="275"/>
      <c r="B1332" s="78"/>
      <c r="C1332" s="189"/>
      <c r="D1332" s="185"/>
      <c r="E1332" s="186"/>
      <c r="F1332" s="187"/>
    </row>
    <row r="1333" spans="1:6" x14ac:dyDescent="0.2">
      <c r="A1333" s="275"/>
      <c r="B1333" s="78"/>
      <c r="C1333" s="189"/>
      <c r="D1333" s="185"/>
      <c r="E1333" s="186"/>
      <c r="F1333" s="187"/>
    </row>
    <row r="1334" spans="1:6" x14ac:dyDescent="0.2">
      <c r="A1334" s="275"/>
      <c r="B1334" s="78"/>
      <c r="C1334" s="189"/>
      <c r="D1334" s="185"/>
      <c r="E1334" s="186"/>
      <c r="F1334" s="187"/>
    </row>
    <row r="1335" spans="1:6" x14ac:dyDescent="0.2">
      <c r="A1335" s="275"/>
      <c r="B1335" s="78"/>
      <c r="C1335" s="189"/>
      <c r="D1335" s="185"/>
      <c r="E1335" s="186"/>
      <c r="F1335" s="187"/>
    </row>
    <row r="1336" spans="1:6" x14ac:dyDescent="0.2">
      <c r="A1336" s="275"/>
      <c r="B1336" s="78"/>
      <c r="C1336" s="189"/>
      <c r="D1336" s="185"/>
      <c r="E1336" s="186"/>
      <c r="F1336" s="187"/>
    </row>
    <row r="1337" spans="1:6" x14ac:dyDescent="0.2">
      <c r="A1337" s="275"/>
      <c r="B1337" s="78"/>
      <c r="C1337" s="189"/>
      <c r="D1337" s="185"/>
      <c r="E1337" s="186"/>
      <c r="F1337" s="187"/>
    </row>
    <row r="1338" spans="1:6" x14ac:dyDescent="0.2">
      <c r="A1338" s="275"/>
      <c r="B1338" s="78"/>
      <c r="C1338" s="189"/>
      <c r="D1338" s="185"/>
      <c r="E1338" s="186"/>
      <c r="F1338" s="187"/>
    </row>
    <row r="1339" spans="1:6" x14ac:dyDescent="0.2">
      <c r="A1339" s="275"/>
      <c r="B1339" s="78"/>
      <c r="C1339" s="189"/>
      <c r="D1339" s="185"/>
      <c r="E1339" s="186"/>
      <c r="F1339" s="187"/>
    </row>
    <row r="1340" spans="1:6" x14ac:dyDescent="0.2">
      <c r="A1340" s="275"/>
      <c r="B1340" s="78"/>
      <c r="C1340" s="189"/>
      <c r="D1340" s="185"/>
      <c r="E1340" s="186"/>
      <c r="F1340" s="187"/>
    </row>
    <row r="1341" spans="1:6" x14ac:dyDescent="0.2">
      <c r="A1341" s="275"/>
      <c r="B1341" s="78"/>
      <c r="C1341" s="189"/>
      <c r="D1341" s="185"/>
      <c r="E1341" s="186"/>
      <c r="F1341" s="187"/>
    </row>
    <row r="1342" spans="1:6" x14ac:dyDescent="0.2">
      <c r="A1342" s="275"/>
      <c r="B1342" s="78"/>
      <c r="C1342" s="189"/>
      <c r="D1342" s="185"/>
      <c r="E1342" s="186"/>
      <c r="F1342" s="187"/>
    </row>
    <row r="1343" spans="1:6" x14ac:dyDescent="0.2">
      <c r="A1343" s="275"/>
      <c r="B1343" s="78"/>
      <c r="C1343" s="189"/>
      <c r="D1343" s="185"/>
      <c r="E1343" s="186"/>
      <c r="F1343" s="187"/>
    </row>
    <row r="1344" spans="1:6" x14ac:dyDescent="0.2">
      <c r="A1344" s="275"/>
      <c r="B1344" s="78"/>
      <c r="C1344" s="189"/>
      <c r="D1344" s="185"/>
      <c r="E1344" s="186"/>
      <c r="F1344" s="187"/>
    </row>
    <row r="1345" spans="1:6" x14ac:dyDescent="0.2">
      <c r="A1345" s="275"/>
      <c r="B1345" s="78"/>
      <c r="C1345" s="189"/>
      <c r="D1345" s="185"/>
      <c r="E1345" s="186"/>
      <c r="F1345" s="187"/>
    </row>
    <row r="1346" spans="1:6" x14ac:dyDescent="0.2">
      <c r="A1346" s="275"/>
      <c r="B1346" s="78"/>
      <c r="C1346" s="189"/>
      <c r="D1346" s="185"/>
      <c r="E1346" s="186"/>
      <c r="F1346" s="187"/>
    </row>
    <row r="1347" spans="1:6" x14ac:dyDescent="0.2">
      <c r="A1347" s="275"/>
      <c r="B1347" s="78"/>
      <c r="C1347" s="189"/>
      <c r="D1347" s="185"/>
      <c r="E1347" s="186"/>
      <c r="F1347" s="187"/>
    </row>
    <row r="1348" spans="1:6" x14ac:dyDescent="0.2">
      <c r="A1348" s="275"/>
      <c r="B1348" s="78"/>
      <c r="C1348" s="189"/>
      <c r="D1348" s="185"/>
      <c r="E1348" s="186"/>
      <c r="F1348" s="187"/>
    </row>
    <row r="1349" spans="1:6" x14ac:dyDescent="0.2">
      <c r="A1349" s="275"/>
      <c r="B1349" s="78"/>
      <c r="C1349" s="189"/>
      <c r="D1349" s="185"/>
      <c r="E1349" s="186"/>
      <c r="F1349" s="187"/>
    </row>
    <row r="1350" spans="1:6" x14ac:dyDescent="0.2">
      <c r="A1350" s="275"/>
      <c r="B1350" s="78"/>
      <c r="C1350" s="189"/>
      <c r="D1350" s="185"/>
      <c r="E1350" s="186"/>
      <c r="F1350" s="187"/>
    </row>
    <row r="1351" spans="1:6" x14ac:dyDescent="0.2">
      <c r="A1351" s="275"/>
      <c r="B1351" s="78"/>
      <c r="C1351" s="189"/>
      <c r="D1351" s="185"/>
      <c r="E1351" s="186"/>
      <c r="F1351" s="187"/>
    </row>
    <row r="1352" spans="1:6" x14ac:dyDescent="0.2">
      <c r="A1352" s="275"/>
      <c r="B1352" s="78"/>
      <c r="C1352" s="189"/>
      <c r="D1352" s="185"/>
      <c r="E1352" s="186"/>
      <c r="F1352" s="187"/>
    </row>
    <row r="1353" spans="1:6" x14ac:dyDescent="0.2">
      <c r="A1353" s="275"/>
      <c r="B1353" s="78"/>
      <c r="C1353" s="189"/>
      <c r="D1353" s="185"/>
      <c r="E1353" s="186"/>
      <c r="F1353" s="187"/>
    </row>
    <row r="1354" spans="1:6" x14ac:dyDescent="0.2">
      <c r="A1354" s="275"/>
      <c r="B1354" s="78"/>
      <c r="C1354" s="189"/>
      <c r="D1354" s="185"/>
      <c r="E1354" s="186"/>
      <c r="F1354" s="187"/>
    </row>
    <row r="1355" spans="1:6" x14ac:dyDescent="0.2">
      <c r="A1355" s="275"/>
      <c r="B1355" s="78"/>
      <c r="C1355" s="189"/>
      <c r="D1355" s="185"/>
      <c r="E1355" s="186"/>
      <c r="F1355" s="187"/>
    </row>
    <row r="1356" spans="1:6" x14ac:dyDescent="0.2">
      <c r="A1356" s="275"/>
      <c r="B1356" s="78"/>
      <c r="C1356" s="189"/>
      <c r="D1356" s="185"/>
      <c r="E1356" s="186"/>
      <c r="F1356" s="187"/>
    </row>
    <row r="1357" spans="1:6" x14ac:dyDescent="0.2">
      <c r="A1357" s="275"/>
      <c r="B1357" s="78"/>
      <c r="C1357" s="189"/>
      <c r="D1357" s="185"/>
      <c r="E1357" s="186"/>
      <c r="F1357" s="187"/>
    </row>
    <row r="1358" spans="1:6" x14ac:dyDescent="0.2">
      <c r="A1358" s="275"/>
      <c r="B1358" s="78"/>
      <c r="C1358" s="189"/>
      <c r="D1358" s="185"/>
      <c r="E1358" s="186"/>
      <c r="F1358" s="187"/>
    </row>
    <row r="1359" spans="1:6" x14ac:dyDescent="0.2">
      <c r="A1359" s="275"/>
      <c r="B1359" s="78"/>
      <c r="C1359" s="189"/>
      <c r="D1359" s="185"/>
      <c r="E1359" s="186"/>
      <c r="F1359" s="187"/>
    </row>
    <row r="1360" spans="1:6" x14ac:dyDescent="0.2">
      <c r="A1360" s="275"/>
      <c r="B1360" s="78"/>
      <c r="C1360" s="189"/>
      <c r="D1360" s="185"/>
      <c r="E1360" s="186"/>
      <c r="F1360" s="187"/>
    </row>
    <row r="1361" spans="1:6" x14ac:dyDescent="0.2">
      <c r="A1361" s="275"/>
      <c r="B1361" s="78"/>
      <c r="C1361" s="189"/>
      <c r="D1361" s="185"/>
      <c r="E1361" s="186"/>
      <c r="F1361" s="187"/>
    </row>
    <row r="1362" spans="1:6" x14ac:dyDescent="0.2">
      <c r="A1362" s="275"/>
      <c r="B1362" s="78"/>
      <c r="C1362" s="189"/>
      <c r="D1362" s="185"/>
      <c r="E1362" s="186"/>
      <c r="F1362" s="187"/>
    </row>
    <row r="1363" spans="1:6" x14ac:dyDescent="0.2">
      <c r="A1363" s="275"/>
      <c r="B1363" s="78"/>
      <c r="C1363" s="189"/>
      <c r="D1363" s="185"/>
      <c r="E1363" s="186"/>
      <c r="F1363" s="187"/>
    </row>
    <row r="1364" spans="1:6" x14ac:dyDescent="0.2">
      <c r="A1364" s="275"/>
      <c r="B1364" s="78"/>
      <c r="C1364" s="189"/>
      <c r="D1364" s="185"/>
      <c r="E1364" s="186"/>
      <c r="F1364" s="187"/>
    </row>
    <row r="1365" spans="1:6" x14ac:dyDescent="0.2">
      <c r="A1365" s="275"/>
      <c r="B1365" s="78"/>
      <c r="C1365" s="189"/>
      <c r="D1365" s="185"/>
      <c r="E1365" s="186"/>
      <c r="F1365" s="187"/>
    </row>
    <row r="1366" spans="1:6" x14ac:dyDescent="0.2">
      <c r="A1366" s="275"/>
      <c r="B1366" s="78"/>
      <c r="C1366" s="189"/>
      <c r="D1366" s="185"/>
      <c r="E1366" s="186"/>
      <c r="F1366" s="187"/>
    </row>
    <row r="1367" spans="1:6" x14ac:dyDescent="0.2">
      <c r="A1367" s="275"/>
      <c r="B1367" s="78"/>
      <c r="C1367" s="189"/>
      <c r="D1367" s="185"/>
      <c r="E1367" s="186"/>
      <c r="F1367" s="187"/>
    </row>
    <row r="1368" spans="1:6" x14ac:dyDescent="0.2">
      <c r="A1368" s="275"/>
      <c r="B1368" s="78"/>
      <c r="C1368" s="189"/>
      <c r="D1368" s="185"/>
      <c r="E1368" s="186"/>
      <c r="F1368" s="187"/>
    </row>
    <row r="1369" spans="1:6" x14ac:dyDescent="0.2">
      <c r="A1369" s="275"/>
      <c r="B1369" s="78"/>
      <c r="C1369" s="189"/>
      <c r="D1369" s="185"/>
      <c r="E1369" s="186"/>
      <c r="F1369" s="187"/>
    </row>
    <row r="1370" spans="1:6" x14ac:dyDescent="0.2">
      <c r="A1370" s="275"/>
      <c r="B1370" s="78"/>
      <c r="C1370" s="189"/>
      <c r="D1370" s="185"/>
      <c r="E1370" s="186"/>
      <c r="F1370" s="187"/>
    </row>
    <row r="1371" spans="1:6" x14ac:dyDescent="0.2">
      <c r="A1371" s="275"/>
      <c r="B1371" s="78"/>
      <c r="C1371" s="189"/>
      <c r="D1371" s="185"/>
      <c r="E1371" s="186"/>
      <c r="F1371" s="187"/>
    </row>
    <row r="1372" spans="1:6" x14ac:dyDescent="0.2">
      <c r="A1372" s="275"/>
      <c r="B1372" s="78"/>
      <c r="C1372" s="189"/>
      <c r="D1372" s="185"/>
      <c r="E1372" s="186"/>
      <c r="F1372" s="187"/>
    </row>
    <row r="1373" spans="1:6" x14ac:dyDescent="0.2">
      <c r="A1373" s="275"/>
      <c r="B1373" s="78"/>
      <c r="C1373" s="189"/>
      <c r="D1373" s="185"/>
      <c r="E1373" s="186"/>
      <c r="F1373" s="187"/>
    </row>
    <row r="1374" spans="1:6" x14ac:dyDescent="0.2">
      <c r="A1374" s="275"/>
      <c r="B1374" s="78"/>
      <c r="C1374" s="189"/>
      <c r="D1374" s="185"/>
      <c r="E1374" s="186"/>
      <c r="F1374" s="187"/>
    </row>
    <row r="1375" spans="1:6" x14ac:dyDescent="0.2">
      <c r="A1375" s="275"/>
      <c r="B1375" s="78"/>
      <c r="C1375" s="189"/>
      <c r="D1375" s="185"/>
      <c r="E1375" s="186"/>
      <c r="F1375" s="187"/>
    </row>
    <row r="1376" spans="1:6" x14ac:dyDescent="0.2">
      <c r="A1376" s="275"/>
      <c r="B1376" s="78"/>
      <c r="C1376" s="189"/>
      <c r="D1376" s="185"/>
      <c r="E1376" s="186"/>
      <c r="F1376" s="187"/>
    </row>
    <row r="1377" spans="1:6" x14ac:dyDescent="0.2">
      <c r="A1377" s="275"/>
      <c r="B1377" s="78"/>
      <c r="C1377" s="189"/>
      <c r="D1377" s="185"/>
      <c r="E1377" s="186"/>
      <c r="F1377" s="187"/>
    </row>
    <row r="1378" spans="1:6" x14ac:dyDescent="0.2">
      <c r="A1378" s="275"/>
      <c r="B1378" s="78"/>
      <c r="C1378" s="189"/>
      <c r="D1378" s="185"/>
      <c r="E1378" s="186"/>
      <c r="F1378" s="187"/>
    </row>
    <row r="1379" spans="1:6" x14ac:dyDescent="0.2">
      <c r="A1379" s="275"/>
      <c r="B1379" s="78"/>
      <c r="C1379" s="189"/>
      <c r="D1379" s="185"/>
      <c r="E1379" s="186"/>
      <c r="F1379" s="187"/>
    </row>
    <row r="1380" spans="1:6" x14ac:dyDescent="0.2">
      <c r="A1380" s="275"/>
      <c r="B1380" s="78"/>
      <c r="C1380" s="189"/>
      <c r="D1380" s="185"/>
      <c r="E1380" s="186"/>
      <c r="F1380" s="187"/>
    </row>
    <row r="1381" spans="1:6" x14ac:dyDescent="0.2">
      <c r="A1381" s="275"/>
      <c r="B1381" s="78"/>
      <c r="C1381" s="189"/>
      <c r="D1381" s="185"/>
      <c r="E1381" s="186"/>
      <c r="F1381" s="187"/>
    </row>
    <row r="1382" spans="1:6" x14ac:dyDescent="0.2">
      <c r="A1382" s="275"/>
      <c r="B1382" s="78"/>
      <c r="C1382" s="189"/>
      <c r="D1382" s="185"/>
      <c r="E1382" s="186"/>
      <c r="F1382" s="187"/>
    </row>
    <row r="1383" spans="1:6" x14ac:dyDescent="0.2">
      <c r="A1383" s="275"/>
      <c r="B1383" s="78"/>
      <c r="C1383" s="189"/>
      <c r="D1383" s="185"/>
      <c r="E1383" s="186"/>
      <c r="F1383" s="187"/>
    </row>
    <row r="1384" spans="1:6" x14ac:dyDescent="0.2">
      <c r="A1384" s="275"/>
      <c r="B1384" s="78"/>
      <c r="C1384" s="189"/>
      <c r="D1384" s="185"/>
      <c r="E1384" s="186"/>
      <c r="F1384" s="187"/>
    </row>
    <row r="1385" spans="1:6" x14ac:dyDescent="0.2">
      <c r="A1385" s="275"/>
      <c r="B1385" s="78"/>
      <c r="C1385" s="189"/>
      <c r="D1385" s="185"/>
      <c r="E1385" s="186"/>
      <c r="F1385" s="187"/>
    </row>
    <row r="1386" spans="1:6" x14ac:dyDescent="0.2">
      <c r="A1386" s="275"/>
      <c r="B1386" s="78"/>
      <c r="C1386" s="189"/>
      <c r="D1386" s="185"/>
      <c r="E1386" s="186"/>
      <c r="F1386" s="187"/>
    </row>
    <row r="1387" spans="1:6" x14ac:dyDescent="0.2">
      <c r="A1387" s="275"/>
      <c r="B1387" s="78"/>
      <c r="C1387" s="189"/>
      <c r="D1387" s="185"/>
      <c r="E1387" s="186"/>
      <c r="F1387" s="187"/>
    </row>
    <row r="1388" spans="1:6" x14ac:dyDescent="0.2">
      <c r="A1388" s="275"/>
      <c r="B1388" s="78"/>
      <c r="C1388" s="189"/>
      <c r="D1388" s="185"/>
      <c r="E1388" s="186"/>
      <c r="F1388" s="187"/>
    </row>
    <row r="1389" spans="1:6" x14ac:dyDescent="0.2">
      <c r="A1389" s="275"/>
      <c r="B1389" s="78"/>
      <c r="C1389" s="189"/>
      <c r="D1389" s="185"/>
      <c r="E1389" s="186"/>
      <c r="F1389" s="187"/>
    </row>
    <row r="1390" spans="1:6" x14ac:dyDescent="0.2">
      <c r="A1390" s="275"/>
      <c r="B1390" s="78"/>
      <c r="C1390" s="189"/>
      <c r="D1390" s="185"/>
      <c r="E1390" s="186"/>
      <c r="F1390" s="187"/>
    </row>
    <row r="1391" spans="1:6" x14ac:dyDescent="0.2">
      <c r="A1391" s="275"/>
      <c r="B1391" s="78"/>
      <c r="C1391" s="189"/>
      <c r="D1391" s="185"/>
      <c r="E1391" s="186"/>
      <c r="F1391" s="187"/>
    </row>
    <row r="1392" spans="1:6" x14ac:dyDescent="0.2">
      <c r="A1392" s="275"/>
      <c r="B1392" s="78"/>
      <c r="C1392" s="189"/>
      <c r="D1392" s="185"/>
      <c r="E1392" s="186"/>
      <c r="F1392" s="187"/>
    </row>
    <row r="1393" spans="1:6" x14ac:dyDescent="0.2">
      <c r="A1393" s="275"/>
      <c r="B1393" s="78"/>
      <c r="C1393" s="189"/>
      <c r="D1393" s="185"/>
      <c r="E1393" s="186"/>
      <c r="F1393" s="187"/>
    </row>
    <row r="1394" spans="1:6" x14ac:dyDescent="0.2">
      <c r="A1394" s="275"/>
      <c r="B1394" s="78"/>
      <c r="C1394" s="189"/>
      <c r="D1394" s="185"/>
      <c r="E1394" s="186"/>
      <c r="F1394" s="187"/>
    </row>
    <row r="1395" spans="1:6" x14ac:dyDescent="0.2">
      <c r="A1395" s="275"/>
      <c r="B1395" s="78"/>
      <c r="C1395" s="189"/>
      <c r="D1395" s="185"/>
      <c r="E1395" s="186"/>
      <c r="F1395" s="187"/>
    </row>
    <row r="1396" spans="1:6" x14ac:dyDescent="0.2">
      <c r="A1396" s="275"/>
      <c r="B1396" s="78"/>
      <c r="C1396" s="189"/>
      <c r="D1396" s="185"/>
      <c r="E1396" s="186"/>
      <c r="F1396" s="187"/>
    </row>
    <row r="1397" spans="1:6" x14ac:dyDescent="0.2">
      <c r="A1397" s="275"/>
      <c r="B1397" s="78"/>
      <c r="C1397" s="189"/>
      <c r="D1397" s="185"/>
      <c r="E1397" s="186"/>
      <c r="F1397" s="187"/>
    </row>
    <row r="1398" spans="1:6" x14ac:dyDescent="0.2">
      <c r="A1398" s="275"/>
      <c r="B1398" s="78"/>
      <c r="C1398" s="189"/>
      <c r="D1398" s="185"/>
      <c r="E1398" s="186"/>
      <c r="F1398" s="187"/>
    </row>
    <row r="1399" spans="1:6" x14ac:dyDescent="0.2">
      <c r="A1399" s="275"/>
      <c r="B1399" s="78"/>
      <c r="C1399" s="189"/>
      <c r="D1399" s="185"/>
      <c r="E1399" s="186"/>
      <c r="F1399" s="187"/>
    </row>
    <row r="1400" spans="1:6" x14ac:dyDescent="0.2">
      <c r="A1400" s="275"/>
      <c r="B1400" s="78"/>
      <c r="C1400" s="189"/>
      <c r="D1400" s="185"/>
      <c r="E1400" s="186"/>
      <c r="F1400" s="187"/>
    </row>
    <row r="1401" spans="1:6" x14ac:dyDescent="0.2">
      <c r="A1401" s="275"/>
      <c r="B1401" s="78"/>
      <c r="C1401" s="189"/>
      <c r="D1401" s="185"/>
      <c r="E1401" s="186"/>
      <c r="F1401" s="187"/>
    </row>
    <row r="1402" spans="1:6" x14ac:dyDescent="0.2">
      <c r="A1402" s="275"/>
      <c r="B1402" s="78"/>
      <c r="C1402" s="189"/>
      <c r="D1402" s="185"/>
      <c r="E1402" s="186"/>
      <c r="F1402" s="187"/>
    </row>
    <row r="1403" spans="1:6" x14ac:dyDescent="0.2">
      <c r="A1403" s="275"/>
      <c r="B1403" s="78"/>
      <c r="C1403" s="189"/>
      <c r="D1403" s="185"/>
      <c r="E1403" s="186"/>
      <c r="F1403" s="187"/>
    </row>
    <row r="1404" spans="1:6" x14ac:dyDescent="0.2">
      <c r="A1404" s="275"/>
      <c r="B1404" s="78"/>
      <c r="C1404" s="189"/>
      <c r="D1404" s="185"/>
      <c r="E1404" s="186"/>
      <c r="F1404" s="187"/>
    </row>
    <row r="1405" spans="1:6" x14ac:dyDescent="0.2">
      <c r="A1405" s="275"/>
      <c r="B1405" s="78"/>
      <c r="C1405" s="189"/>
      <c r="D1405" s="185"/>
      <c r="E1405" s="186"/>
      <c r="F1405" s="187"/>
    </row>
    <row r="1406" spans="1:6" x14ac:dyDescent="0.2">
      <c r="A1406" s="275"/>
      <c r="B1406" s="78"/>
      <c r="C1406" s="189"/>
      <c r="D1406" s="185"/>
      <c r="E1406" s="186"/>
      <c r="F1406" s="187"/>
    </row>
    <row r="1407" spans="1:6" x14ac:dyDescent="0.2">
      <c r="A1407" s="275"/>
      <c r="B1407" s="78"/>
      <c r="C1407" s="189"/>
      <c r="D1407" s="185"/>
      <c r="E1407" s="186"/>
      <c r="F1407" s="187"/>
    </row>
    <row r="1408" spans="1:6" x14ac:dyDescent="0.2">
      <c r="A1408" s="275"/>
      <c r="B1408" s="78"/>
      <c r="C1408" s="189"/>
      <c r="D1408" s="185"/>
      <c r="E1408" s="186"/>
      <c r="F1408" s="187"/>
    </row>
    <row r="1409" spans="1:6" x14ac:dyDescent="0.2">
      <c r="A1409" s="275"/>
      <c r="B1409" s="78"/>
      <c r="C1409" s="189"/>
      <c r="D1409" s="185"/>
      <c r="E1409" s="186"/>
      <c r="F1409" s="187"/>
    </row>
    <row r="1410" spans="1:6" x14ac:dyDescent="0.2">
      <c r="A1410" s="275"/>
      <c r="B1410" s="78"/>
      <c r="C1410" s="189"/>
      <c r="D1410" s="185"/>
      <c r="E1410" s="186"/>
      <c r="F1410" s="187"/>
    </row>
    <row r="1411" spans="1:6" x14ac:dyDescent="0.2">
      <c r="A1411" s="275"/>
      <c r="B1411" s="78"/>
      <c r="C1411" s="189"/>
      <c r="D1411" s="185"/>
      <c r="E1411" s="186"/>
      <c r="F1411" s="187"/>
    </row>
    <row r="1412" spans="1:6" x14ac:dyDescent="0.2">
      <c r="A1412" s="275"/>
      <c r="B1412" s="78"/>
      <c r="C1412" s="189"/>
      <c r="D1412" s="185"/>
      <c r="E1412" s="186"/>
      <c r="F1412" s="187"/>
    </row>
    <row r="1413" spans="1:6" x14ac:dyDescent="0.2">
      <c r="A1413" s="275"/>
      <c r="B1413" s="78"/>
      <c r="C1413" s="189"/>
      <c r="D1413" s="185"/>
      <c r="E1413" s="186"/>
      <c r="F1413" s="187"/>
    </row>
    <row r="1414" spans="1:6" x14ac:dyDescent="0.2">
      <c r="A1414" s="275"/>
      <c r="B1414" s="78"/>
      <c r="C1414" s="189"/>
      <c r="D1414" s="185"/>
      <c r="E1414" s="186"/>
      <c r="F1414" s="187"/>
    </row>
    <row r="1415" spans="1:6" x14ac:dyDescent="0.2">
      <c r="A1415" s="275"/>
      <c r="B1415" s="78"/>
      <c r="C1415" s="189"/>
      <c r="D1415" s="185"/>
      <c r="E1415" s="186"/>
      <c r="F1415" s="187"/>
    </row>
    <row r="1416" spans="1:6" x14ac:dyDescent="0.2">
      <c r="A1416" s="275"/>
      <c r="B1416" s="78"/>
      <c r="C1416" s="189"/>
      <c r="D1416" s="185"/>
      <c r="E1416" s="186"/>
      <c r="F1416" s="187"/>
    </row>
    <row r="1417" spans="1:6" x14ac:dyDescent="0.2">
      <c r="A1417" s="275"/>
      <c r="B1417" s="78"/>
      <c r="C1417" s="189"/>
      <c r="D1417" s="185"/>
      <c r="E1417" s="186"/>
      <c r="F1417" s="187"/>
    </row>
    <row r="1418" spans="1:6" x14ac:dyDescent="0.2">
      <c r="A1418" s="275"/>
      <c r="B1418" s="78"/>
      <c r="C1418" s="189"/>
      <c r="D1418" s="185"/>
      <c r="E1418" s="186"/>
      <c r="F1418" s="187"/>
    </row>
    <row r="1419" spans="1:6" x14ac:dyDescent="0.2">
      <c r="A1419" s="275"/>
      <c r="B1419" s="78"/>
      <c r="C1419" s="189"/>
      <c r="D1419" s="185"/>
      <c r="E1419" s="186"/>
      <c r="F1419" s="187"/>
    </row>
    <row r="1420" spans="1:6" x14ac:dyDescent="0.2">
      <c r="A1420" s="275"/>
      <c r="B1420" s="78"/>
      <c r="C1420" s="189"/>
      <c r="D1420" s="185"/>
      <c r="E1420" s="186"/>
      <c r="F1420" s="187"/>
    </row>
    <row r="1421" spans="1:6" x14ac:dyDescent="0.2">
      <c r="A1421" s="275"/>
      <c r="B1421" s="78"/>
      <c r="C1421" s="189"/>
      <c r="D1421" s="185"/>
      <c r="E1421" s="186"/>
      <c r="F1421" s="187"/>
    </row>
    <row r="1422" spans="1:6" x14ac:dyDescent="0.2">
      <c r="A1422" s="275"/>
      <c r="B1422" s="78"/>
      <c r="C1422" s="189"/>
      <c r="D1422" s="185"/>
      <c r="E1422" s="186"/>
      <c r="F1422" s="187"/>
    </row>
    <row r="1423" spans="1:6" x14ac:dyDescent="0.2">
      <c r="A1423" s="275"/>
      <c r="B1423" s="78"/>
      <c r="C1423" s="189"/>
      <c r="D1423" s="185"/>
      <c r="E1423" s="186"/>
      <c r="F1423" s="187"/>
    </row>
    <row r="1424" spans="1:6" x14ac:dyDescent="0.2">
      <c r="A1424" s="275"/>
      <c r="B1424" s="78"/>
      <c r="C1424" s="189"/>
      <c r="D1424" s="185"/>
      <c r="E1424" s="186"/>
      <c r="F1424" s="187"/>
    </row>
    <row r="1425" spans="1:6" x14ac:dyDescent="0.2">
      <c r="A1425" s="275"/>
      <c r="B1425" s="78"/>
      <c r="C1425" s="189"/>
      <c r="D1425" s="185"/>
      <c r="E1425" s="186"/>
      <c r="F1425" s="187"/>
    </row>
    <row r="1426" spans="1:6" x14ac:dyDescent="0.2">
      <c r="A1426" s="275"/>
      <c r="B1426" s="78"/>
      <c r="C1426" s="189"/>
      <c r="D1426" s="185"/>
      <c r="E1426" s="186"/>
      <c r="F1426" s="187"/>
    </row>
    <row r="1427" spans="1:6" x14ac:dyDescent="0.2">
      <c r="A1427" s="275"/>
      <c r="B1427" s="78"/>
      <c r="C1427" s="189"/>
      <c r="D1427" s="185"/>
      <c r="E1427" s="186"/>
      <c r="F1427" s="187"/>
    </row>
    <row r="1428" spans="1:6" x14ac:dyDescent="0.2">
      <c r="A1428" s="275"/>
      <c r="B1428" s="78"/>
      <c r="C1428" s="189"/>
      <c r="D1428" s="185"/>
      <c r="E1428" s="186"/>
      <c r="F1428" s="187"/>
    </row>
    <row r="1429" spans="1:6" x14ac:dyDescent="0.2">
      <c r="A1429" s="275"/>
      <c r="B1429" s="78"/>
      <c r="C1429" s="189"/>
      <c r="D1429" s="185"/>
      <c r="E1429" s="186"/>
      <c r="F1429" s="187"/>
    </row>
    <row r="1430" spans="1:6" x14ac:dyDescent="0.2">
      <c r="A1430" s="275"/>
      <c r="B1430" s="78"/>
      <c r="C1430" s="189"/>
      <c r="D1430" s="185"/>
      <c r="E1430" s="186"/>
      <c r="F1430" s="187"/>
    </row>
    <row r="1431" spans="1:6" x14ac:dyDescent="0.2">
      <c r="A1431" s="275"/>
      <c r="B1431" s="78"/>
      <c r="C1431" s="189"/>
      <c r="D1431" s="185"/>
      <c r="E1431" s="186"/>
      <c r="F1431" s="187"/>
    </row>
    <row r="1432" spans="1:6" x14ac:dyDescent="0.2">
      <c r="A1432" s="275"/>
      <c r="B1432" s="78"/>
      <c r="C1432" s="189"/>
      <c r="D1432" s="185"/>
      <c r="E1432" s="186"/>
      <c r="F1432" s="187"/>
    </row>
    <row r="1433" spans="1:6" x14ac:dyDescent="0.2">
      <c r="A1433" s="275"/>
      <c r="B1433" s="78"/>
      <c r="C1433" s="189"/>
      <c r="D1433" s="185"/>
      <c r="E1433" s="186"/>
      <c r="F1433" s="187"/>
    </row>
    <row r="1434" spans="1:6" x14ac:dyDescent="0.2">
      <c r="A1434" s="275"/>
      <c r="B1434" s="78"/>
      <c r="C1434" s="189"/>
      <c r="D1434" s="185"/>
      <c r="E1434" s="186"/>
      <c r="F1434" s="187"/>
    </row>
    <row r="1435" spans="1:6" x14ac:dyDescent="0.2">
      <c r="A1435" s="275"/>
      <c r="B1435" s="78"/>
      <c r="C1435" s="189"/>
      <c r="D1435" s="185"/>
      <c r="E1435" s="186"/>
      <c r="F1435" s="187"/>
    </row>
    <row r="1436" spans="1:6" x14ac:dyDescent="0.2">
      <c r="A1436" s="275"/>
      <c r="B1436" s="78"/>
      <c r="C1436" s="189"/>
      <c r="D1436" s="185"/>
      <c r="E1436" s="186"/>
      <c r="F1436" s="187"/>
    </row>
    <row r="1437" spans="1:6" x14ac:dyDescent="0.2">
      <c r="A1437" s="275"/>
      <c r="B1437" s="78"/>
      <c r="C1437" s="189"/>
      <c r="D1437" s="185"/>
      <c r="E1437" s="186"/>
      <c r="F1437" s="187"/>
    </row>
    <row r="1438" spans="1:6" x14ac:dyDescent="0.2">
      <c r="A1438" s="275"/>
      <c r="B1438" s="78"/>
      <c r="C1438" s="189"/>
      <c r="D1438" s="185"/>
      <c r="E1438" s="186"/>
      <c r="F1438" s="187"/>
    </row>
    <row r="1439" spans="1:6" x14ac:dyDescent="0.2">
      <c r="A1439" s="275"/>
      <c r="B1439" s="78"/>
      <c r="C1439" s="189"/>
      <c r="D1439" s="185"/>
      <c r="E1439" s="186"/>
      <c r="F1439" s="187"/>
    </row>
    <row r="1440" spans="1:6" x14ac:dyDescent="0.2">
      <c r="A1440" s="275"/>
      <c r="B1440" s="78"/>
      <c r="C1440" s="189"/>
      <c r="D1440" s="185"/>
      <c r="E1440" s="186"/>
      <c r="F1440" s="187"/>
    </row>
    <row r="1441" spans="1:6" x14ac:dyDescent="0.2">
      <c r="A1441" s="275"/>
      <c r="B1441" s="78"/>
      <c r="C1441" s="189"/>
      <c r="D1441" s="185"/>
      <c r="E1441" s="186"/>
      <c r="F1441" s="187"/>
    </row>
    <row r="1442" spans="1:6" x14ac:dyDescent="0.2">
      <c r="A1442" s="275"/>
      <c r="B1442" s="78"/>
      <c r="C1442" s="189"/>
      <c r="D1442" s="185"/>
      <c r="E1442" s="186"/>
      <c r="F1442" s="187"/>
    </row>
    <row r="1443" spans="1:6" x14ac:dyDescent="0.2">
      <c r="A1443" s="275"/>
      <c r="B1443" s="78"/>
      <c r="C1443" s="189"/>
      <c r="D1443" s="185"/>
      <c r="E1443" s="186"/>
      <c r="F1443" s="187"/>
    </row>
    <row r="1444" spans="1:6" x14ac:dyDescent="0.2">
      <c r="A1444" s="275"/>
      <c r="B1444" s="78"/>
      <c r="C1444" s="189"/>
      <c r="D1444" s="185"/>
      <c r="E1444" s="186"/>
      <c r="F1444" s="187"/>
    </row>
    <row r="1445" spans="1:6" x14ac:dyDescent="0.2">
      <c r="A1445" s="275"/>
      <c r="B1445" s="78"/>
      <c r="C1445" s="189"/>
      <c r="D1445" s="185"/>
      <c r="E1445" s="186"/>
      <c r="F1445" s="187"/>
    </row>
    <row r="1446" spans="1:6" x14ac:dyDescent="0.2">
      <c r="A1446" s="275"/>
      <c r="B1446" s="78"/>
      <c r="C1446" s="189"/>
      <c r="D1446" s="185"/>
      <c r="E1446" s="186"/>
      <c r="F1446" s="187"/>
    </row>
    <row r="1447" spans="1:6" x14ac:dyDescent="0.2">
      <c r="A1447" s="275"/>
      <c r="B1447" s="78"/>
      <c r="C1447" s="189"/>
      <c r="D1447" s="185"/>
      <c r="E1447" s="186"/>
      <c r="F1447" s="187"/>
    </row>
    <row r="1448" spans="1:6" x14ac:dyDescent="0.2">
      <c r="A1448" s="275"/>
      <c r="B1448" s="78"/>
      <c r="C1448" s="189"/>
      <c r="D1448" s="185"/>
      <c r="E1448" s="186"/>
      <c r="F1448" s="187"/>
    </row>
    <row r="1449" spans="1:6" x14ac:dyDescent="0.2">
      <c r="A1449" s="275"/>
      <c r="B1449" s="78"/>
      <c r="C1449" s="189"/>
      <c r="D1449" s="185"/>
      <c r="E1449" s="186"/>
      <c r="F1449" s="187"/>
    </row>
    <row r="1450" spans="1:6" x14ac:dyDescent="0.2">
      <c r="A1450" s="275"/>
      <c r="B1450" s="78"/>
      <c r="C1450" s="189"/>
      <c r="D1450" s="185"/>
      <c r="E1450" s="186"/>
      <c r="F1450" s="187"/>
    </row>
    <row r="1451" spans="1:6" x14ac:dyDescent="0.2">
      <c r="A1451" s="275"/>
      <c r="B1451" s="78"/>
      <c r="C1451" s="189"/>
      <c r="D1451" s="185"/>
      <c r="E1451" s="186"/>
      <c r="F1451" s="187"/>
    </row>
    <row r="1452" spans="1:6" x14ac:dyDescent="0.2">
      <c r="A1452" s="275"/>
      <c r="B1452" s="78"/>
      <c r="C1452" s="189"/>
      <c r="D1452" s="185"/>
      <c r="E1452" s="186"/>
      <c r="F1452" s="187"/>
    </row>
    <row r="1453" spans="1:6" x14ac:dyDescent="0.2">
      <c r="A1453" s="275"/>
      <c r="B1453" s="78"/>
      <c r="C1453" s="189"/>
      <c r="D1453" s="185"/>
      <c r="E1453" s="186"/>
      <c r="F1453" s="187"/>
    </row>
    <row r="1454" spans="1:6" x14ac:dyDescent="0.2">
      <c r="A1454" s="275"/>
      <c r="B1454" s="78"/>
      <c r="C1454" s="189"/>
      <c r="D1454" s="185"/>
      <c r="E1454" s="186"/>
      <c r="F1454" s="187"/>
    </row>
    <row r="1455" spans="1:6" x14ac:dyDescent="0.2">
      <c r="A1455" s="275"/>
      <c r="B1455" s="78"/>
      <c r="C1455" s="189"/>
      <c r="D1455" s="185"/>
      <c r="E1455" s="186"/>
      <c r="F1455" s="187"/>
    </row>
    <row r="1456" spans="1:6" x14ac:dyDescent="0.2">
      <c r="A1456" s="275"/>
      <c r="B1456" s="78"/>
      <c r="C1456" s="189"/>
      <c r="D1456" s="185"/>
      <c r="E1456" s="186"/>
      <c r="F1456" s="187"/>
    </row>
    <row r="1457" spans="1:6" x14ac:dyDescent="0.2">
      <c r="A1457" s="275"/>
      <c r="B1457" s="78"/>
      <c r="C1457" s="189"/>
      <c r="D1457" s="185"/>
      <c r="E1457" s="186"/>
      <c r="F1457" s="187"/>
    </row>
    <row r="1458" spans="1:6" x14ac:dyDescent="0.2">
      <c r="A1458" s="275"/>
      <c r="B1458" s="78"/>
      <c r="C1458" s="189"/>
      <c r="D1458" s="185"/>
      <c r="E1458" s="186"/>
      <c r="F1458" s="187"/>
    </row>
    <row r="1459" spans="1:6" x14ac:dyDescent="0.2">
      <c r="A1459" s="275"/>
      <c r="B1459" s="78"/>
      <c r="C1459" s="189"/>
      <c r="D1459" s="185"/>
      <c r="E1459" s="186"/>
      <c r="F1459" s="187"/>
    </row>
    <row r="1460" spans="1:6" x14ac:dyDescent="0.2">
      <c r="A1460" s="275"/>
      <c r="B1460" s="78"/>
      <c r="C1460" s="189"/>
      <c r="D1460" s="185"/>
      <c r="E1460" s="186"/>
      <c r="F1460" s="187"/>
    </row>
    <row r="1461" spans="1:6" x14ac:dyDescent="0.2">
      <c r="A1461" s="275"/>
      <c r="B1461" s="78"/>
      <c r="C1461" s="189"/>
      <c r="D1461" s="185"/>
      <c r="E1461" s="186"/>
      <c r="F1461" s="187"/>
    </row>
    <row r="1462" spans="1:6" x14ac:dyDescent="0.2">
      <c r="A1462" s="275"/>
      <c r="B1462" s="78"/>
      <c r="C1462" s="189"/>
      <c r="D1462" s="185"/>
      <c r="E1462" s="186"/>
      <c r="F1462" s="187"/>
    </row>
    <row r="1463" spans="1:6" x14ac:dyDescent="0.2">
      <c r="A1463" s="275"/>
      <c r="B1463" s="78"/>
      <c r="C1463" s="189"/>
      <c r="D1463" s="185"/>
      <c r="E1463" s="186"/>
      <c r="F1463" s="187"/>
    </row>
    <row r="1464" spans="1:6" x14ac:dyDescent="0.2">
      <c r="A1464" s="275"/>
      <c r="B1464" s="78"/>
      <c r="C1464" s="189"/>
      <c r="D1464" s="185"/>
      <c r="E1464" s="186"/>
      <c r="F1464" s="187"/>
    </row>
    <row r="1465" spans="1:6" x14ac:dyDescent="0.2">
      <c r="A1465" s="275"/>
      <c r="B1465" s="78"/>
      <c r="C1465" s="189"/>
      <c r="D1465" s="185"/>
      <c r="E1465" s="186"/>
      <c r="F1465" s="187"/>
    </row>
    <row r="1466" spans="1:6" x14ac:dyDescent="0.2">
      <c r="A1466" s="275"/>
      <c r="B1466" s="78"/>
      <c r="C1466" s="189"/>
      <c r="D1466" s="185"/>
      <c r="E1466" s="186"/>
      <c r="F1466" s="187"/>
    </row>
    <row r="1467" spans="1:6" x14ac:dyDescent="0.2">
      <c r="A1467" s="275"/>
      <c r="B1467" s="78"/>
      <c r="C1467" s="189"/>
      <c r="D1467" s="185"/>
      <c r="E1467" s="186"/>
      <c r="F1467" s="187"/>
    </row>
    <row r="1468" spans="1:6" x14ac:dyDescent="0.2">
      <c r="A1468" s="275"/>
      <c r="B1468" s="78"/>
      <c r="C1468" s="189"/>
      <c r="D1468" s="185"/>
      <c r="E1468" s="186"/>
      <c r="F1468" s="187"/>
    </row>
    <row r="1469" spans="1:6" x14ac:dyDescent="0.2">
      <c r="A1469" s="275"/>
      <c r="B1469" s="78"/>
      <c r="C1469" s="189"/>
      <c r="D1469" s="185"/>
      <c r="E1469" s="186"/>
      <c r="F1469" s="187"/>
    </row>
    <row r="1470" spans="1:6" x14ac:dyDescent="0.2">
      <c r="A1470" s="275"/>
      <c r="B1470" s="78"/>
      <c r="C1470" s="189"/>
      <c r="D1470" s="185"/>
      <c r="E1470" s="186"/>
      <c r="F1470" s="187"/>
    </row>
    <row r="1471" spans="1:6" x14ac:dyDescent="0.2">
      <c r="A1471" s="275"/>
      <c r="B1471" s="78"/>
      <c r="C1471" s="189"/>
      <c r="D1471" s="185"/>
      <c r="E1471" s="186"/>
      <c r="F1471" s="187"/>
    </row>
    <row r="1472" spans="1:6" x14ac:dyDescent="0.2">
      <c r="A1472" s="275"/>
      <c r="B1472" s="78"/>
      <c r="C1472" s="189"/>
      <c r="D1472" s="185"/>
      <c r="E1472" s="186"/>
      <c r="F1472" s="187"/>
    </row>
    <row r="1473" spans="1:6" x14ac:dyDescent="0.2">
      <c r="A1473" s="275"/>
      <c r="B1473" s="78"/>
      <c r="C1473" s="189"/>
      <c r="D1473" s="185"/>
      <c r="E1473" s="186"/>
      <c r="F1473" s="187"/>
    </row>
    <row r="1474" spans="1:6" x14ac:dyDescent="0.2">
      <c r="A1474" s="275"/>
      <c r="B1474" s="78"/>
      <c r="C1474" s="189"/>
      <c r="D1474" s="185"/>
      <c r="E1474" s="186"/>
      <c r="F1474" s="187"/>
    </row>
    <row r="1475" spans="1:6" x14ac:dyDescent="0.2">
      <c r="A1475" s="275"/>
      <c r="B1475" s="78"/>
      <c r="C1475" s="189"/>
      <c r="D1475" s="185"/>
      <c r="E1475" s="186"/>
      <c r="F1475" s="187"/>
    </row>
    <row r="1476" spans="1:6" x14ac:dyDescent="0.2">
      <c r="A1476" s="275"/>
      <c r="B1476" s="78"/>
      <c r="C1476" s="189"/>
      <c r="D1476" s="185"/>
      <c r="E1476" s="186"/>
      <c r="F1476" s="187"/>
    </row>
    <row r="1477" spans="1:6" x14ac:dyDescent="0.2">
      <c r="A1477" s="275"/>
      <c r="B1477" s="78"/>
      <c r="C1477" s="189"/>
      <c r="D1477" s="185"/>
      <c r="E1477" s="186"/>
      <c r="F1477" s="187"/>
    </row>
    <row r="1478" spans="1:6" x14ac:dyDescent="0.2">
      <c r="A1478" s="275"/>
      <c r="B1478" s="78"/>
      <c r="C1478" s="189"/>
      <c r="D1478" s="185"/>
      <c r="E1478" s="186"/>
      <c r="F1478" s="187"/>
    </row>
    <row r="1479" spans="1:6" x14ac:dyDescent="0.2">
      <c r="A1479" s="275"/>
      <c r="B1479" s="78"/>
      <c r="C1479" s="189"/>
      <c r="D1479" s="185"/>
      <c r="E1479" s="186"/>
      <c r="F1479" s="187"/>
    </row>
    <row r="1480" spans="1:6" x14ac:dyDescent="0.2">
      <c r="A1480" s="275"/>
      <c r="B1480" s="78"/>
      <c r="C1480" s="189"/>
      <c r="D1480" s="185"/>
      <c r="E1480" s="186"/>
      <c r="F1480" s="187"/>
    </row>
    <row r="1481" spans="1:6" x14ac:dyDescent="0.2">
      <c r="A1481" s="275"/>
      <c r="B1481" s="78"/>
      <c r="C1481" s="189"/>
      <c r="D1481" s="185"/>
      <c r="E1481" s="186"/>
      <c r="F1481" s="187"/>
    </row>
    <row r="1482" spans="1:6" x14ac:dyDescent="0.2">
      <c r="A1482" s="275"/>
      <c r="B1482" s="78"/>
      <c r="C1482" s="189"/>
      <c r="D1482" s="185"/>
      <c r="E1482" s="186"/>
      <c r="F1482" s="187"/>
    </row>
    <row r="1483" spans="1:6" x14ac:dyDescent="0.2">
      <c r="A1483" s="275"/>
      <c r="B1483" s="78"/>
      <c r="C1483" s="189"/>
      <c r="D1483" s="185"/>
      <c r="E1483" s="186"/>
      <c r="F1483" s="187"/>
    </row>
    <row r="1484" spans="1:6" x14ac:dyDescent="0.2">
      <c r="A1484" s="275"/>
      <c r="B1484" s="78"/>
      <c r="C1484" s="189"/>
      <c r="D1484" s="185"/>
      <c r="E1484" s="186"/>
      <c r="F1484" s="187"/>
    </row>
    <row r="1485" spans="1:6" x14ac:dyDescent="0.2">
      <c r="A1485" s="275"/>
      <c r="B1485" s="78"/>
      <c r="C1485" s="189"/>
      <c r="D1485" s="185"/>
      <c r="E1485" s="186"/>
      <c r="F1485" s="187"/>
    </row>
    <row r="1486" spans="1:6" x14ac:dyDescent="0.2">
      <c r="A1486" s="275"/>
      <c r="B1486" s="78"/>
      <c r="C1486" s="189"/>
      <c r="D1486" s="185"/>
      <c r="E1486" s="186"/>
      <c r="F1486" s="187"/>
    </row>
    <row r="1487" spans="1:6" x14ac:dyDescent="0.2">
      <c r="A1487" s="275"/>
      <c r="B1487" s="78"/>
      <c r="C1487" s="189"/>
      <c r="D1487" s="185"/>
      <c r="E1487" s="186"/>
      <c r="F1487" s="187"/>
    </row>
    <row r="1488" spans="1:6" x14ac:dyDescent="0.2">
      <c r="A1488" s="275"/>
      <c r="B1488" s="78"/>
      <c r="C1488" s="189"/>
      <c r="D1488" s="185"/>
      <c r="E1488" s="186"/>
      <c r="F1488" s="187"/>
    </row>
    <row r="1489" spans="1:6" x14ac:dyDescent="0.2">
      <c r="A1489" s="275"/>
      <c r="B1489" s="78"/>
      <c r="C1489" s="189"/>
      <c r="D1489" s="185"/>
      <c r="E1489" s="186"/>
      <c r="F1489" s="187"/>
    </row>
    <row r="1490" spans="1:6" x14ac:dyDescent="0.2">
      <c r="A1490" s="275"/>
      <c r="B1490" s="78"/>
      <c r="C1490" s="189"/>
      <c r="D1490" s="185"/>
      <c r="E1490" s="186"/>
      <c r="F1490" s="187"/>
    </row>
    <row r="1491" spans="1:6" x14ac:dyDescent="0.2">
      <c r="A1491" s="275"/>
      <c r="B1491" s="78"/>
      <c r="C1491" s="189"/>
      <c r="D1491" s="185"/>
      <c r="E1491" s="186"/>
      <c r="F1491" s="187"/>
    </row>
    <row r="1492" spans="1:6" x14ac:dyDescent="0.2">
      <c r="A1492" s="275"/>
      <c r="B1492" s="78"/>
      <c r="C1492" s="189"/>
      <c r="D1492" s="185"/>
      <c r="E1492" s="186"/>
      <c r="F1492" s="187"/>
    </row>
    <row r="1493" spans="1:6" x14ac:dyDescent="0.2">
      <c r="A1493" s="275"/>
      <c r="B1493" s="78"/>
      <c r="C1493" s="189"/>
      <c r="D1493" s="185"/>
      <c r="E1493" s="186"/>
      <c r="F1493" s="187"/>
    </row>
    <row r="1494" spans="1:6" x14ac:dyDescent="0.2">
      <c r="A1494" s="275"/>
      <c r="B1494" s="78"/>
      <c r="C1494" s="189"/>
      <c r="D1494" s="185"/>
      <c r="E1494" s="186"/>
      <c r="F1494" s="187"/>
    </row>
    <row r="1495" spans="1:6" x14ac:dyDescent="0.2">
      <c r="A1495" s="275"/>
      <c r="B1495" s="78"/>
      <c r="C1495" s="189"/>
      <c r="D1495" s="185"/>
      <c r="E1495" s="186"/>
      <c r="F1495" s="187"/>
    </row>
    <row r="1496" spans="1:6" x14ac:dyDescent="0.2">
      <c r="A1496" s="275"/>
      <c r="B1496" s="78"/>
      <c r="C1496" s="189"/>
      <c r="D1496" s="185"/>
      <c r="E1496" s="186"/>
      <c r="F1496" s="187"/>
    </row>
    <row r="1497" spans="1:6" x14ac:dyDescent="0.2">
      <c r="A1497" s="275"/>
      <c r="B1497" s="78"/>
      <c r="C1497" s="189"/>
      <c r="D1497" s="185"/>
      <c r="E1497" s="186"/>
      <c r="F1497" s="187"/>
    </row>
    <row r="1498" spans="1:6" x14ac:dyDescent="0.2">
      <c r="A1498" s="275"/>
      <c r="B1498" s="78"/>
      <c r="C1498" s="189"/>
      <c r="D1498" s="185"/>
      <c r="E1498" s="186"/>
      <c r="F1498" s="187"/>
    </row>
    <row r="1499" spans="1:6" x14ac:dyDescent="0.2">
      <c r="A1499" s="275"/>
      <c r="B1499" s="78"/>
      <c r="C1499" s="189"/>
      <c r="D1499" s="185"/>
      <c r="E1499" s="186"/>
      <c r="F1499" s="187"/>
    </row>
    <row r="1500" spans="1:6" x14ac:dyDescent="0.2">
      <c r="A1500" s="275"/>
      <c r="B1500" s="78"/>
      <c r="C1500" s="189"/>
      <c r="D1500" s="185"/>
      <c r="E1500" s="186"/>
      <c r="F1500" s="187"/>
    </row>
    <row r="1501" spans="1:6" x14ac:dyDescent="0.2">
      <c r="A1501" s="275"/>
      <c r="B1501" s="78"/>
      <c r="C1501" s="189"/>
      <c r="D1501" s="185"/>
      <c r="E1501" s="186"/>
      <c r="F1501" s="187"/>
    </row>
    <row r="1502" spans="1:6" x14ac:dyDescent="0.2">
      <c r="A1502" s="275"/>
      <c r="B1502" s="78"/>
      <c r="C1502" s="189"/>
      <c r="D1502" s="185"/>
      <c r="E1502" s="186"/>
      <c r="F1502" s="187"/>
    </row>
    <row r="1503" spans="1:6" x14ac:dyDescent="0.2">
      <c r="A1503" s="275"/>
      <c r="B1503" s="78"/>
      <c r="C1503" s="189"/>
      <c r="D1503" s="185"/>
      <c r="E1503" s="186"/>
      <c r="F1503" s="187"/>
    </row>
    <row r="1504" spans="1:6" x14ac:dyDescent="0.2">
      <c r="A1504" s="275"/>
      <c r="B1504" s="78"/>
      <c r="C1504" s="189"/>
      <c r="D1504" s="185"/>
      <c r="E1504" s="186"/>
      <c r="F1504" s="187"/>
    </row>
    <row r="1505" spans="1:6" x14ac:dyDescent="0.2">
      <c r="A1505" s="275"/>
      <c r="B1505" s="78"/>
      <c r="C1505" s="189"/>
      <c r="D1505" s="185"/>
      <c r="E1505" s="186"/>
      <c r="F1505" s="187"/>
    </row>
    <row r="1506" spans="1:6" x14ac:dyDescent="0.2">
      <c r="A1506" s="275"/>
      <c r="B1506" s="78"/>
      <c r="C1506" s="189"/>
      <c r="D1506" s="185"/>
      <c r="E1506" s="186"/>
      <c r="F1506" s="187"/>
    </row>
    <row r="1507" spans="1:6" x14ac:dyDescent="0.2">
      <c r="A1507" s="275"/>
      <c r="B1507" s="78"/>
      <c r="C1507" s="189"/>
      <c r="D1507" s="185"/>
      <c r="E1507" s="186"/>
      <c r="F1507" s="187"/>
    </row>
    <row r="1508" spans="1:6" x14ac:dyDescent="0.2">
      <c r="A1508" s="275"/>
      <c r="B1508" s="78"/>
      <c r="C1508" s="189"/>
      <c r="D1508" s="185"/>
      <c r="E1508" s="186"/>
      <c r="F1508" s="187"/>
    </row>
    <row r="1509" spans="1:6" x14ac:dyDescent="0.2">
      <c r="A1509" s="275"/>
      <c r="B1509" s="78"/>
      <c r="C1509" s="189"/>
      <c r="D1509" s="185"/>
      <c r="E1509" s="186"/>
      <c r="F1509" s="187"/>
    </row>
    <row r="1510" spans="1:6" x14ac:dyDescent="0.2">
      <c r="A1510" s="275"/>
      <c r="B1510" s="78"/>
      <c r="C1510" s="189"/>
      <c r="D1510" s="185"/>
      <c r="E1510" s="186"/>
      <c r="F1510" s="187"/>
    </row>
    <row r="1511" spans="1:6" x14ac:dyDescent="0.2">
      <c r="A1511" s="275"/>
      <c r="B1511" s="78"/>
      <c r="C1511" s="189"/>
      <c r="D1511" s="185"/>
      <c r="E1511" s="186"/>
      <c r="F1511" s="187"/>
    </row>
    <row r="1512" spans="1:6" x14ac:dyDescent="0.2">
      <c r="A1512" s="275"/>
      <c r="B1512" s="78"/>
      <c r="C1512" s="189"/>
      <c r="D1512" s="185"/>
      <c r="E1512" s="186"/>
      <c r="F1512" s="187"/>
    </row>
    <row r="1513" spans="1:6" x14ac:dyDescent="0.2">
      <c r="A1513" s="275"/>
      <c r="B1513" s="78"/>
      <c r="C1513" s="189"/>
      <c r="D1513" s="185"/>
      <c r="E1513" s="186"/>
      <c r="F1513" s="187"/>
    </row>
    <row r="1514" spans="1:6" x14ac:dyDescent="0.2">
      <c r="A1514" s="275"/>
      <c r="B1514" s="78"/>
      <c r="C1514" s="189"/>
      <c r="D1514" s="185"/>
      <c r="E1514" s="186"/>
      <c r="F1514" s="187"/>
    </row>
    <row r="1515" spans="1:6" x14ac:dyDescent="0.2">
      <c r="A1515" s="275"/>
      <c r="B1515" s="78"/>
      <c r="C1515" s="189"/>
      <c r="D1515" s="185"/>
      <c r="E1515" s="186"/>
      <c r="F1515" s="187"/>
    </row>
    <row r="1516" spans="1:6" x14ac:dyDescent="0.2">
      <c r="A1516" s="275"/>
      <c r="B1516" s="78"/>
      <c r="C1516" s="189"/>
      <c r="D1516" s="185"/>
      <c r="E1516" s="186"/>
      <c r="F1516" s="187"/>
    </row>
    <row r="1517" spans="1:6" x14ac:dyDescent="0.2">
      <c r="A1517" s="275"/>
      <c r="B1517" s="78"/>
      <c r="C1517" s="189"/>
      <c r="D1517" s="185"/>
      <c r="E1517" s="186"/>
      <c r="F1517" s="187"/>
    </row>
    <row r="1518" spans="1:6" x14ac:dyDescent="0.2">
      <c r="A1518" s="275"/>
      <c r="B1518" s="78"/>
      <c r="C1518" s="189"/>
      <c r="D1518" s="185"/>
      <c r="E1518" s="186"/>
      <c r="F1518" s="187"/>
    </row>
    <row r="1519" spans="1:6" x14ac:dyDescent="0.2">
      <c r="A1519" s="275"/>
      <c r="B1519" s="78"/>
      <c r="C1519" s="189"/>
      <c r="D1519" s="185"/>
      <c r="E1519" s="186"/>
      <c r="F1519" s="187"/>
    </row>
    <row r="1520" spans="1:6" x14ac:dyDescent="0.2">
      <c r="A1520" s="275"/>
      <c r="B1520" s="78"/>
      <c r="C1520" s="189"/>
      <c r="D1520" s="185"/>
      <c r="E1520" s="186"/>
      <c r="F1520" s="187"/>
    </row>
    <row r="1521" spans="1:6" x14ac:dyDescent="0.2">
      <c r="A1521" s="275"/>
      <c r="B1521" s="78"/>
      <c r="C1521" s="189"/>
      <c r="D1521" s="185"/>
      <c r="E1521" s="186"/>
      <c r="F1521" s="187"/>
    </row>
    <row r="1522" spans="1:6" x14ac:dyDescent="0.2">
      <c r="A1522" s="275"/>
      <c r="B1522" s="78"/>
      <c r="C1522" s="189"/>
      <c r="D1522" s="185"/>
      <c r="E1522" s="186"/>
      <c r="F1522" s="187"/>
    </row>
    <row r="1523" spans="1:6" x14ac:dyDescent="0.2">
      <c r="A1523" s="275"/>
      <c r="B1523" s="78"/>
      <c r="C1523" s="189"/>
      <c r="D1523" s="185"/>
      <c r="E1523" s="186"/>
      <c r="F1523" s="187"/>
    </row>
    <row r="1524" spans="1:6" x14ac:dyDescent="0.2">
      <c r="A1524" s="275"/>
      <c r="B1524" s="78"/>
      <c r="C1524" s="189"/>
      <c r="D1524" s="185"/>
      <c r="E1524" s="186"/>
      <c r="F1524" s="187"/>
    </row>
    <row r="1525" spans="1:6" x14ac:dyDescent="0.2">
      <c r="A1525" s="275"/>
      <c r="B1525" s="78"/>
      <c r="C1525" s="189"/>
      <c r="D1525" s="185"/>
      <c r="E1525" s="186"/>
      <c r="F1525" s="187"/>
    </row>
    <row r="1526" spans="1:6" x14ac:dyDescent="0.2">
      <c r="A1526" s="275"/>
      <c r="B1526" s="78"/>
      <c r="C1526" s="189"/>
      <c r="D1526" s="185"/>
      <c r="E1526" s="186"/>
      <c r="F1526" s="187"/>
    </row>
    <row r="1527" spans="1:6" x14ac:dyDescent="0.2">
      <c r="A1527" s="275"/>
      <c r="B1527" s="78"/>
      <c r="C1527" s="189"/>
      <c r="D1527" s="185"/>
      <c r="E1527" s="186"/>
      <c r="F1527" s="187"/>
    </row>
    <row r="1528" spans="1:6" x14ac:dyDescent="0.2">
      <c r="A1528" s="275"/>
      <c r="B1528" s="78"/>
      <c r="C1528" s="189"/>
      <c r="D1528" s="185"/>
      <c r="E1528" s="186"/>
      <c r="F1528" s="187"/>
    </row>
    <row r="1529" spans="1:6" x14ac:dyDescent="0.2">
      <c r="A1529" s="275"/>
      <c r="B1529" s="78"/>
      <c r="C1529" s="189"/>
      <c r="D1529" s="185"/>
      <c r="E1529" s="186"/>
      <c r="F1529" s="187"/>
    </row>
    <row r="1530" spans="1:6" x14ac:dyDescent="0.2">
      <c r="A1530" s="275"/>
      <c r="B1530" s="78"/>
      <c r="C1530" s="189"/>
      <c r="D1530" s="185"/>
      <c r="E1530" s="186"/>
      <c r="F1530" s="187"/>
    </row>
    <row r="1531" spans="1:6" x14ac:dyDescent="0.2">
      <c r="A1531" s="275"/>
      <c r="B1531" s="78"/>
      <c r="C1531" s="189"/>
      <c r="D1531" s="185"/>
      <c r="E1531" s="186"/>
      <c r="F1531" s="187"/>
    </row>
    <row r="1532" spans="1:6" x14ac:dyDescent="0.2">
      <c r="A1532" s="275"/>
      <c r="B1532" s="78"/>
      <c r="C1532" s="189"/>
      <c r="D1532" s="185"/>
      <c r="E1532" s="186"/>
      <c r="F1532" s="187"/>
    </row>
    <row r="1533" spans="1:6" x14ac:dyDescent="0.2">
      <c r="A1533" s="275"/>
      <c r="B1533" s="78"/>
      <c r="C1533" s="189"/>
      <c r="D1533" s="185"/>
      <c r="E1533" s="186"/>
      <c r="F1533" s="187"/>
    </row>
    <row r="1534" spans="1:6" x14ac:dyDescent="0.2">
      <c r="A1534" s="275"/>
      <c r="B1534" s="78"/>
      <c r="C1534" s="189"/>
      <c r="D1534" s="185"/>
      <c r="E1534" s="186"/>
      <c r="F1534" s="187"/>
    </row>
    <row r="1535" spans="1:6" x14ac:dyDescent="0.2">
      <c r="A1535" s="275"/>
      <c r="B1535" s="78"/>
      <c r="C1535" s="189"/>
      <c r="D1535" s="185"/>
      <c r="E1535" s="186"/>
      <c r="F1535" s="187"/>
    </row>
    <row r="1536" spans="1:6" x14ac:dyDescent="0.2">
      <c r="A1536" s="275"/>
      <c r="B1536" s="78"/>
      <c r="C1536" s="189"/>
      <c r="D1536" s="185"/>
      <c r="E1536" s="186"/>
      <c r="F1536" s="187"/>
    </row>
    <row r="1537" spans="1:6" x14ac:dyDescent="0.2">
      <c r="A1537" s="275"/>
      <c r="B1537" s="78"/>
      <c r="C1537" s="189"/>
      <c r="D1537" s="185"/>
      <c r="E1537" s="186"/>
      <c r="F1537" s="187"/>
    </row>
    <row r="1538" spans="1:6" x14ac:dyDescent="0.2">
      <c r="A1538" s="275"/>
      <c r="B1538" s="78"/>
      <c r="C1538" s="189"/>
      <c r="D1538" s="185"/>
      <c r="E1538" s="186"/>
      <c r="F1538" s="187"/>
    </row>
    <row r="1539" spans="1:6" x14ac:dyDescent="0.2">
      <c r="A1539" s="275"/>
      <c r="B1539" s="78"/>
      <c r="C1539" s="189"/>
      <c r="D1539" s="185"/>
      <c r="E1539" s="186"/>
      <c r="F1539" s="187"/>
    </row>
    <row r="1540" spans="1:6" x14ac:dyDescent="0.2">
      <c r="A1540" s="275"/>
      <c r="B1540" s="78"/>
      <c r="C1540" s="189"/>
      <c r="D1540" s="185"/>
      <c r="E1540" s="186"/>
      <c r="F1540" s="187"/>
    </row>
    <row r="1541" spans="1:6" x14ac:dyDescent="0.2">
      <c r="A1541" s="275"/>
      <c r="B1541" s="78"/>
      <c r="C1541" s="189"/>
      <c r="D1541" s="185"/>
      <c r="E1541" s="186"/>
      <c r="F1541" s="187"/>
    </row>
    <row r="1542" spans="1:6" x14ac:dyDescent="0.2">
      <c r="A1542" s="275"/>
      <c r="B1542" s="78"/>
      <c r="C1542" s="189"/>
      <c r="D1542" s="185"/>
      <c r="E1542" s="186"/>
      <c r="F1542" s="187"/>
    </row>
    <row r="1543" spans="1:6" x14ac:dyDescent="0.2">
      <c r="A1543" s="275"/>
      <c r="B1543" s="78"/>
      <c r="C1543" s="189"/>
      <c r="D1543" s="185"/>
      <c r="E1543" s="186"/>
      <c r="F1543" s="187"/>
    </row>
    <row r="1544" spans="1:6" x14ac:dyDescent="0.2">
      <c r="A1544" s="275"/>
      <c r="B1544" s="78"/>
      <c r="C1544" s="189"/>
      <c r="D1544" s="185"/>
      <c r="E1544" s="186"/>
      <c r="F1544" s="187"/>
    </row>
    <row r="1545" spans="1:6" x14ac:dyDescent="0.2">
      <c r="A1545" s="275"/>
      <c r="B1545" s="78"/>
      <c r="C1545" s="189"/>
      <c r="D1545" s="185"/>
      <c r="E1545" s="186"/>
      <c r="F1545" s="187"/>
    </row>
    <row r="1546" spans="1:6" x14ac:dyDescent="0.2">
      <c r="A1546" s="275"/>
      <c r="B1546" s="78"/>
      <c r="C1546" s="189"/>
      <c r="D1546" s="185"/>
      <c r="E1546" s="186"/>
      <c r="F1546" s="187"/>
    </row>
    <row r="1547" spans="1:6" x14ac:dyDescent="0.2">
      <c r="A1547" s="275"/>
      <c r="B1547" s="78"/>
      <c r="C1547" s="189"/>
      <c r="D1547" s="185"/>
      <c r="E1547" s="186"/>
      <c r="F1547" s="187"/>
    </row>
    <row r="1548" spans="1:6" x14ac:dyDescent="0.2">
      <c r="A1548" s="275"/>
      <c r="B1548" s="78"/>
      <c r="C1548" s="189"/>
      <c r="D1548" s="185"/>
      <c r="E1548" s="186"/>
      <c r="F1548" s="187"/>
    </row>
    <row r="1549" spans="1:6" x14ac:dyDescent="0.2">
      <c r="A1549" s="275"/>
      <c r="B1549" s="78"/>
      <c r="C1549" s="189"/>
      <c r="D1549" s="185"/>
      <c r="E1549" s="186"/>
      <c r="F1549" s="187"/>
    </row>
    <row r="1550" spans="1:6" x14ac:dyDescent="0.2">
      <c r="A1550" s="275"/>
      <c r="B1550" s="78"/>
      <c r="C1550" s="189"/>
      <c r="D1550" s="185"/>
      <c r="E1550" s="186"/>
      <c r="F1550" s="187"/>
    </row>
    <row r="1551" spans="1:6" x14ac:dyDescent="0.2">
      <c r="A1551" s="275"/>
      <c r="B1551" s="78"/>
      <c r="C1551" s="189"/>
      <c r="D1551" s="185"/>
      <c r="E1551" s="186"/>
      <c r="F1551" s="187"/>
    </row>
    <row r="1552" spans="1:6" x14ac:dyDescent="0.2">
      <c r="A1552" s="275"/>
      <c r="B1552" s="78"/>
      <c r="C1552" s="189"/>
      <c r="D1552" s="185"/>
      <c r="E1552" s="186"/>
      <c r="F1552" s="187"/>
    </row>
    <row r="1553" spans="1:6" x14ac:dyDescent="0.2">
      <c r="A1553" s="275"/>
      <c r="B1553" s="78"/>
      <c r="C1553" s="189"/>
      <c r="D1553" s="185"/>
      <c r="E1553" s="186"/>
      <c r="F1553" s="187"/>
    </row>
    <row r="1554" spans="1:6" x14ac:dyDescent="0.2">
      <c r="A1554" s="275"/>
      <c r="B1554" s="78"/>
      <c r="C1554" s="189"/>
      <c r="D1554" s="185"/>
      <c r="E1554" s="186"/>
      <c r="F1554" s="187"/>
    </row>
    <row r="1555" spans="1:6" x14ac:dyDescent="0.2">
      <c r="A1555" s="275"/>
      <c r="B1555" s="78"/>
      <c r="C1555" s="189"/>
      <c r="D1555" s="185"/>
      <c r="E1555" s="186"/>
      <c r="F1555" s="187"/>
    </row>
    <row r="1556" spans="1:6" x14ac:dyDescent="0.2">
      <c r="A1556" s="275"/>
      <c r="B1556" s="78"/>
      <c r="C1556" s="189"/>
      <c r="D1556" s="185"/>
      <c r="E1556" s="186"/>
      <c r="F1556" s="187"/>
    </row>
    <row r="1557" spans="1:6" x14ac:dyDescent="0.2">
      <c r="A1557" s="275"/>
      <c r="B1557" s="78"/>
      <c r="C1557" s="189"/>
      <c r="D1557" s="185"/>
      <c r="E1557" s="186"/>
      <c r="F1557" s="187"/>
    </row>
    <row r="1558" spans="1:6" x14ac:dyDescent="0.2">
      <c r="A1558" s="275"/>
      <c r="B1558" s="78"/>
      <c r="C1558" s="189"/>
      <c r="D1558" s="185"/>
      <c r="E1558" s="186"/>
      <c r="F1558" s="187"/>
    </row>
    <row r="1559" spans="1:6" x14ac:dyDescent="0.2">
      <c r="A1559" s="275"/>
      <c r="B1559" s="78"/>
      <c r="C1559" s="189"/>
      <c r="D1559" s="185"/>
      <c r="E1559" s="186"/>
      <c r="F1559" s="187"/>
    </row>
    <row r="1560" spans="1:6" x14ac:dyDescent="0.2">
      <c r="A1560" s="275"/>
      <c r="B1560" s="78"/>
      <c r="C1560" s="189"/>
      <c r="D1560" s="185"/>
      <c r="E1560" s="186"/>
      <c r="F1560" s="187"/>
    </row>
    <row r="1561" spans="1:6" x14ac:dyDescent="0.2">
      <c r="A1561" s="275"/>
      <c r="B1561" s="78"/>
      <c r="C1561" s="189"/>
      <c r="D1561" s="185"/>
      <c r="E1561" s="186"/>
      <c r="F1561" s="187"/>
    </row>
    <row r="1562" spans="1:6" x14ac:dyDescent="0.2">
      <c r="A1562" s="275"/>
      <c r="B1562" s="78"/>
      <c r="C1562" s="189"/>
      <c r="D1562" s="185"/>
      <c r="E1562" s="186"/>
      <c r="F1562" s="187"/>
    </row>
    <row r="1563" spans="1:6" x14ac:dyDescent="0.2">
      <c r="A1563" s="275"/>
      <c r="B1563" s="78"/>
      <c r="C1563" s="189"/>
      <c r="D1563" s="185"/>
      <c r="E1563" s="186"/>
      <c r="F1563" s="187"/>
    </row>
    <row r="1564" spans="1:6" x14ac:dyDescent="0.2">
      <c r="A1564" s="275"/>
      <c r="B1564" s="78"/>
      <c r="C1564" s="189"/>
      <c r="D1564" s="185"/>
      <c r="E1564" s="186"/>
      <c r="F1564" s="187"/>
    </row>
    <row r="1565" spans="1:6" x14ac:dyDescent="0.2">
      <c r="A1565" s="275"/>
      <c r="B1565" s="78"/>
      <c r="C1565" s="189"/>
      <c r="D1565" s="185"/>
      <c r="E1565" s="186"/>
      <c r="F1565" s="187"/>
    </row>
    <row r="1566" spans="1:6" x14ac:dyDescent="0.2">
      <c r="A1566" s="275"/>
      <c r="B1566" s="78"/>
      <c r="C1566" s="189"/>
      <c r="D1566" s="185"/>
      <c r="E1566" s="186"/>
      <c r="F1566" s="187"/>
    </row>
    <row r="1567" spans="1:6" x14ac:dyDescent="0.2">
      <c r="A1567" s="275"/>
      <c r="B1567" s="78"/>
      <c r="C1567" s="189"/>
      <c r="D1567" s="185"/>
      <c r="E1567" s="186"/>
      <c r="F1567" s="187"/>
    </row>
    <row r="1568" spans="1:6" x14ac:dyDescent="0.2">
      <c r="A1568" s="275"/>
      <c r="B1568" s="78"/>
      <c r="C1568" s="189"/>
      <c r="D1568" s="185"/>
      <c r="E1568" s="186"/>
      <c r="F1568" s="187"/>
    </row>
    <row r="1569" spans="1:6" x14ac:dyDescent="0.2">
      <c r="A1569" s="275"/>
      <c r="B1569" s="78"/>
      <c r="C1569" s="189"/>
      <c r="D1569" s="185"/>
      <c r="E1569" s="186"/>
      <c r="F1569" s="187"/>
    </row>
    <row r="1570" spans="1:6" x14ac:dyDescent="0.2">
      <c r="A1570" s="275"/>
      <c r="B1570" s="78"/>
      <c r="C1570" s="189"/>
      <c r="D1570" s="185"/>
      <c r="E1570" s="186"/>
      <c r="F1570" s="187"/>
    </row>
    <row r="1571" spans="1:6" x14ac:dyDescent="0.2">
      <c r="A1571" s="275"/>
      <c r="B1571" s="78"/>
      <c r="C1571" s="189"/>
      <c r="D1571" s="185"/>
      <c r="E1571" s="186"/>
      <c r="F1571" s="187"/>
    </row>
    <row r="1572" spans="1:6" x14ac:dyDescent="0.2">
      <c r="A1572" s="275"/>
      <c r="B1572" s="78"/>
      <c r="C1572" s="189"/>
      <c r="D1572" s="185"/>
      <c r="E1572" s="186"/>
      <c r="F1572" s="187"/>
    </row>
    <row r="1573" spans="1:6" x14ac:dyDescent="0.2">
      <c r="A1573" s="275"/>
      <c r="B1573" s="78"/>
      <c r="C1573" s="189"/>
      <c r="D1573" s="185"/>
      <c r="E1573" s="186"/>
      <c r="F1573" s="187"/>
    </row>
    <row r="1574" spans="1:6" x14ac:dyDescent="0.2">
      <c r="A1574" s="275"/>
      <c r="B1574" s="78"/>
      <c r="C1574" s="189"/>
      <c r="D1574" s="185"/>
      <c r="E1574" s="186"/>
      <c r="F1574" s="187"/>
    </row>
    <row r="1575" spans="1:6" x14ac:dyDescent="0.2">
      <c r="A1575" s="275"/>
      <c r="B1575" s="78"/>
      <c r="C1575" s="189"/>
      <c r="D1575" s="185"/>
      <c r="E1575" s="186"/>
      <c r="F1575" s="187"/>
    </row>
    <row r="1576" spans="1:6" x14ac:dyDescent="0.2">
      <c r="A1576" s="275"/>
      <c r="B1576" s="78"/>
      <c r="C1576" s="189"/>
      <c r="D1576" s="185"/>
      <c r="E1576" s="186"/>
      <c r="F1576" s="187"/>
    </row>
    <row r="1577" spans="1:6" x14ac:dyDescent="0.2">
      <c r="A1577" s="275"/>
      <c r="B1577" s="78"/>
      <c r="C1577" s="189"/>
      <c r="D1577" s="185"/>
      <c r="E1577" s="186"/>
      <c r="F1577" s="187"/>
    </row>
    <row r="1578" spans="1:6" x14ac:dyDescent="0.2">
      <c r="A1578" s="275"/>
      <c r="B1578" s="78"/>
      <c r="C1578" s="189"/>
      <c r="D1578" s="185"/>
      <c r="E1578" s="186"/>
      <c r="F1578" s="187"/>
    </row>
    <row r="1579" spans="1:6" x14ac:dyDescent="0.2">
      <c r="A1579" s="275"/>
      <c r="B1579" s="78"/>
      <c r="C1579" s="189"/>
      <c r="D1579" s="185"/>
      <c r="E1579" s="186"/>
      <c r="F1579" s="187"/>
    </row>
    <row r="1580" spans="1:6" x14ac:dyDescent="0.2">
      <c r="A1580" s="275"/>
      <c r="B1580" s="78"/>
      <c r="C1580" s="189"/>
      <c r="D1580" s="185"/>
      <c r="E1580" s="186"/>
      <c r="F1580" s="187"/>
    </row>
    <row r="1581" spans="1:6" x14ac:dyDescent="0.2">
      <c r="A1581" s="275"/>
      <c r="B1581" s="78"/>
      <c r="C1581" s="189"/>
      <c r="D1581" s="185"/>
      <c r="E1581" s="186"/>
      <c r="F1581" s="187"/>
    </row>
    <row r="1582" spans="1:6" x14ac:dyDescent="0.2">
      <c r="A1582" s="275"/>
      <c r="B1582" s="78"/>
      <c r="C1582" s="189"/>
      <c r="D1582" s="185"/>
      <c r="E1582" s="186"/>
      <c r="F1582" s="187"/>
    </row>
    <row r="1583" spans="1:6" x14ac:dyDescent="0.2">
      <c r="A1583" s="275"/>
      <c r="B1583" s="78"/>
      <c r="C1583" s="189"/>
      <c r="D1583" s="185"/>
      <c r="E1583" s="186"/>
      <c r="F1583" s="187"/>
    </row>
    <row r="1584" spans="1:6" x14ac:dyDescent="0.2">
      <c r="A1584" s="275"/>
      <c r="B1584" s="78"/>
      <c r="C1584" s="189"/>
      <c r="D1584" s="185"/>
      <c r="E1584" s="186"/>
      <c r="F1584" s="187"/>
    </row>
    <row r="1585" spans="1:6" x14ac:dyDescent="0.2">
      <c r="A1585" s="275"/>
      <c r="B1585" s="78"/>
      <c r="C1585" s="189"/>
      <c r="D1585" s="185"/>
      <c r="E1585" s="186"/>
      <c r="F1585" s="187"/>
    </row>
    <row r="1586" spans="1:6" x14ac:dyDescent="0.2">
      <c r="A1586" s="275"/>
      <c r="B1586" s="78"/>
      <c r="C1586" s="189"/>
      <c r="D1586" s="185"/>
      <c r="E1586" s="186"/>
      <c r="F1586" s="187"/>
    </row>
    <row r="1587" spans="1:6" x14ac:dyDescent="0.2">
      <c r="A1587" s="275"/>
      <c r="B1587" s="78"/>
      <c r="C1587" s="189"/>
      <c r="D1587" s="185"/>
      <c r="E1587" s="186"/>
      <c r="F1587" s="187"/>
    </row>
    <row r="1588" spans="1:6" x14ac:dyDescent="0.2">
      <c r="A1588" s="275"/>
      <c r="B1588" s="78"/>
      <c r="C1588" s="189"/>
      <c r="D1588" s="185"/>
      <c r="E1588" s="186"/>
      <c r="F1588" s="187"/>
    </row>
    <row r="1589" spans="1:6" x14ac:dyDescent="0.2">
      <c r="A1589" s="275"/>
      <c r="B1589" s="78"/>
      <c r="C1589" s="189"/>
      <c r="D1589" s="185"/>
      <c r="E1589" s="186"/>
      <c r="F1589" s="187"/>
    </row>
    <row r="1590" spans="1:6" x14ac:dyDescent="0.2">
      <c r="A1590" s="275"/>
      <c r="B1590" s="78"/>
      <c r="C1590" s="189"/>
      <c r="D1590" s="185"/>
      <c r="E1590" s="186"/>
      <c r="F1590" s="187"/>
    </row>
    <row r="1591" spans="1:6" x14ac:dyDescent="0.2">
      <c r="A1591" s="275"/>
      <c r="B1591" s="78"/>
      <c r="C1591" s="189"/>
      <c r="D1591" s="185"/>
      <c r="E1591" s="186"/>
      <c r="F1591" s="187"/>
    </row>
    <row r="1592" spans="1:6" x14ac:dyDescent="0.2">
      <c r="A1592" s="275"/>
      <c r="B1592" s="78"/>
      <c r="C1592" s="189"/>
      <c r="D1592" s="185"/>
      <c r="E1592" s="186"/>
      <c r="F1592" s="187"/>
    </row>
    <row r="1593" spans="1:6" x14ac:dyDescent="0.2">
      <c r="A1593" s="275"/>
      <c r="B1593" s="78"/>
      <c r="C1593" s="189"/>
      <c r="D1593" s="185"/>
      <c r="E1593" s="186"/>
      <c r="F1593" s="187"/>
    </row>
    <row r="1594" spans="1:6" x14ac:dyDescent="0.2">
      <c r="A1594" s="275"/>
      <c r="B1594" s="78"/>
      <c r="C1594" s="189"/>
      <c r="D1594" s="185"/>
      <c r="E1594" s="186"/>
      <c r="F1594" s="187"/>
    </row>
    <row r="1595" spans="1:6" x14ac:dyDescent="0.2">
      <c r="A1595" s="275"/>
      <c r="B1595" s="78"/>
      <c r="C1595" s="189"/>
      <c r="D1595" s="185"/>
      <c r="E1595" s="186"/>
      <c r="F1595" s="187"/>
    </row>
    <row r="1596" spans="1:6" x14ac:dyDescent="0.2">
      <c r="A1596" s="275"/>
      <c r="B1596" s="78"/>
      <c r="C1596" s="189"/>
      <c r="D1596" s="185"/>
      <c r="E1596" s="186"/>
      <c r="F1596" s="187"/>
    </row>
    <row r="1597" spans="1:6" x14ac:dyDescent="0.2">
      <c r="A1597" s="275"/>
      <c r="B1597" s="78"/>
      <c r="C1597" s="189"/>
      <c r="D1597" s="185"/>
      <c r="E1597" s="186"/>
      <c r="F1597" s="187"/>
    </row>
    <row r="1598" spans="1:6" x14ac:dyDescent="0.2">
      <c r="A1598" s="275"/>
      <c r="B1598" s="78"/>
      <c r="C1598" s="189"/>
      <c r="D1598" s="185"/>
      <c r="E1598" s="186"/>
      <c r="F1598" s="187"/>
    </row>
    <row r="1599" spans="1:6" x14ac:dyDescent="0.2">
      <c r="A1599" s="275"/>
      <c r="B1599" s="78"/>
      <c r="C1599" s="189"/>
      <c r="D1599" s="185"/>
      <c r="E1599" s="186"/>
      <c r="F1599" s="187"/>
    </row>
    <row r="1600" spans="1:6" x14ac:dyDescent="0.2">
      <c r="A1600" s="275"/>
      <c r="B1600" s="78"/>
      <c r="C1600" s="189"/>
      <c r="D1600" s="185"/>
      <c r="E1600" s="186"/>
      <c r="F1600" s="187"/>
    </row>
    <row r="1601" spans="1:6" x14ac:dyDescent="0.2">
      <c r="A1601" s="275"/>
      <c r="B1601" s="78"/>
      <c r="C1601" s="189"/>
      <c r="D1601" s="185"/>
      <c r="E1601" s="186"/>
      <c r="F1601" s="187"/>
    </row>
    <row r="1602" spans="1:6" x14ac:dyDescent="0.2">
      <c r="A1602" s="275"/>
      <c r="B1602" s="78"/>
      <c r="C1602" s="189"/>
      <c r="D1602" s="185"/>
      <c r="E1602" s="186"/>
      <c r="F1602" s="187"/>
    </row>
    <row r="1603" spans="1:6" x14ac:dyDescent="0.2">
      <c r="A1603" s="275"/>
      <c r="B1603" s="78"/>
      <c r="C1603" s="189"/>
      <c r="D1603" s="185"/>
      <c r="E1603" s="186"/>
      <c r="F1603" s="187"/>
    </row>
    <row r="1604" spans="1:6" x14ac:dyDescent="0.2">
      <c r="A1604" s="275"/>
      <c r="B1604" s="78"/>
      <c r="C1604" s="189"/>
      <c r="D1604" s="185"/>
      <c r="E1604" s="186"/>
      <c r="F1604" s="187"/>
    </row>
    <row r="1605" spans="1:6" x14ac:dyDescent="0.2">
      <c r="A1605" s="275"/>
      <c r="B1605" s="78"/>
      <c r="C1605" s="189"/>
      <c r="D1605" s="185"/>
      <c r="E1605" s="186"/>
      <c r="F1605" s="187"/>
    </row>
    <row r="1606" spans="1:6" x14ac:dyDescent="0.2">
      <c r="A1606" s="275"/>
      <c r="B1606" s="78"/>
      <c r="C1606" s="189"/>
      <c r="D1606" s="185"/>
      <c r="E1606" s="186"/>
      <c r="F1606" s="187"/>
    </row>
    <row r="1607" spans="1:6" x14ac:dyDescent="0.2">
      <c r="A1607" s="275"/>
      <c r="B1607" s="78"/>
      <c r="C1607" s="189"/>
      <c r="D1607" s="185"/>
      <c r="E1607" s="186"/>
      <c r="F1607" s="187"/>
    </row>
    <row r="1608" spans="1:6" x14ac:dyDescent="0.2">
      <c r="A1608" s="275"/>
      <c r="B1608" s="78"/>
      <c r="C1608" s="189"/>
      <c r="D1608" s="185"/>
      <c r="E1608" s="186"/>
      <c r="F1608" s="187"/>
    </row>
    <row r="1609" spans="1:6" x14ac:dyDescent="0.2">
      <c r="A1609" s="275"/>
      <c r="B1609" s="78"/>
      <c r="C1609" s="189"/>
      <c r="D1609" s="185"/>
      <c r="E1609" s="186"/>
      <c r="F1609" s="187"/>
    </row>
    <row r="1610" spans="1:6" x14ac:dyDescent="0.2">
      <c r="A1610" s="275"/>
      <c r="B1610" s="78"/>
      <c r="C1610" s="189"/>
      <c r="D1610" s="185"/>
      <c r="E1610" s="186"/>
      <c r="F1610" s="187"/>
    </row>
    <row r="1611" spans="1:6" x14ac:dyDescent="0.2">
      <c r="A1611" s="275"/>
      <c r="B1611" s="78"/>
      <c r="C1611" s="189"/>
      <c r="D1611" s="185"/>
      <c r="E1611" s="186"/>
      <c r="F1611" s="187"/>
    </row>
    <row r="1612" spans="1:6" x14ac:dyDescent="0.2">
      <c r="A1612" s="275"/>
      <c r="B1612" s="78"/>
      <c r="C1612" s="189"/>
      <c r="D1612" s="185"/>
      <c r="E1612" s="186"/>
      <c r="F1612" s="187"/>
    </row>
    <row r="1613" spans="1:6" x14ac:dyDescent="0.2">
      <c r="A1613" s="275"/>
      <c r="B1613" s="78"/>
      <c r="C1613" s="189"/>
      <c r="D1613" s="185"/>
      <c r="E1613" s="186"/>
      <c r="F1613" s="187"/>
    </row>
    <row r="1614" spans="1:6" x14ac:dyDescent="0.2">
      <c r="A1614" s="275"/>
      <c r="B1614" s="78"/>
      <c r="C1614" s="189"/>
      <c r="D1614" s="185"/>
      <c r="E1614" s="186"/>
      <c r="F1614" s="187"/>
    </row>
    <row r="1615" spans="1:6" x14ac:dyDescent="0.2">
      <c r="A1615" s="275"/>
      <c r="B1615" s="78"/>
      <c r="C1615" s="189"/>
      <c r="D1615" s="185"/>
      <c r="E1615" s="186"/>
      <c r="F1615" s="187"/>
    </row>
    <row r="1616" spans="1:6" x14ac:dyDescent="0.2">
      <c r="A1616" s="275"/>
      <c r="B1616" s="78"/>
      <c r="C1616" s="189"/>
      <c r="D1616" s="185"/>
      <c r="E1616" s="186"/>
      <c r="F1616" s="187"/>
    </row>
    <row r="1617" spans="1:6" x14ac:dyDescent="0.2">
      <c r="A1617" s="275"/>
      <c r="B1617" s="78"/>
      <c r="C1617" s="189"/>
      <c r="D1617" s="185"/>
      <c r="E1617" s="186"/>
      <c r="F1617" s="187"/>
    </row>
    <row r="1618" spans="1:6" x14ac:dyDescent="0.2">
      <c r="A1618" s="275"/>
      <c r="B1618" s="78"/>
      <c r="C1618" s="189"/>
      <c r="D1618" s="185"/>
      <c r="E1618" s="186"/>
      <c r="F1618" s="187"/>
    </row>
    <row r="1619" spans="1:6" x14ac:dyDescent="0.2">
      <c r="A1619" s="275"/>
      <c r="B1619" s="78"/>
      <c r="C1619" s="189"/>
      <c r="D1619" s="185"/>
      <c r="E1619" s="186"/>
      <c r="F1619" s="187"/>
    </row>
    <row r="1620" spans="1:6" x14ac:dyDescent="0.2">
      <c r="A1620" s="275"/>
      <c r="B1620" s="78"/>
      <c r="C1620" s="189"/>
      <c r="D1620" s="185"/>
      <c r="E1620" s="186"/>
      <c r="F1620" s="187"/>
    </row>
    <row r="1621" spans="1:6" x14ac:dyDescent="0.2">
      <c r="A1621" s="275"/>
      <c r="B1621" s="78"/>
      <c r="C1621" s="189"/>
      <c r="D1621" s="185"/>
      <c r="E1621" s="186"/>
      <c r="F1621" s="187"/>
    </row>
    <row r="1622" spans="1:6" x14ac:dyDescent="0.2">
      <c r="A1622" s="275"/>
      <c r="B1622" s="78"/>
      <c r="C1622" s="189"/>
      <c r="D1622" s="185"/>
      <c r="E1622" s="186"/>
      <c r="F1622" s="187"/>
    </row>
    <row r="1623" spans="1:6" x14ac:dyDescent="0.2">
      <c r="A1623" s="275"/>
      <c r="B1623" s="78"/>
      <c r="C1623" s="189"/>
      <c r="D1623" s="185"/>
      <c r="E1623" s="186"/>
      <c r="F1623" s="187"/>
    </row>
    <row r="1624" spans="1:6" x14ac:dyDescent="0.2">
      <c r="A1624" s="275"/>
      <c r="B1624" s="78"/>
      <c r="C1624" s="189"/>
      <c r="D1624" s="185"/>
      <c r="E1624" s="186"/>
      <c r="F1624" s="187"/>
    </row>
    <row r="1625" spans="1:6" x14ac:dyDescent="0.2">
      <c r="A1625" s="275"/>
      <c r="B1625" s="78"/>
      <c r="C1625" s="189"/>
      <c r="D1625" s="185"/>
      <c r="E1625" s="186"/>
      <c r="F1625" s="187"/>
    </row>
    <row r="1626" spans="1:6" x14ac:dyDescent="0.2">
      <c r="A1626" s="275"/>
      <c r="B1626" s="78"/>
      <c r="C1626" s="189"/>
      <c r="D1626" s="185"/>
      <c r="E1626" s="186"/>
      <c r="F1626" s="187"/>
    </row>
    <row r="1627" spans="1:6" x14ac:dyDescent="0.2">
      <c r="A1627" s="275"/>
      <c r="B1627" s="78"/>
      <c r="C1627" s="189"/>
      <c r="D1627" s="185"/>
      <c r="E1627" s="186"/>
      <c r="F1627" s="187"/>
    </row>
    <row r="1628" spans="1:6" x14ac:dyDescent="0.2">
      <c r="A1628" s="275"/>
      <c r="B1628" s="78"/>
      <c r="C1628" s="189"/>
      <c r="D1628" s="185"/>
      <c r="E1628" s="186"/>
      <c r="F1628" s="187"/>
    </row>
    <row r="1629" spans="1:6" x14ac:dyDescent="0.2">
      <c r="A1629" s="275"/>
      <c r="B1629" s="78"/>
      <c r="C1629" s="189"/>
      <c r="D1629" s="185"/>
      <c r="E1629" s="186"/>
      <c r="F1629" s="187"/>
    </row>
    <row r="1630" spans="1:6" x14ac:dyDescent="0.2">
      <c r="A1630" s="275"/>
      <c r="B1630" s="78"/>
      <c r="C1630" s="189"/>
      <c r="D1630" s="185"/>
      <c r="E1630" s="186"/>
      <c r="F1630" s="187"/>
    </row>
    <row r="1631" spans="1:6" x14ac:dyDescent="0.2">
      <c r="A1631" s="275"/>
      <c r="B1631" s="78"/>
      <c r="C1631" s="189"/>
      <c r="D1631" s="185"/>
      <c r="E1631" s="186"/>
      <c r="F1631" s="187"/>
    </row>
    <row r="1632" spans="1:6" x14ac:dyDescent="0.2">
      <c r="A1632" s="275"/>
      <c r="B1632" s="78"/>
      <c r="C1632" s="189"/>
      <c r="D1632" s="185"/>
      <c r="E1632" s="186"/>
      <c r="F1632" s="187"/>
    </row>
    <row r="1633" spans="1:6" x14ac:dyDescent="0.2">
      <c r="A1633" s="275"/>
      <c r="B1633" s="78"/>
      <c r="C1633" s="189"/>
      <c r="D1633" s="185"/>
      <c r="E1633" s="186"/>
      <c r="F1633" s="187"/>
    </row>
    <row r="1634" spans="1:6" x14ac:dyDescent="0.2">
      <c r="A1634" s="275"/>
      <c r="B1634" s="78"/>
      <c r="C1634" s="189"/>
      <c r="D1634" s="185"/>
      <c r="E1634" s="186"/>
      <c r="F1634" s="187"/>
    </row>
    <row r="1635" spans="1:6" x14ac:dyDescent="0.2">
      <c r="A1635" s="275"/>
      <c r="B1635" s="78"/>
      <c r="C1635" s="189"/>
      <c r="D1635" s="185"/>
      <c r="E1635" s="186"/>
      <c r="F1635" s="187"/>
    </row>
    <row r="1636" spans="1:6" x14ac:dyDescent="0.2">
      <c r="A1636" s="275"/>
      <c r="B1636" s="78"/>
      <c r="C1636" s="189"/>
      <c r="D1636" s="185"/>
      <c r="E1636" s="186"/>
      <c r="F1636" s="187"/>
    </row>
    <row r="1637" spans="1:6" x14ac:dyDescent="0.2">
      <c r="A1637" s="275"/>
      <c r="B1637" s="78"/>
      <c r="C1637" s="189"/>
      <c r="D1637" s="185"/>
      <c r="E1637" s="186"/>
      <c r="F1637" s="187"/>
    </row>
    <row r="1638" spans="1:6" x14ac:dyDescent="0.2">
      <c r="A1638" s="275"/>
      <c r="B1638" s="78"/>
      <c r="C1638" s="189"/>
      <c r="D1638" s="185"/>
      <c r="E1638" s="186"/>
      <c r="F1638" s="187"/>
    </row>
    <row r="1639" spans="1:6" x14ac:dyDescent="0.2">
      <c r="A1639" s="275"/>
      <c r="B1639" s="78"/>
      <c r="C1639" s="189"/>
      <c r="D1639" s="185"/>
      <c r="E1639" s="186"/>
      <c r="F1639" s="187"/>
    </row>
    <row r="1640" spans="1:6" x14ac:dyDescent="0.2">
      <c r="A1640" s="275"/>
      <c r="B1640" s="78"/>
      <c r="C1640" s="189"/>
      <c r="D1640" s="185"/>
      <c r="E1640" s="186"/>
      <c r="F1640" s="187"/>
    </row>
    <row r="1641" spans="1:6" x14ac:dyDescent="0.2">
      <c r="A1641" s="275"/>
      <c r="B1641" s="78"/>
      <c r="C1641" s="189"/>
      <c r="D1641" s="185"/>
      <c r="E1641" s="186"/>
      <c r="F1641" s="187"/>
    </row>
    <row r="1642" spans="1:6" x14ac:dyDescent="0.2">
      <c r="A1642" s="275"/>
      <c r="B1642" s="78"/>
      <c r="C1642" s="189"/>
      <c r="D1642" s="185"/>
      <c r="E1642" s="186"/>
      <c r="F1642" s="187"/>
    </row>
    <row r="1643" spans="1:6" x14ac:dyDescent="0.2">
      <c r="A1643" s="275"/>
      <c r="B1643" s="78"/>
      <c r="C1643" s="189"/>
      <c r="D1643" s="185"/>
      <c r="E1643" s="186"/>
      <c r="F1643" s="187"/>
    </row>
    <row r="1644" spans="1:6" x14ac:dyDescent="0.2">
      <c r="A1644" s="275"/>
      <c r="B1644" s="78"/>
      <c r="C1644" s="189"/>
      <c r="D1644" s="185"/>
      <c r="E1644" s="186"/>
      <c r="F1644" s="187"/>
    </row>
    <row r="1645" spans="1:6" x14ac:dyDescent="0.2">
      <c r="A1645" s="275"/>
      <c r="B1645" s="78"/>
      <c r="C1645" s="189"/>
      <c r="D1645" s="185"/>
      <c r="E1645" s="186"/>
      <c r="F1645" s="187"/>
    </row>
    <row r="1646" spans="1:6" x14ac:dyDescent="0.2">
      <c r="A1646" s="275"/>
      <c r="B1646" s="78"/>
      <c r="C1646" s="189"/>
      <c r="D1646" s="185"/>
      <c r="E1646" s="186"/>
      <c r="F1646" s="187"/>
    </row>
    <row r="1647" spans="1:6" x14ac:dyDescent="0.2">
      <c r="A1647" s="275"/>
      <c r="B1647" s="78"/>
      <c r="C1647" s="189"/>
      <c r="D1647" s="185"/>
      <c r="E1647" s="186"/>
      <c r="F1647" s="187"/>
    </row>
    <row r="1648" spans="1:6" x14ac:dyDescent="0.2">
      <c r="A1648" s="275"/>
      <c r="B1648" s="78"/>
      <c r="C1648" s="189"/>
      <c r="D1648" s="185"/>
      <c r="E1648" s="186"/>
      <c r="F1648" s="187"/>
    </row>
    <row r="1649" spans="1:6" x14ac:dyDescent="0.2">
      <c r="A1649" s="275"/>
      <c r="B1649" s="78"/>
      <c r="C1649" s="189"/>
      <c r="D1649" s="185"/>
      <c r="E1649" s="186"/>
      <c r="F1649" s="187"/>
    </row>
    <row r="1650" spans="1:6" x14ac:dyDescent="0.2">
      <c r="A1650" s="275"/>
      <c r="B1650" s="78"/>
      <c r="C1650" s="189"/>
      <c r="D1650" s="185"/>
      <c r="E1650" s="186"/>
      <c r="F1650" s="187"/>
    </row>
    <row r="1651" spans="1:6" x14ac:dyDescent="0.2">
      <c r="A1651" s="275"/>
      <c r="B1651" s="78"/>
      <c r="C1651" s="189"/>
      <c r="D1651" s="185"/>
      <c r="E1651" s="186"/>
      <c r="F1651" s="187"/>
    </row>
    <row r="1652" spans="1:6" x14ac:dyDescent="0.2">
      <c r="A1652" s="275"/>
      <c r="B1652" s="78"/>
      <c r="C1652" s="189"/>
      <c r="D1652" s="185"/>
      <c r="E1652" s="186"/>
      <c r="F1652" s="187"/>
    </row>
    <row r="1653" spans="1:6" x14ac:dyDescent="0.2">
      <c r="A1653" s="275"/>
      <c r="B1653" s="78"/>
      <c r="C1653" s="189"/>
      <c r="D1653" s="185"/>
      <c r="E1653" s="186"/>
      <c r="F1653" s="187"/>
    </row>
    <row r="1654" spans="1:6" x14ac:dyDescent="0.2">
      <c r="A1654" s="275"/>
      <c r="B1654" s="78"/>
      <c r="C1654" s="189"/>
      <c r="D1654" s="185"/>
      <c r="E1654" s="186"/>
      <c r="F1654" s="187"/>
    </row>
    <row r="1655" spans="1:6" x14ac:dyDescent="0.2">
      <c r="A1655" s="275"/>
      <c r="B1655" s="78"/>
      <c r="C1655" s="189"/>
      <c r="D1655" s="185"/>
      <c r="E1655" s="186"/>
      <c r="F1655" s="187"/>
    </row>
    <row r="1656" spans="1:6" x14ac:dyDescent="0.2">
      <c r="A1656" s="275"/>
      <c r="B1656" s="78"/>
      <c r="C1656" s="189"/>
      <c r="D1656" s="185"/>
      <c r="E1656" s="186"/>
      <c r="F1656" s="187"/>
    </row>
    <row r="1657" spans="1:6" x14ac:dyDescent="0.2">
      <c r="A1657" s="275"/>
      <c r="B1657" s="78"/>
      <c r="C1657" s="189"/>
      <c r="D1657" s="185"/>
      <c r="E1657" s="186"/>
      <c r="F1657" s="187"/>
    </row>
    <row r="1658" spans="1:6" x14ac:dyDescent="0.2">
      <c r="A1658" s="275"/>
      <c r="B1658" s="78"/>
      <c r="C1658" s="189"/>
      <c r="D1658" s="185"/>
      <c r="E1658" s="186"/>
      <c r="F1658" s="187"/>
    </row>
    <row r="1659" spans="1:6" x14ac:dyDescent="0.2">
      <c r="A1659" s="275"/>
      <c r="B1659" s="78"/>
      <c r="C1659" s="189"/>
      <c r="D1659" s="185"/>
      <c r="E1659" s="186"/>
      <c r="F1659" s="187"/>
    </row>
    <row r="1660" spans="1:6" x14ac:dyDescent="0.2">
      <c r="A1660" s="275"/>
      <c r="B1660" s="78"/>
      <c r="C1660" s="189"/>
      <c r="D1660" s="185"/>
      <c r="E1660" s="186"/>
      <c r="F1660" s="187"/>
    </row>
    <row r="1661" spans="1:6" x14ac:dyDescent="0.2">
      <c r="A1661" s="275"/>
      <c r="B1661" s="78"/>
      <c r="C1661" s="189"/>
      <c r="D1661" s="185"/>
      <c r="E1661" s="186"/>
      <c r="F1661" s="187"/>
    </row>
    <row r="1662" spans="1:6" x14ac:dyDescent="0.2">
      <c r="A1662" s="275"/>
      <c r="B1662" s="78"/>
      <c r="C1662" s="189"/>
      <c r="D1662" s="185"/>
      <c r="E1662" s="186"/>
      <c r="F1662" s="187"/>
    </row>
    <row r="1663" spans="1:6" x14ac:dyDescent="0.2">
      <c r="A1663" s="275"/>
      <c r="B1663" s="78"/>
      <c r="C1663" s="189"/>
      <c r="D1663" s="185"/>
      <c r="E1663" s="186"/>
      <c r="F1663" s="187"/>
    </row>
    <row r="1664" spans="1:6" x14ac:dyDescent="0.2">
      <c r="A1664" s="275"/>
      <c r="B1664" s="78"/>
      <c r="C1664" s="189"/>
      <c r="D1664" s="185"/>
      <c r="E1664" s="186"/>
      <c r="F1664" s="187"/>
    </row>
    <row r="1665" spans="1:6" x14ac:dyDescent="0.2">
      <c r="A1665" s="275"/>
      <c r="B1665" s="78"/>
      <c r="C1665" s="189"/>
      <c r="D1665" s="185"/>
      <c r="E1665" s="186"/>
      <c r="F1665" s="187"/>
    </row>
    <row r="1666" spans="1:6" x14ac:dyDescent="0.2">
      <c r="A1666" s="275"/>
      <c r="B1666" s="78"/>
      <c r="C1666" s="189"/>
      <c r="D1666" s="185"/>
      <c r="E1666" s="186"/>
      <c r="F1666" s="187"/>
    </row>
    <row r="1667" spans="1:6" x14ac:dyDescent="0.2">
      <c r="A1667" s="275"/>
      <c r="B1667" s="78"/>
      <c r="C1667" s="189"/>
      <c r="D1667" s="185"/>
      <c r="E1667" s="186"/>
      <c r="F1667" s="187"/>
    </row>
    <row r="1668" spans="1:6" x14ac:dyDescent="0.2">
      <c r="A1668" s="275"/>
      <c r="B1668" s="78"/>
      <c r="C1668" s="189"/>
      <c r="D1668" s="185"/>
      <c r="E1668" s="186"/>
      <c r="F1668" s="187"/>
    </row>
    <row r="1669" spans="1:6" x14ac:dyDescent="0.2">
      <c r="A1669" s="275"/>
      <c r="B1669" s="78"/>
      <c r="C1669" s="189"/>
      <c r="D1669" s="185"/>
      <c r="E1669" s="186"/>
      <c r="F1669" s="187"/>
    </row>
    <row r="1670" spans="1:6" x14ac:dyDescent="0.2">
      <c r="A1670" s="275"/>
      <c r="B1670" s="78"/>
      <c r="C1670" s="189"/>
      <c r="D1670" s="185"/>
      <c r="E1670" s="186"/>
      <c r="F1670" s="187"/>
    </row>
    <row r="1671" spans="1:6" x14ac:dyDescent="0.2">
      <c r="A1671" s="275"/>
      <c r="B1671" s="78"/>
      <c r="C1671" s="189"/>
      <c r="D1671" s="185"/>
      <c r="E1671" s="186"/>
      <c r="F1671" s="187"/>
    </row>
    <row r="1672" spans="1:6" x14ac:dyDescent="0.2">
      <c r="A1672" s="275"/>
      <c r="B1672" s="78"/>
      <c r="C1672" s="189"/>
      <c r="D1672" s="185"/>
      <c r="E1672" s="186"/>
      <c r="F1672" s="187"/>
    </row>
    <row r="1673" spans="1:6" x14ac:dyDescent="0.2">
      <c r="A1673" s="275"/>
      <c r="B1673" s="78"/>
      <c r="C1673" s="189"/>
      <c r="D1673" s="185"/>
      <c r="E1673" s="186"/>
      <c r="F1673" s="187"/>
    </row>
    <row r="1674" spans="1:6" x14ac:dyDescent="0.2">
      <c r="A1674" s="275"/>
      <c r="B1674" s="78"/>
      <c r="C1674" s="189"/>
      <c r="D1674" s="185"/>
      <c r="E1674" s="186"/>
      <c r="F1674" s="187"/>
    </row>
    <row r="1675" spans="1:6" x14ac:dyDescent="0.2">
      <c r="A1675" s="275"/>
      <c r="B1675" s="78"/>
      <c r="C1675" s="189"/>
      <c r="D1675" s="185"/>
      <c r="E1675" s="186"/>
      <c r="F1675" s="187"/>
    </row>
    <row r="1676" spans="1:6" x14ac:dyDescent="0.2">
      <c r="A1676" s="275"/>
      <c r="B1676" s="78"/>
      <c r="C1676" s="189"/>
      <c r="D1676" s="185"/>
      <c r="E1676" s="186"/>
      <c r="F1676" s="187"/>
    </row>
    <row r="1677" spans="1:6" x14ac:dyDescent="0.2">
      <c r="A1677" s="275"/>
      <c r="B1677" s="78"/>
      <c r="C1677" s="189"/>
      <c r="D1677" s="185"/>
      <c r="E1677" s="186"/>
      <c r="F1677" s="187"/>
    </row>
    <row r="1678" spans="1:6" x14ac:dyDescent="0.2">
      <c r="A1678" s="275"/>
      <c r="B1678" s="78"/>
      <c r="C1678" s="189"/>
      <c r="D1678" s="185"/>
      <c r="E1678" s="186"/>
      <c r="F1678" s="187"/>
    </row>
    <row r="1679" spans="1:6" x14ac:dyDescent="0.2">
      <c r="A1679" s="275"/>
      <c r="B1679" s="78"/>
      <c r="C1679" s="189"/>
      <c r="D1679" s="185"/>
      <c r="E1679" s="186"/>
      <c r="F1679" s="187"/>
    </row>
    <row r="1680" spans="1:6" x14ac:dyDescent="0.2">
      <c r="A1680" s="275"/>
      <c r="B1680" s="78"/>
      <c r="C1680" s="189"/>
      <c r="D1680" s="185"/>
      <c r="E1680" s="186"/>
      <c r="F1680" s="187"/>
    </row>
    <row r="1681" spans="1:6" x14ac:dyDescent="0.2">
      <c r="A1681" s="275"/>
      <c r="B1681" s="78"/>
      <c r="C1681" s="189"/>
      <c r="D1681" s="185"/>
      <c r="E1681" s="186"/>
      <c r="F1681" s="187"/>
    </row>
    <row r="1682" spans="1:6" x14ac:dyDescent="0.2">
      <c r="A1682" s="275"/>
      <c r="B1682" s="78"/>
      <c r="C1682" s="189"/>
      <c r="D1682" s="185"/>
      <c r="E1682" s="186"/>
      <c r="F1682" s="187"/>
    </row>
    <row r="1683" spans="1:6" x14ac:dyDescent="0.2">
      <c r="A1683" s="275"/>
      <c r="B1683" s="78"/>
      <c r="C1683" s="189"/>
      <c r="D1683" s="185"/>
      <c r="E1683" s="186"/>
      <c r="F1683" s="187"/>
    </row>
    <row r="1684" spans="1:6" x14ac:dyDescent="0.2">
      <c r="A1684" s="275"/>
      <c r="B1684" s="78"/>
      <c r="C1684" s="189"/>
      <c r="D1684" s="185"/>
      <c r="E1684" s="186"/>
      <c r="F1684" s="187"/>
    </row>
    <row r="1685" spans="1:6" x14ac:dyDescent="0.2">
      <c r="A1685" s="275"/>
      <c r="B1685" s="78"/>
      <c r="C1685" s="189"/>
      <c r="D1685" s="185"/>
      <c r="E1685" s="186"/>
      <c r="F1685" s="187"/>
    </row>
    <row r="1686" spans="1:6" x14ac:dyDescent="0.2">
      <c r="A1686" s="275"/>
      <c r="B1686" s="78"/>
      <c r="C1686" s="189"/>
      <c r="D1686" s="185"/>
      <c r="E1686" s="186"/>
      <c r="F1686" s="187"/>
    </row>
    <row r="1687" spans="1:6" x14ac:dyDescent="0.2">
      <c r="A1687" s="275"/>
      <c r="B1687" s="78"/>
      <c r="C1687" s="189"/>
      <c r="D1687" s="185"/>
      <c r="E1687" s="186"/>
      <c r="F1687" s="187"/>
    </row>
    <row r="1688" spans="1:6" x14ac:dyDescent="0.2">
      <c r="A1688" s="275"/>
      <c r="B1688" s="78"/>
      <c r="C1688" s="189"/>
      <c r="D1688" s="185"/>
      <c r="E1688" s="186"/>
      <c r="F1688" s="187"/>
    </row>
    <row r="1689" spans="1:6" x14ac:dyDescent="0.2">
      <c r="A1689" s="275"/>
      <c r="B1689" s="78"/>
      <c r="C1689" s="189"/>
      <c r="D1689" s="185"/>
      <c r="E1689" s="186"/>
      <c r="F1689" s="187"/>
    </row>
    <row r="1690" spans="1:6" x14ac:dyDescent="0.2">
      <c r="A1690" s="275"/>
      <c r="B1690" s="78"/>
      <c r="C1690" s="189"/>
      <c r="D1690" s="185"/>
      <c r="E1690" s="186"/>
      <c r="F1690" s="187"/>
    </row>
    <row r="1691" spans="1:6" x14ac:dyDescent="0.2">
      <c r="A1691" s="275"/>
      <c r="B1691" s="78"/>
      <c r="C1691" s="189"/>
      <c r="D1691" s="185"/>
      <c r="E1691" s="186"/>
      <c r="F1691" s="187"/>
    </row>
    <row r="1692" spans="1:6" x14ac:dyDescent="0.2">
      <c r="A1692" s="275"/>
      <c r="B1692" s="78"/>
      <c r="C1692" s="189"/>
      <c r="D1692" s="185"/>
      <c r="E1692" s="186"/>
      <c r="F1692" s="187"/>
    </row>
    <row r="1693" spans="1:6" x14ac:dyDescent="0.2">
      <c r="A1693" s="275"/>
      <c r="B1693" s="78"/>
      <c r="C1693" s="189"/>
      <c r="D1693" s="185"/>
      <c r="E1693" s="186"/>
      <c r="F1693" s="187"/>
    </row>
    <row r="1694" spans="1:6" x14ac:dyDescent="0.2">
      <c r="A1694" s="275"/>
      <c r="B1694" s="78"/>
      <c r="C1694" s="189"/>
      <c r="D1694" s="185"/>
      <c r="E1694" s="186"/>
      <c r="F1694" s="187"/>
    </row>
    <row r="1695" spans="1:6" x14ac:dyDescent="0.2">
      <c r="A1695" s="275"/>
      <c r="B1695" s="78"/>
      <c r="C1695" s="189"/>
      <c r="D1695" s="185"/>
      <c r="E1695" s="186"/>
      <c r="F1695" s="187"/>
    </row>
    <row r="1696" spans="1:6" x14ac:dyDescent="0.2">
      <c r="A1696" s="275"/>
      <c r="B1696" s="78"/>
      <c r="C1696" s="189"/>
      <c r="D1696" s="185"/>
      <c r="E1696" s="186"/>
      <c r="F1696" s="187"/>
    </row>
    <row r="1697" spans="1:6" x14ac:dyDescent="0.2">
      <c r="A1697" s="275"/>
      <c r="B1697" s="78"/>
      <c r="C1697" s="189"/>
      <c r="D1697" s="185"/>
      <c r="E1697" s="186"/>
      <c r="F1697" s="187"/>
    </row>
    <row r="1698" spans="1:6" x14ac:dyDescent="0.2">
      <c r="A1698" s="275"/>
      <c r="B1698" s="78"/>
      <c r="C1698" s="189"/>
      <c r="D1698" s="185"/>
      <c r="E1698" s="186"/>
      <c r="F1698" s="187"/>
    </row>
    <row r="1699" spans="1:6" x14ac:dyDescent="0.2">
      <c r="A1699" s="275"/>
      <c r="B1699" s="78"/>
      <c r="C1699" s="189"/>
      <c r="D1699" s="185"/>
      <c r="E1699" s="186"/>
      <c r="F1699" s="187"/>
    </row>
    <row r="1700" spans="1:6" x14ac:dyDescent="0.2">
      <c r="A1700" s="275"/>
      <c r="B1700" s="78"/>
      <c r="C1700" s="189"/>
      <c r="D1700" s="185"/>
      <c r="E1700" s="186"/>
      <c r="F1700" s="187"/>
    </row>
    <row r="1701" spans="1:6" x14ac:dyDescent="0.2">
      <c r="A1701" s="275"/>
      <c r="B1701" s="78"/>
      <c r="C1701" s="189"/>
      <c r="D1701" s="185"/>
      <c r="E1701" s="186"/>
      <c r="F1701" s="187"/>
    </row>
    <row r="1702" spans="1:6" x14ac:dyDescent="0.2">
      <c r="A1702" s="275"/>
      <c r="B1702" s="78"/>
      <c r="C1702" s="189"/>
      <c r="D1702" s="185"/>
      <c r="E1702" s="186"/>
      <c r="F1702" s="187"/>
    </row>
    <row r="1703" spans="1:6" x14ac:dyDescent="0.2">
      <c r="A1703" s="275"/>
      <c r="B1703" s="78"/>
      <c r="C1703" s="189"/>
      <c r="D1703" s="185"/>
      <c r="E1703" s="186"/>
      <c r="F1703" s="187"/>
    </row>
    <row r="1704" spans="1:6" x14ac:dyDescent="0.2">
      <c r="A1704" s="275"/>
      <c r="B1704" s="78"/>
      <c r="C1704" s="189"/>
      <c r="D1704" s="185"/>
      <c r="E1704" s="186"/>
      <c r="F1704" s="187"/>
    </row>
    <row r="1705" spans="1:6" x14ac:dyDescent="0.2">
      <c r="A1705" s="275"/>
      <c r="B1705" s="78"/>
      <c r="C1705" s="189"/>
      <c r="D1705" s="185"/>
      <c r="E1705" s="186"/>
      <c r="F1705" s="187"/>
    </row>
    <row r="1706" spans="1:6" x14ac:dyDescent="0.2">
      <c r="A1706" s="275"/>
      <c r="B1706" s="78"/>
      <c r="C1706" s="189"/>
      <c r="D1706" s="185"/>
      <c r="E1706" s="186"/>
      <c r="F1706" s="187"/>
    </row>
    <row r="1707" spans="1:6" x14ac:dyDescent="0.2">
      <c r="A1707" s="275"/>
      <c r="B1707" s="78"/>
      <c r="C1707" s="189"/>
      <c r="D1707" s="185"/>
      <c r="E1707" s="186"/>
      <c r="F1707" s="187"/>
    </row>
    <row r="1708" spans="1:6" x14ac:dyDescent="0.2">
      <c r="A1708" s="275"/>
      <c r="B1708" s="78"/>
      <c r="C1708" s="189"/>
      <c r="D1708" s="185"/>
      <c r="E1708" s="186"/>
      <c r="F1708" s="187"/>
    </row>
    <row r="1709" spans="1:6" x14ac:dyDescent="0.2">
      <c r="A1709" s="275"/>
      <c r="B1709" s="78"/>
      <c r="C1709" s="189"/>
      <c r="D1709" s="185"/>
      <c r="E1709" s="186"/>
      <c r="F1709" s="187"/>
    </row>
    <row r="1710" spans="1:6" x14ac:dyDescent="0.2">
      <c r="A1710" s="275"/>
      <c r="B1710" s="78"/>
      <c r="C1710" s="189"/>
      <c r="D1710" s="185"/>
      <c r="E1710" s="186"/>
      <c r="F1710" s="187"/>
    </row>
    <row r="1711" spans="1:6" x14ac:dyDescent="0.2">
      <c r="A1711" s="275"/>
      <c r="B1711" s="78"/>
      <c r="C1711" s="189"/>
      <c r="D1711" s="185"/>
      <c r="E1711" s="186"/>
      <c r="F1711" s="187"/>
    </row>
    <row r="1712" spans="1:6" x14ac:dyDescent="0.2">
      <c r="A1712" s="275"/>
      <c r="B1712" s="78"/>
      <c r="C1712" s="189"/>
      <c r="D1712" s="185"/>
      <c r="E1712" s="186"/>
      <c r="F1712" s="187"/>
    </row>
    <row r="1713" spans="1:6" x14ac:dyDescent="0.2">
      <c r="A1713" s="275"/>
      <c r="B1713" s="78"/>
      <c r="C1713" s="189"/>
      <c r="D1713" s="185"/>
      <c r="E1713" s="186"/>
      <c r="F1713" s="187"/>
    </row>
    <row r="1714" spans="1:6" x14ac:dyDescent="0.2">
      <c r="A1714" s="275"/>
      <c r="B1714" s="78"/>
      <c r="C1714" s="189"/>
      <c r="D1714" s="185"/>
      <c r="E1714" s="186"/>
      <c r="F1714" s="187"/>
    </row>
    <row r="1715" spans="1:6" x14ac:dyDescent="0.2">
      <c r="A1715" s="275"/>
      <c r="B1715" s="78"/>
      <c r="C1715" s="189"/>
      <c r="D1715" s="185"/>
      <c r="E1715" s="186"/>
      <c r="F1715" s="187"/>
    </row>
    <row r="1716" spans="1:6" x14ac:dyDescent="0.2">
      <c r="A1716" s="275"/>
      <c r="B1716" s="78"/>
      <c r="C1716" s="189"/>
      <c r="D1716" s="185"/>
      <c r="E1716" s="186"/>
      <c r="F1716" s="187"/>
    </row>
    <row r="1717" spans="1:6" x14ac:dyDescent="0.2">
      <c r="A1717" s="275"/>
      <c r="B1717" s="78"/>
      <c r="C1717" s="189"/>
      <c r="D1717" s="185"/>
      <c r="E1717" s="186"/>
      <c r="F1717" s="187"/>
    </row>
    <row r="1718" spans="1:6" x14ac:dyDescent="0.2">
      <c r="A1718" s="275"/>
      <c r="B1718" s="78"/>
      <c r="C1718" s="189"/>
      <c r="D1718" s="185"/>
      <c r="E1718" s="186"/>
      <c r="F1718" s="187"/>
    </row>
    <row r="1719" spans="1:6" x14ac:dyDescent="0.2">
      <c r="A1719" s="275"/>
      <c r="B1719" s="78"/>
      <c r="C1719" s="189"/>
      <c r="D1719" s="185"/>
      <c r="E1719" s="186"/>
      <c r="F1719" s="187"/>
    </row>
    <row r="1720" spans="1:6" x14ac:dyDescent="0.2">
      <c r="A1720" s="275"/>
      <c r="B1720" s="78"/>
      <c r="C1720" s="189"/>
      <c r="D1720" s="185"/>
      <c r="E1720" s="186"/>
      <c r="F1720" s="187"/>
    </row>
    <row r="1721" spans="1:6" x14ac:dyDescent="0.2">
      <c r="A1721" s="275"/>
      <c r="B1721" s="78"/>
      <c r="C1721" s="189"/>
      <c r="D1721" s="185"/>
      <c r="E1721" s="186"/>
      <c r="F1721" s="187"/>
    </row>
    <row r="1722" spans="1:6" x14ac:dyDescent="0.2">
      <c r="A1722" s="275"/>
      <c r="B1722" s="78"/>
      <c r="C1722" s="189"/>
      <c r="D1722" s="185"/>
      <c r="E1722" s="186"/>
      <c r="F1722" s="187"/>
    </row>
    <row r="1723" spans="1:6" x14ac:dyDescent="0.2">
      <c r="A1723" s="275"/>
      <c r="B1723" s="78"/>
      <c r="C1723" s="189"/>
      <c r="D1723" s="185"/>
      <c r="E1723" s="186"/>
      <c r="F1723" s="187"/>
    </row>
    <row r="1724" spans="1:6" x14ac:dyDescent="0.2">
      <c r="A1724" s="275"/>
      <c r="B1724" s="78"/>
      <c r="C1724" s="189"/>
      <c r="D1724" s="185"/>
      <c r="E1724" s="186"/>
      <c r="F1724" s="187"/>
    </row>
    <row r="1725" spans="1:6" x14ac:dyDescent="0.2">
      <c r="A1725" s="275"/>
      <c r="B1725" s="78"/>
      <c r="C1725" s="189"/>
      <c r="D1725" s="185"/>
      <c r="E1725" s="186"/>
      <c r="F1725" s="187"/>
    </row>
    <row r="1726" spans="1:6" x14ac:dyDescent="0.2">
      <c r="A1726" s="275"/>
      <c r="B1726" s="78"/>
      <c r="C1726" s="189"/>
      <c r="D1726" s="185"/>
      <c r="E1726" s="186"/>
      <c r="F1726" s="187"/>
    </row>
    <row r="1727" spans="1:6" x14ac:dyDescent="0.2">
      <c r="A1727" s="275"/>
      <c r="B1727" s="78"/>
      <c r="C1727" s="189"/>
      <c r="D1727" s="185"/>
      <c r="E1727" s="186"/>
      <c r="F1727" s="187"/>
    </row>
    <row r="1728" spans="1:6" x14ac:dyDescent="0.2">
      <c r="A1728" s="275"/>
      <c r="B1728" s="78"/>
      <c r="C1728" s="189"/>
      <c r="D1728" s="185"/>
      <c r="E1728" s="186"/>
      <c r="F1728" s="187"/>
    </row>
    <row r="1729" spans="1:6" x14ac:dyDescent="0.2">
      <c r="A1729" s="275"/>
      <c r="B1729" s="78"/>
      <c r="C1729" s="189"/>
      <c r="D1729" s="185"/>
      <c r="E1729" s="186"/>
      <c r="F1729" s="187"/>
    </row>
    <row r="1730" spans="1:6" x14ac:dyDescent="0.2">
      <c r="A1730" s="275"/>
      <c r="B1730" s="78"/>
      <c r="C1730" s="189"/>
      <c r="D1730" s="185"/>
      <c r="E1730" s="186"/>
      <c r="F1730" s="187"/>
    </row>
    <row r="1731" spans="1:6" x14ac:dyDescent="0.2">
      <c r="A1731" s="275"/>
      <c r="B1731" s="78"/>
      <c r="C1731" s="189"/>
      <c r="D1731" s="185"/>
      <c r="E1731" s="186"/>
      <c r="F1731" s="187"/>
    </row>
    <row r="1732" spans="1:6" x14ac:dyDescent="0.2">
      <c r="A1732" s="275"/>
      <c r="B1732" s="78"/>
      <c r="C1732" s="189"/>
      <c r="D1732" s="185"/>
      <c r="E1732" s="186"/>
      <c r="F1732" s="187"/>
    </row>
    <row r="1733" spans="1:6" x14ac:dyDescent="0.2">
      <c r="A1733" s="275"/>
      <c r="B1733" s="78"/>
      <c r="C1733" s="189"/>
      <c r="D1733" s="185"/>
      <c r="E1733" s="186"/>
      <c r="F1733" s="187"/>
    </row>
    <row r="1734" spans="1:6" x14ac:dyDescent="0.2">
      <c r="A1734" s="275"/>
      <c r="B1734" s="78"/>
      <c r="C1734" s="189"/>
      <c r="D1734" s="185"/>
      <c r="E1734" s="186"/>
      <c r="F1734" s="187"/>
    </row>
    <row r="1735" spans="1:6" x14ac:dyDescent="0.2">
      <c r="A1735" s="275"/>
      <c r="B1735" s="78"/>
      <c r="C1735" s="189"/>
      <c r="D1735" s="185"/>
      <c r="E1735" s="186"/>
      <c r="F1735" s="187"/>
    </row>
    <row r="1736" spans="1:6" x14ac:dyDescent="0.2">
      <c r="A1736" s="275"/>
      <c r="B1736" s="78"/>
      <c r="C1736" s="189"/>
      <c r="D1736" s="185"/>
      <c r="E1736" s="186"/>
      <c r="F1736" s="187"/>
    </row>
    <row r="1737" spans="1:6" x14ac:dyDescent="0.2">
      <c r="A1737" s="275"/>
      <c r="B1737" s="78"/>
      <c r="C1737" s="189"/>
      <c r="D1737" s="185"/>
      <c r="E1737" s="186"/>
      <c r="F1737" s="187"/>
    </row>
    <row r="1738" spans="1:6" x14ac:dyDescent="0.2">
      <c r="A1738" s="275"/>
      <c r="B1738" s="78"/>
      <c r="C1738" s="189"/>
      <c r="D1738" s="185"/>
      <c r="E1738" s="186"/>
      <c r="F1738" s="187"/>
    </row>
    <row r="1739" spans="1:6" x14ac:dyDescent="0.2">
      <c r="A1739" s="275"/>
      <c r="B1739" s="78"/>
      <c r="C1739" s="189"/>
      <c r="D1739" s="185"/>
      <c r="E1739" s="186"/>
      <c r="F1739" s="187"/>
    </row>
    <row r="1740" spans="1:6" x14ac:dyDescent="0.2">
      <c r="A1740" s="275"/>
      <c r="B1740" s="78"/>
      <c r="C1740" s="189"/>
      <c r="D1740" s="185"/>
      <c r="E1740" s="186"/>
      <c r="F1740" s="187"/>
    </row>
    <row r="1741" spans="1:6" x14ac:dyDescent="0.2">
      <c r="A1741" s="275"/>
      <c r="B1741" s="78"/>
      <c r="C1741" s="189"/>
      <c r="D1741" s="185"/>
      <c r="E1741" s="186"/>
      <c r="F1741" s="187"/>
    </row>
    <row r="1742" spans="1:6" x14ac:dyDescent="0.2">
      <c r="A1742" s="275"/>
      <c r="B1742" s="78"/>
      <c r="C1742" s="189"/>
      <c r="D1742" s="185"/>
      <c r="E1742" s="186"/>
      <c r="F1742" s="187"/>
    </row>
    <row r="1743" spans="1:6" x14ac:dyDescent="0.2">
      <c r="A1743" s="275"/>
      <c r="B1743" s="78"/>
      <c r="C1743" s="189"/>
      <c r="D1743" s="185"/>
      <c r="E1743" s="186"/>
      <c r="F1743" s="187"/>
    </row>
    <row r="1744" spans="1:6" x14ac:dyDescent="0.2">
      <c r="A1744" s="275"/>
      <c r="B1744" s="78"/>
      <c r="C1744" s="189"/>
      <c r="D1744" s="185"/>
      <c r="E1744" s="186"/>
      <c r="F1744" s="187"/>
    </row>
    <row r="1745" spans="1:6" x14ac:dyDescent="0.2">
      <c r="A1745" s="275"/>
      <c r="B1745" s="78"/>
      <c r="C1745" s="189"/>
      <c r="D1745" s="185"/>
      <c r="E1745" s="186"/>
      <c r="F1745" s="187"/>
    </row>
    <row r="1746" spans="1:6" x14ac:dyDescent="0.2">
      <c r="A1746" s="275"/>
      <c r="B1746" s="78"/>
      <c r="C1746" s="189"/>
      <c r="D1746" s="185"/>
      <c r="E1746" s="186"/>
      <c r="F1746" s="187"/>
    </row>
    <row r="1747" spans="1:6" x14ac:dyDescent="0.2">
      <c r="A1747" s="275"/>
      <c r="B1747" s="78"/>
      <c r="C1747" s="189"/>
      <c r="D1747" s="185"/>
      <c r="E1747" s="186"/>
      <c r="F1747" s="187"/>
    </row>
    <row r="1748" spans="1:6" x14ac:dyDescent="0.2">
      <c r="A1748" s="275"/>
      <c r="B1748" s="78"/>
      <c r="C1748" s="189"/>
      <c r="D1748" s="185"/>
      <c r="E1748" s="186"/>
      <c r="F1748" s="187"/>
    </row>
    <row r="1749" spans="1:6" x14ac:dyDescent="0.2">
      <c r="A1749" s="275"/>
      <c r="B1749" s="78"/>
      <c r="C1749" s="189"/>
      <c r="D1749" s="185"/>
      <c r="E1749" s="186"/>
      <c r="F1749" s="187"/>
    </row>
    <row r="1750" spans="1:6" x14ac:dyDescent="0.2">
      <c r="A1750" s="275"/>
      <c r="B1750" s="78"/>
      <c r="C1750" s="189"/>
      <c r="D1750" s="185"/>
      <c r="E1750" s="186"/>
      <c r="F1750" s="187"/>
    </row>
    <row r="1751" spans="1:6" x14ac:dyDescent="0.2">
      <c r="A1751" s="275"/>
      <c r="B1751" s="78"/>
      <c r="C1751" s="189"/>
      <c r="D1751" s="185"/>
      <c r="E1751" s="186"/>
      <c r="F1751" s="187"/>
    </row>
    <row r="1752" spans="1:6" x14ac:dyDescent="0.2">
      <c r="A1752" s="275"/>
      <c r="B1752" s="78"/>
      <c r="C1752" s="189"/>
      <c r="D1752" s="185"/>
      <c r="E1752" s="186"/>
      <c r="F1752" s="187"/>
    </row>
    <row r="1753" spans="1:6" x14ac:dyDescent="0.2">
      <c r="A1753" s="275"/>
      <c r="B1753" s="78"/>
      <c r="C1753" s="189"/>
      <c r="D1753" s="185"/>
      <c r="E1753" s="186"/>
      <c r="F1753" s="187"/>
    </row>
    <row r="1754" spans="1:6" x14ac:dyDescent="0.2">
      <c r="A1754" s="275"/>
      <c r="B1754" s="78"/>
      <c r="C1754" s="189"/>
      <c r="D1754" s="185"/>
      <c r="E1754" s="186"/>
      <c r="F1754" s="187"/>
    </row>
    <row r="1755" spans="1:6" x14ac:dyDescent="0.2">
      <c r="A1755" s="275"/>
      <c r="B1755" s="78"/>
      <c r="C1755" s="189"/>
      <c r="D1755" s="185"/>
      <c r="E1755" s="186"/>
      <c r="F1755" s="187"/>
    </row>
    <row r="1756" spans="1:6" x14ac:dyDescent="0.2">
      <c r="A1756" s="275"/>
      <c r="B1756" s="78"/>
      <c r="C1756" s="189"/>
      <c r="D1756" s="185"/>
      <c r="E1756" s="186"/>
      <c r="F1756" s="187"/>
    </row>
    <row r="1757" spans="1:6" x14ac:dyDescent="0.2">
      <c r="A1757" s="275"/>
      <c r="B1757" s="78"/>
      <c r="C1757" s="189"/>
      <c r="D1757" s="185"/>
      <c r="E1757" s="186"/>
      <c r="F1757" s="187"/>
    </row>
    <row r="1758" spans="1:6" x14ac:dyDescent="0.2">
      <c r="A1758" s="275"/>
      <c r="B1758" s="78"/>
      <c r="C1758" s="189"/>
      <c r="D1758" s="185"/>
      <c r="E1758" s="186"/>
      <c r="F1758" s="187"/>
    </row>
    <row r="1759" spans="1:6" x14ac:dyDescent="0.2">
      <c r="A1759" s="275"/>
      <c r="B1759" s="78"/>
      <c r="C1759" s="189"/>
      <c r="D1759" s="185"/>
      <c r="E1759" s="186"/>
      <c r="F1759" s="187"/>
    </row>
    <row r="1760" spans="1:6" x14ac:dyDescent="0.2">
      <c r="A1760" s="275"/>
      <c r="B1760" s="78"/>
      <c r="C1760" s="189"/>
      <c r="D1760" s="185"/>
      <c r="E1760" s="186"/>
      <c r="F1760" s="187"/>
    </row>
    <row r="1761" spans="1:6" x14ac:dyDescent="0.2">
      <c r="A1761" s="275"/>
      <c r="B1761" s="78"/>
      <c r="C1761" s="189"/>
      <c r="D1761" s="185"/>
      <c r="E1761" s="186"/>
      <c r="F1761" s="187"/>
    </row>
    <row r="1762" spans="1:6" x14ac:dyDescent="0.2">
      <c r="A1762" s="275"/>
      <c r="B1762" s="78"/>
      <c r="C1762" s="189"/>
      <c r="D1762" s="185"/>
      <c r="E1762" s="186"/>
      <c r="F1762" s="187"/>
    </row>
    <row r="1763" spans="1:6" x14ac:dyDescent="0.2">
      <c r="A1763" s="275"/>
      <c r="B1763" s="78"/>
      <c r="C1763" s="189"/>
      <c r="D1763" s="185"/>
      <c r="E1763" s="186"/>
      <c r="F1763" s="187"/>
    </row>
    <row r="1764" spans="1:6" x14ac:dyDescent="0.2">
      <c r="A1764" s="275"/>
      <c r="B1764" s="78"/>
      <c r="C1764" s="189"/>
      <c r="D1764" s="185"/>
      <c r="E1764" s="186"/>
      <c r="F1764" s="187"/>
    </row>
    <row r="1765" spans="1:6" x14ac:dyDescent="0.2">
      <c r="A1765" s="275"/>
      <c r="B1765" s="78"/>
      <c r="C1765" s="189"/>
      <c r="D1765" s="185"/>
      <c r="E1765" s="186"/>
      <c r="F1765" s="187"/>
    </row>
    <row r="1766" spans="1:6" x14ac:dyDescent="0.2">
      <c r="A1766" s="275"/>
      <c r="B1766" s="78"/>
      <c r="C1766" s="189"/>
      <c r="D1766" s="185"/>
      <c r="E1766" s="186"/>
      <c r="F1766" s="187"/>
    </row>
    <row r="1767" spans="1:6" x14ac:dyDescent="0.2">
      <c r="A1767" s="275"/>
      <c r="B1767" s="78"/>
      <c r="C1767" s="189"/>
      <c r="D1767" s="185"/>
      <c r="E1767" s="186"/>
      <c r="F1767" s="187"/>
    </row>
    <row r="1768" spans="1:6" x14ac:dyDescent="0.2">
      <c r="A1768" s="275"/>
      <c r="B1768" s="78"/>
      <c r="C1768" s="189"/>
      <c r="D1768" s="185"/>
      <c r="E1768" s="186"/>
      <c r="F1768" s="187"/>
    </row>
    <row r="1769" spans="1:6" x14ac:dyDescent="0.2">
      <c r="A1769" s="275"/>
      <c r="B1769" s="78"/>
      <c r="C1769" s="189"/>
      <c r="D1769" s="185"/>
      <c r="E1769" s="186"/>
      <c r="F1769" s="187"/>
    </row>
    <row r="1770" spans="1:6" x14ac:dyDescent="0.2">
      <c r="A1770" s="275"/>
      <c r="B1770" s="78"/>
      <c r="C1770" s="189"/>
      <c r="D1770" s="185"/>
      <c r="E1770" s="186"/>
      <c r="F1770" s="187"/>
    </row>
    <row r="1771" spans="1:6" x14ac:dyDescent="0.2">
      <c r="A1771" s="275"/>
      <c r="B1771" s="78"/>
      <c r="C1771" s="189"/>
      <c r="D1771" s="185"/>
      <c r="E1771" s="186"/>
      <c r="F1771" s="187"/>
    </row>
    <row r="1772" spans="1:6" x14ac:dyDescent="0.2">
      <c r="A1772" s="275"/>
      <c r="B1772" s="78"/>
      <c r="C1772" s="189"/>
      <c r="D1772" s="185"/>
      <c r="E1772" s="186"/>
      <c r="F1772" s="187"/>
    </row>
    <row r="1773" spans="1:6" x14ac:dyDescent="0.2">
      <c r="A1773" s="275"/>
      <c r="B1773" s="78"/>
      <c r="C1773" s="189"/>
      <c r="D1773" s="185"/>
      <c r="E1773" s="186"/>
      <c r="F1773" s="187"/>
    </row>
    <row r="1774" spans="1:6" x14ac:dyDescent="0.2">
      <c r="A1774" s="275"/>
      <c r="B1774" s="78"/>
      <c r="C1774" s="189"/>
      <c r="D1774" s="185"/>
      <c r="E1774" s="186"/>
      <c r="F1774" s="187"/>
    </row>
    <row r="1775" spans="1:6" x14ac:dyDescent="0.2">
      <c r="A1775" s="275"/>
      <c r="B1775" s="78"/>
      <c r="C1775" s="189"/>
      <c r="D1775" s="185"/>
      <c r="E1775" s="186"/>
      <c r="F1775" s="187"/>
    </row>
    <row r="1776" spans="1:6" x14ac:dyDescent="0.2">
      <c r="A1776" s="275"/>
      <c r="B1776" s="78"/>
      <c r="C1776" s="189"/>
      <c r="D1776" s="185"/>
      <c r="E1776" s="186"/>
      <c r="F1776" s="187"/>
    </row>
    <row r="1777" spans="1:6" x14ac:dyDescent="0.2">
      <c r="A1777" s="275"/>
      <c r="B1777" s="78"/>
      <c r="C1777" s="189"/>
      <c r="D1777" s="185"/>
      <c r="E1777" s="186"/>
      <c r="F1777" s="187"/>
    </row>
    <row r="1778" spans="1:6" x14ac:dyDescent="0.2">
      <c r="A1778" s="275"/>
      <c r="B1778" s="78"/>
      <c r="C1778" s="189"/>
      <c r="D1778" s="185"/>
      <c r="E1778" s="186"/>
      <c r="F1778" s="187"/>
    </row>
    <row r="1779" spans="1:6" x14ac:dyDescent="0.2">
      <c r="A1779" s="275"/>
      <c r="B1779" s="78"/>
      <c r="C1779" s="189"/>
      <c r="D1779" s="185"/>
      <c r="E1779" s="186"/>
      <c r="F1779" s="187"/>
    </row>
    <row r="1780" spans="1:6" x14ac:dyDescent="0.2">
      <c r="A1780" s="275"/>
      <c r="B1780" s="78"/>
      <c r="C1780" s="189"/>
      <c r="D1780" s="185"/>
      <c r="E1780" s="186"/>
      <c r="F1780" s="187"/>
    </row>
    <row r="1781" spans="1:6" x14ac:dyDescent="0.2">
      <c r="A1781" s="275"/>
      <c r="B1781" s="78"/>
      <c r="C1781" s="189"/>
      <c r="D1781" s="185"/>
      <c r="E1781" s="186"/>
      <c r="F1781" s="187"/>
    </row>
    <row r="1782" spans="1:6" x14ac:dyDescent="0.2">
      <c r="A1782" s="275"/>
      <c r="B1782" s="78"/>
      <c r="C1782" s="189"/>
      <c r="D1782" s="185"/>
      <c r="E1782" s="186"/>
      <c r="F1782" s="187"/>
    </row>
    <row r="1783" spans="1:6" x14ac:dyDescent="0.2">
      <c r="A1783" s="275"/>
      <c r="B1783" s="78"/>
      <c r="C1783" s="189"/>
      <c r="D1783" s="185"/>
      <c r="E1783" s="186"/>
      <c r="F1783" s="187"/>
    </row>
    <row r="1784" spans="1:6" x14ac:dyDescent="0.2">
      <c r="A1784" s="275"/>
      <c r="B1784" s="78"/>
      <c r="C1784" s="189"/>
      <c r="D1784" s="185"/>
      <c r="E1784" s="186"/>
      <c r="F1784" s="187"/>
    </row>
    <row r="1785" spans="1:6" x14ac:dyDescent="0.2">
      <c r="A1785" s="275"/>
      <c r="B1785" s="78"/>
      <c r="C1785" s="189"/>
      <c r="D1785" s="185"/>
      <c r="E1785" s="186"/>
      <c r="F1785" s="187"/>
    </row>
    <row r="1786" spans="1:6" x14ac:dyDescent="0.2">
      <c r="A1786" s="275"/>
      <c r="B1786" s="78"/>
      <c r="C1786" s="189"/>
      <c r="D1786" s="185"/>
      <c r="E1786" s="186"/>
      <c r="F1786" s="187"/>
    </row>
    <row r="1787" spans="1:6" x14ac:dyDescent="0.2">
      <c r="A1787" s="275"/>
      <c r="B1787" s="78"/>
      <c r="C1787" s="189"/>
      <c r="D1787" s="185"/>
      <c r="E1787" s="186"/>
      <c r="F1787" s="187"/>
    </row>
    <row r="1788" spans="1:6" x14ac:dyDescent="0.2">
      <c r="A1788" s="275"/>
      <c r="B1788" s="78"/>
      <c r="C1788" s="189"/>
      <c r="D1788" s="185"/>
      <c r="E1788" s="186"/>
      <c r="F1788" s="187"/>
    </row>
    <row r="1789" spans="1:6" x14ac:dyDescent="0.2">
      <c r="A1789" s="275"/>
      <c r="B1789" s="78"/>
      <c r="C1789" s="189"/>
      <c r="D1789" s="185"/>
      <c r="E1789" s="186"/>
      <c r="F1789" s="187"/>
    </row>
    <row r="1790" spans="1:6" x14ac:dyDescent="0.2">
      <c r="A1790" s="275"/>
      <c r="B1790" s="78"/>
      <c r="C1790" s="189"/>
      <c r="D1790" s="185"/>
      <c r="E1790" s="186"/>
      <c r="F1790" s="187"/>
    </row>
    <row r="1791" spans="1:6" x14ac:dyDescent="0.2">
      <c r="A1791" s="275"/>
      <c r="B1791" s="78"/>
      <c r="C1791" s="189"/>
      <c r="D1791" s="185"/>
      <c r="E1791" s="186"/>
      <c r="F1791" s="187"/>
    </row>
    <row r="1792" spans="1:6" x14ac:dyDescent="0.2">
      <c r="A1792" s="275"/>
      <c r="B1792" s="78"/>
      <c r="C1792" s="189"/>
      <c r="D1792" s="185"/>
      <c r="E1792" s="186"/>
      <c r="F1792" s="187"/>
    </row>
    <row r="1793" spans="1:6" x14ac:dyDescent="0.2">
      <c r="A1793" s="275"/>
      <c r="B1793" s="78"/>
      <c r="C1793" s="189"/>
      <c r="D1793" s="185"/>
      <c r="E1793" s="186"/>
      <c r="F1793" s="187"/>
    </row>
    <row r="1794" spans="1:6" x14ac:dyDescent="0.2">
      <c r="A1794" s="275"/>
      <c r="B1794" s="78"/>
      <c r="C1794" s="189"/>
      <c r="D1794" s="185"/>
      <c r="E1794" s="186"/>
      <c r="F1794" s="187"/>
    </row>
    <row r="1795" spans="1:6" x14ac:dyDescent="0.2">
      <c r="A1795" s="275"/>
      <c r="B1795" s="78"/>
      <c r="C1795" s="189"/>
      <c r="D1795" s="185"/>
      <c r="E1795" s="186"/>
      <c r="F1795" s="187"/>
    </row>
    <row r="1796" spans="1:6" x14ac:dyDescent="0.2">
      <c r="A1796" s="275"/>
      <c r="B1796" s="78"/>
      <c r="C1796" s="189"/>
      <c r="D1796" s="185"/>
      <c r="E1796" s="186"/>
      <c r="F1796" s="187"/>
    </row>
    <row r="1797" spans="1:6" x14ac:dyDescent="0.2">
      <c r="A1797" s="275"/>
      <c r="B1797" s="78"/>
      <c r="C1797" s="189"/>
      <c r="D1797" s="185"/>
      <c r="E1797" s="186"/>
      <c r="F1797" s="187"/>
    </row>
    <row r="1798" spans="1:6" x14ac:dyDescent="0.2">
      <c r="A1798" s="275"/>
      <c r="B1798" s="78"/>
      <c r="C1798" s="189"/>
      <c r="D1798" s="185"/>
      <c r="E1798" s="186"/>
      <c r="F1798" s="187"/>
    </row>
    <row r="1799" spans="1:6" x14ac:dyDescent="0.2">
      <c r="A1799" s="275"/>
      <c r="B1799" s="78"/>
      <c r="C1799" s="189"/>
      <c r="D1799" s="185"/>
      <c r="E1799" s="186"/>
      <c r="F1799" s="187"/>
    </row>
    <row r="1800" spans="1:6" x14ac:dyDescent="0.2">
      <c r="A1800" s="275"/>
      <c r="B1800" s="78"/>
      <c r="C1800" s="189"/>
      <c r="D1800" s="185"/>
      <c r="E1800" s="186"/>
      <c r="F1800" s="187"/>
    </row>
    <row r="1801" spans="1:6" x14ac:dyDescent="0.2">
      <c r="A1801" s="275"/>
      <c r="B1801" s="78"/>
      <c r="C1801" s="189"/>
      <c r="D1801" s="185"/>
      <c r="E1801" s="186"/>
      <c r="F1801" s="187"/>
    </row>
    <row r="1802" spans="1:6" x14ac:dyDescent="0.2">
      <c r="A1802" s="275"/>
      <c r="B1802" s="78"/>
      <c r="C1802" s="189"/>
      <c r="D1802" s="185"/>
      <c r="E1802" s="186"/>
      <c r="F1802" s="187"/>
    </row>
    <row r="1803" spans="1:6" x14ac:dyDescent="0.2">
      <c r="A1803" s="275"/>
      <c r="B1803" s="78"/>
      <c r="C1803" s="189"/>
      <c r="D1803" s="185"/>
      <c r="E1803" s="186"/>
      <c r="F1803" s="187"/>
    </row>
    <row r="1804" spans="1:6" x14ac:dyDescent="0.2">
      <c r="A1804" s="275"/>
      <c r="B1804" s="78"/>
      <c r="C1804" s="189"/>
      <c r="D1804" s="185"/>
      <c r="E1804" s="186"/>
      <c r="F1804" s="187"/>
    </row>
    <row r="1805" spans="1:6" x14ac:dyDescent="0.2">
      <c r="A1805" s="275"/>
      <c r="B1805" s="78"/>
      <c r="C1805" s="189"/>
      <c r="D1805" s="185"/>
      <c r="E1805" s="186"/>
      <c r="F1805" s="187"/>
    </row>
    <row r="1806" spans="1:6" x14ac:dyDescent="0.2">
      <c r="A1806" s="275"/>
      <c r="B1806" s="78"/>
      <c r="C1806" s="189"/>
      <c r="D1806" s="185"/>
      <c r="E1806" s="186"/>
      <c r="F1806" s="187"/>
    </row>
    <row r="1807" spans="1:6" x14ac:dyDescent="0.2">
      <c r="A1807" s="275"/>
      <c r="B1807" s="78"/>
      <c r="C1807" s="189"/>
      <c r="D1807" s="185"/>
      <c r="E1807" s="186"/>
      <c r="F1807" s="187"/>
    </row>
    <row r="1808" spans="1:6" x14ac:dyDescent="0.2">
      <c r="A1808" s="275"/>
      <c r="B1808" s="78"/>
      <c r="C1808" s="189"/>
      <c r="D1808" s="185"/>
      <c r="E1808" s="186"/>
      <c r="F1808" s="187"/>
    </row>
    <row r="1809" spans="1:6" x14ac:dyDescent="0.2">
      <c r="A1809" s="275"/>
      <c r="B1809" s="78"/>
      <c r="C1809" s="189"/>
      <c r="D1809" s="185"/>
      <c r="E1809" s="186"/>
      <c r="F1809" s="187"/>
    </row>
    <row r="1810" spans="1:6" x14ac:dyDescent="0.2">
      <c r="A1810" s="275"/>
      <c r="B1810" s="78"/>
      <c r="C1810" s="189"/>
      <c r="D1810" s="185"/>
      <c r="E1810" s="186"/>
      <c r="F1810" s="187"/>
    </row>
    <row r="1811" spans="1:6" x14ac:dyDescent="0.2">
      <c r="A1811" s="275"/>
      <c r="B1811" s="78"/>
      <c r="C1811" s="189"/>
      <c r="D1811" s="185"/>
      <c r="E1811" s="186"/>
      <c r="F1811" s="187"/>
    </row>
    <row r="1812" spans="1:6" x14ac:dyDescent="0.2">
      <c r="A1812" s="275"/>
      <c r="B1812" s="78"/>
      <c r="C1812" s="189"/>
      <c r="D1812" s="185"/>
      <c r="E1812" s="186"/>
      <c r="F1812" s="187"/>
    </row>
    <row r="1813" spans="1:6" x14ac:dyDescent="0.2">
      <c r="A1813" s="275"/>
      <c r="B1813" s="78"/>
      <c r="C1813" s="189"/>
      <c r="D1813" s="185"/>
      <c r="E1813" s="186"/>
      <c r="F1813" s="187"/>
    </row>
    <row r="1814" spans="1:6" x14ac:dyDescent="0.2">
      <c r="A1814" s="275"/>
      <c r="B1814" s="78"/>
      <c r="C1814" s="189"/>
      <c r="D1814" s="185"/>
      <c r="E1814" s="186"/>
      <c r="F1814" s="187"/>
    </row>
    <row r="1815" spans="1:6" x14ac:dyDescent="0.2">
      <c r="A1815" s="275"/>
      <c r="B1815" s="78"/>
      <c r="C1815" s="189"/>
      <c r="D1815" s="185"/>
      <c r="E1815" s="186"/>
      <c r="F1815" s="187"/>
    </row>
    <row r="1816" spans="1:6" x14ac:dyDescent="0.2">
      <c r="A1816" s="275"/>
      <c r="B1816" s="78"/>
      <c r="C1816" s="189"/>
      <c r="D1816" s="185"/>
      <c r="E1816" s="186"/>
      <c r="F1816" s="187"/>
    </row>
    <row r="1817" spans="1:6" x14ac:dyDescent="0.2">
      <c r="A1817" s="275"/>
      <c r="B1817" s="78"/>
      <c r="C1817" s="189"/>
      <c r="D1817" s="185"/>
      <c r="E1817" s="186"/>
      <c r="F1817" s="187"/>
    </row>
    <row r="1818" spans="1:6" x14ac:dyDescent="0.2">
      <c r="A1818" s="275"/>
      <c r="B1818" s="78"/>
      <c r="C1818" s="189"/>
      <c r="D1818" s="185"/>
      <c r="E1818" s="186"/>
      <c r="F1818" s="187"/>
    </row>
    <row r="1819" spans="1:6" x14ac:dyDescent="0.2">
      <c r="A1819" s="275"/>
      <c r="B1819" s="78"/>
      <c r="C1819" s="189"/>
      <c r="D1819" s="185"/>
      <c r="E1819" s="186"/>
      <c r="F1819" s="187"/>
    </row>
    <row r="1820" spans="1:6" x14ac:dyDescent="0.2">
      <c r="A1820" s="275"/>
      <c r="B1820" s="78"/>
      <c r="C1820" s="189"/>
      <c r="D1820" s="185"/>
      <c r="E1820" s="186"/>
      <c r="F1820" s="187"/>
    </row>
    <row r="1821" spans="1:6" x14ac:dyDescent="0.2">
      <c r="A1821" s="275"/>
      <c r="B1821" s="78"/>
      <c r="C1821" s="189"/>
      <c r="D1821" s="185"/>
      <c r="E1821" s="186"/>
      <c r="F1821" s="187"/>
    </row>
    <row r="1822" spans="1:6" x14ac:dyDescent="0.2">
      <c r="A1822" s="275"/>
      <c r="B1822" s="78"/>
      <c r="C1822" s="189"/>
      <c r="D1822" s="185"/>
      <c r="E1822" s="186"/>
      <c r="F1822" s="187"/>
    </row>
    <row r="1823" spans="1:6" x14ac:dyDescent="0.2">
      <c r="A1823" s="275"/>
      <c r="B1823" s="78"/>
      <c r="C1823" s="189"/>
      <c r="D1823" s="185"/>
      <c r="E1823" s="186"/>
      <c r="F1823" s="187"/>
    </row>
  </sheetData>
  <sheetProtection algorithmName="SHA-512" hashValue="TicW4w9LDWx9EI0FG1bn6qInZsGk0cl3crO/FhhUwEtA+JcFNu5aba3mOgHaDGiqwcAxgHIKtXJyOLRs/V5wkA==" saltValue="n6JB4NGRTU3IZ4IfiYYusA==" spinCount="100000" sheet="1" objects="1" scenarios="1"/>
  <dataConsolidate/>
  <mergeCells count="2">
    <mergeCell ref="B1:F1"/>
    <mergeCell ref="C53:E53"/>
  </mergeCells>
  <dataValidations disablePrompts="1" count="1">
    <dataValidation type="custom" showErrorMessage="1" errorTitle="Nepravilen vnos cene" error="Cena mora biti nenegativno število z največ dvema decimalkama!" sqref="E48:E52 E38:E45 E29:E36 E21:E27 E16:E19 E8:E14">
      <formula1>AND(ISNUMBER(E8),E8&gt;=0,ROUND(E8*100,6)-INT(E8*100)=0,NOT(ISBLANK(E8)))</formula1>
    </dataValidation>
  </dataValidations>
  <printOptions horizontalCentered="1"/>
  <pageMargins left="0.78740157480314965" right="0.39370078740157483" top="0.39370078740157483" bottom="0.98425196850393704" header="0.19685039370078741" footer="0.19685039370078741"/>
  <pageSetup paperSize="9" scale="89" fitToHeight="0" orientation="landscape" r:id="rId1"/>
  <headerFooter>
    <oddHeader>&amp;LRTP 110/20 kV Izola&amp;R&amp;G</oddHeader>
    <oddFooter>&amp;LDZR: Ponudbeni predračun
Datoteka: 4407.6G01.PP.rev1.xlsx&amp;R Stran: &amp;P od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B1946"/>
  <sheetViews>
    <sheetView view="pageLayout" topLeftCell="A171" zoomScaleNormal="100" zoomScaleSheetLayoutView="115" workbookViewId="0">
      <selection activeCell="B185" sqref="B185"/>
    </sheetView>
  </sheetViews>
  <sheetFormatPr defaultColWidth="9.140625" defaultRowHeight="12.75" x14ac:dyDescent="0.2"/>
  <cols>
    <col min="1" max="1" width="9.85546875" style="179" customWidth="1"/>
    <col min="2" max="2" width="144.42578125" style="78" customWidth="1"/>
    <col min="3" max="16384" width="9.140625" style="78"/>
  </cols>
  <sheetData>
    <row r="1" spans="1:2" x14ac:dyDescent="0.2">
      <c r="A1" s="77"/>
    </row>
    <row r="2" spans="1:2" x14ac:dyDescent="0.2">
      <c r="A2" s="328" t="s">
        <v>12</v>
      </c>
      <c r="B2" s="328"/>
    </row>
    <row r="3" spans="1:2" ht="28.5" x14ac:dyDescent="0.2">
      <c r="A3" s="79" t="s">
        <v>13</v>
      </c>
      <c r="B3" s="80" t="s">
        <v>14</v>
      </c>
    </row>
    <row r="4" spans="1:2" ht="28.5" x14ac:dyDescent="0.2">
      <c r="A4" s="79" t="s">
        <v>13</v>
      </c>
      <c r="B4" s="80" t="s">
        <v>15</v>
      </c>
    </row>
    <row r="5" spans="1:2" ht="28.5" x14ac:dyDescent="0.2">
      <c r="A5" s="79" t="s">
        <v>13</v>
      </c>
      <c r="B5" s="80" t="s">
        <v>16</v>
      </c>
    </row>
    <row r="6" spans="1:2" ht="28.5" x14ac:dyDescent="0.2">
      <c r="A6" s="79" t="s">
        <v>13</v>
      </c>
      <c r="B6" s="80" t="s">
        <v>17</v>
      </c>
    </row>
    <row r="7" spans="1:2" ht="28.5" x14ac:dyDescent="0.2">
      <c r="A7" s="79" t="s">
        <v>13</v>
      </c>
      <c r="B7" s="80" t="s">
        <v>18</v>
      </c>
    </row>
    <row r="8" spans="1:2" ht="42.75" x14ac:dyDescent="0.2">
      <c r="A8" s="79" t="s">
        <v>13</v>
      </c>
      <c r="B8" s="80" t="s">
        <v>19</v>
      </c>
    </row>
    <row r="9" spans="1:2" ht="21.75" customHeight="1" x14ac:dyDescent="0.2">
      <c r="A9" s="79" t="s">
        <v>13</v>
      </c>
      <c r="B9" s="80" t="s">
        <v>20</v>
      </c>
    </row>
    <row r="10" spans="1:2" ht="33.75" customHeight="1" x14ac:dyDescent="0.2">
      <c r="A10" s="79" t="s">
        <v>13</v>
      </c>
      <c r="B10" s="80" t="s">
        <v>21</v>
      </c>
    </row>
    <row r="11" spans="1:2" ht="28.5" x14ac:dyDescent="0.2">
      <c r="A11" s="79" t="s">
        <v>13</v>
      </c>
      <c r="B11" s="80" t="s">
        <v>22</v>
      </c>
    </row>
    <row r="12" spans="1:2" ht="14.25" x14ac:dyDescent="0.2">
      <c r="A12" s="79" t="s">
        <v>13</v>
      </c>
      <c r="B12" s="80" t="s">
        <v>23</v>
      </c>
    </row>
    <row r="13" spans="1:2" ht="42.75" x14ac:dyDescent="0.2">
      <c r="A13" s="79" t="s">
        <v>13</v>
      </c>
      <c r="B13" s="80" t="s">
        <v>24</v>
      </c>
    </row>
    <row r="14" spans="1:2" ht="42.75" x14ac:dyDescent="0.2">
      <c r="A14" s="81" t="s">
        <v>13</v>
      </c>
      <c r="B14" s="80" t="s">
        <v>25</v>
      </c>
    </row>
    <row r="15" spans="1:2" ht="42.75" x14ac:dyDescent="0.2">
      <c r="A15" s="82" t="s">
        <v>13</v>
      </c>
      <c r="B15" s="83" t="s">
        <v>25</v>
      </c>
    </row>
    <row r="16" spans="1:2" ht="42.75" x14ac:dyDescent="0.2">
      <c r="A16" s="82" t="s">
        <v>13</v>
      </c>
      <c r="B16" s="83" t="s">
        <v>26</v>
      </c>
    </row>
    <row r="17" spans="1:2" ht="28.5" x14ac:dyDescent="0.2">
      <c r="A17" s="82" t="s">
        <v>13</v>
      </c>
      <c r="B17" s="83" t="s">
        <v>27</v>
      </c>
    </row>
    <row r="18" spans="1:2" ht="15" x14ac:dyDescent="0.2">
      <c r="A18" s="82" t="s">
        <v>13</v>
      </c>
      <c r="B18" s="83" t="s">
        <v>28</v>
      </c>
    </row>
    <row r="19" spans="1:2" ht="299.25" x14ac:dyDescent="0.2">
      <c r="A19" s="82" t="s">
        <v>13</v>
      </c>
      <c r="B19" s="83" t="s">
        <v>29</v>
      </c>
    </row>
    <row r="20" spans="1:2" ht="71.25" x14ac:dyDescent="0.2">
      <c r="A20" s="82"/>
      <c r="B20" s="83" t="s">
        <v>30</v>
      </c>
    </row>
    <row r="21" spans="1:2" ht="100.5" x14ac:dyDescent="0.2">
      <c r="A21" s="82"/>
      <c r="B21" s="84" t="s">
        <v>31</v>
      </c>
    </row>
    <row r="22" spans="1:2" ht="57" x14ac:dyDescent="0.2">
      <c r="A22" s="82"/>
      <c r="B22" s="84" t="s">
        <v>32</v>
      </c>
    </row>
    <row r="23" spans="1:2" ht="129.75" x14ac:dyDescent="0.2">
      <c r="A23" s="85"/>
      <c r="B23" s="86" t="s">
        <v>33</v>
      </c>
    </row>
    <row r="24" spans="1:2" ht="29.25" x14ac:dyDescent="0.2">
      <c r="A24" s="82" t="s">
        <v>34</v>
      </c>
      <c r="B24" s="87" t="s">
        <v>35</v>
      </c>
    </row>
    <row r="25" spans="1:2" ht="114.75" x14ac:dyDescent="0.2">
      <c r="A25" s="82" t="s">
        <v>36</v>
      </c>
      <c r="B25" s="87" t="s">
        <v>37</v>
      </c>
    </row>
    <row r="26" spans="1:2" ht="72" x14ac:dyDescent="0.2">
      <c r="A26" s="82" t="s">
        <v>38</v>
      </c>
      <c r="B26" s="87" t="s">
        <v>39</v>
      </c>
    </row>
    <row r="27" spans="1:2" ht="43.5" x14ac:dyDescent="0.2">
      <c r="A27" s="82" t="s">
        <v>40</v>
      </c>
      <c r="B27" s="88" t="s">
        <v>41</v>
      </c>
    </row>
    <row r="28" spans="1:2" ht="44.25" x14ac:dyDescent="0.2">
      <c r="A28" s="82" t="s">
        <v>42</v>
      </c>
      <c r="B28" s="88" t="s">
        <v>43</v>
      </c>
    </row>
    <row r="29" spans="1:2" ht="72" x14ac:dyDescent="0.2">
      <c r="A29" s="82" t="s">
        <v>44</v>
      </c>
      <c r="B29" s="88" t="s">
        <v>45</v>
      </c>
    </row>
    <row r="30" spans="1:2" ht="57.75" x14ac:dyDescent="0.2">
      <c r="A30" s="82" t="s">
        <v>46</v>
      </c>
      <c r="B30" s="88" t="s">
        <v>47</v>
      </c>
    </row>
    <row r="31" spans="1:2" ht="57.75" x14ac:dyDescent="0.2">
      <c r="A31" s="82" t="s">
        <v>48</v>
      </c>
      <c r="B31" s="87" t="s">
        <v>49</v>
      </c>
    </row>
    <row r="32" spans="1:2" ht="72" x14ac:dyDescent="0.2">
      <c r="A32" s="82" t="s">
        <v>50</v>
      </c>
      <c r="B32" s="87" t="s">
        <v>51</v>
      </c>
    </row>
    <row r="33" spans="1:2" ht="57.75" x14ac:dyDescent="0.2">
      <c r="A33" s="82" t="s">
        <v>52</v>
      </c>
      <c r="B33" s="87" t="s">
        <v>53</v>
      </c>
    </row>
    <row r="34" spans="1:2" ht="57.75" x14ac:dyDescent="0.2">
      <c r="A34" s="82" t="s">
        <v>54</v>
      </c>
      <c r="B34" s="87" t="s">
        <v>55</v>
      </c>
    </row>
    <row r="35" spans="1:2" ht="88.5" x14ac:dyDescent="0.2">
      <c r="A35" s="82" t="s">
        <v>56</v>
      </c>
      <c r="B35" s="89" t="s">
        <v>57</v>
      </c>
    </row>
    <row r="36" spans="1:2" ht="15" x14ac:dyDescent="0.2">
      <c r="A36" s="82" t="s">
        <v>58</v>
      </c>
      <c r="B36" s="90" t="s">
        <v>59</v>
      </c>
    </row>
    <row r="37" spans="1:2" ht="15" x14ac:dyDescent="0.2">
      <c r="A37" s="82" t="s">
        <v>60</v>
      </c>
      <c r="B37" s="87" t="s">
        <v>61</v>
      </c>
    </row>
    <row r="38" spans="1:2" ht="42.75" x14ac:dyDescent="0.2">
      <c r="A38" s="91" t="s">
        <v>62</v>
      </c>
      <c r="B38" s="88" t="s">
        <v>63</v>
      </c>
    </row>
    <row r="39" spans="1:2" ht="42.75" x14ac:dyDescent="0.2">
      <c r="A39" s="91" t="s">
        <v>64</v>
      </c>
      <c r="B39" s="88" t="s">
        <v>65</v>
      </c>
    </row>
    <row r="40" spans="1:2" ht="15" x14ac:dyDescent="0.2">
      <c r="A40" s="91" t="s">
        <v>66</v>
      </c>
      <c r="B40" s="88" t="s">
        <v>67</v>
      </c>
    </row>
    <row r="41" spans="1:2" ht="28.5" x14ac:dyDescent="0.2">
      <c r="A41" s="91" t="s">
        <v>68</v>
      </c>
      <c r="B41" s="88" t="s">
        <v>69</v>
      </c>
    </row>
    <row r="42" spans="1:2" ht="28.5" x14ac:dyDescent="0.2">
      <c r="A42" s="91" t="s">
        <v>70</v>
      </c>
      <c r="B42" s="88" t="s">
        <v>71</v>
      </c>
    </row>
    <row r="43" spans="1:2" ht="28.5" x14ac:dyDescent="0.2">
      <c r="A43" s="82" t="s">
        <v>72</v>
      </c>
      <c r="B43" s="87" t="s">
        <v>73</v>
      </c>
    </row>
    <row r="44" spans="1:2" ht="15" x14ac:dyDescent="0.2">
      <c r="A44" s="82" t="s">
        <v>74</v>
      </c>
      <c r="B44" s="89" t="s">
        <v>75</v>
      </c>
    </row>
    <row r="45" spans="1:2" ht="42.75" x14ac:dyDescent="0.2">
      <c r="A45" s="82" t="s">
        <v>76</v>
      </c>
      <c r="B45" s="87" t="s">
        <v>77</v>
      </c>
    </row>
    <row r="46" spans="1:2" ht="28.5" x14ac:dyDescent="0.2">
      <c r="A46" s="82" t="s">
        <v>78</v>
      </c>
      <c r="B46" s="87" t="s">
        <v>79</v>
      </c>
    </row>
    <row r="47" spans="1:2" ht="43.5" x14ac:dyDescent="0.2">
      <c r="A47" s="82" t="s">
        <v>80</v>
      </c>
      <c r="B47" s="87" t="s">
        <v>81</v>
      </c>
    </row>
    <row r="48" spans="1:2" ht="15" x14ac:dyDescent="0.2">
      <c r="A48" s="92" t="s">
        <v>82</v>
      </c>
      <c r="B48" s="87" t="s">
        <v>83</v>
      </c>
    </row>
    <row r="49" spans="1:2" ht="15" x14ac:dyDescent="0.2">
      <c r="A49" s="92" t="s">
        <v>84</v>
      </c>
      <c r="B49" s="87" t="s">
        <v>85</v>
      </c>
    </row>
    <row r="50" spans="1:2" ht="42.75" x14ac:dyDescent="0.2">
      <c r="A50" s="92" t="s">
        <v>86</v>
      </c>
      <c r="B50" s="87" t="s">
        <v>87</v>
      </c>
    </row>
    <row r="51" spans="1:2" ht="15" x14ac:dyDescent="0.2">
      <c r="A51" s="92" t="s">
        <v>88</v>
      </c>
      <c r="B51" s="87" t="s">
        <v>89</v>
      </c>
    </row>
    <row r="52" spans="1:2" ht="15" x14ac:dyDescent="0.2">
      <c r="A52" s="92" t="s">
        <v>90</v>
      </c>
      <c r="B52" s="87" t="s">
        <v>91</v>
      </c>
    </row>
    <row r="53" spans="1:2" ht="15" x14ac:dyDescent="0.2">
      <c r="A53" s="92" t="s">
        <v>92</v>
      </c>
      <c r="B53" s="87" t="s">
        <v>93</v>
      </c>
    </row>
    <row r="54" spans="1:2" ht="15" x14ac:dyDescent="0.2">
      <c r="A54" s="92" t="s">
        <v>94</v>
      </c>
      <c r="B54" s="87" t="s">
        <v>95</v>
      </c>
    </row>
    <row r="55" spans="1:2" ht="15" x14ac:dyDescent="0.2">
      <c r="A55" s="82" t="s">
        <v>96</v>
      </c>
      <c r="B55" s="87" t="s">
        <v>97</v>
      </c>
    </row>
    <row r="56" spans="1:2" ht="28.5" x14ac:dyDescent="0.2">
      <c r="A56" s="92" t="s">
        <v>98</v>
      </c>
      <c r="B56" s="87" t="s">
        <v>99</v>
      </c>
    </row>
    <row r="57" spans="1:2" ht="15" x14ac:dyDescent="0.2">
      <c r="A57" s="92" t="s">
        <v>100</v>
      </c>
      <c r="B57" s="87" t="s">
        <v>101</v>
      </c>
    </row>
    <row r="58" spans="1:2" ht="15" x14ac:dyDescent="0.2">
      <c r="A58" s="92" t="s">
        <v>102</v>
      </c>
      <c r="B58" s="87" t="s">
        <v>103</v>
      </c>
    </row>
    <row r="59" spans="1:2" ht="28.5" x14ac:dyDescent="0.2">
      <c r="A59" s="92" t="s">
        <v>104</v>
      </c>
      <c r="B59" s="87" t="s">
        <v>105</v>
      </c>
    </row>
    <row r="60" spans="1:2" ht="15" x14ac:dyDescent="0.2">
      <c r="A60" s="92" t="s">
        <v>106</v>
      </c>
      <c r="B60" s="87" t="s">
        <v>107</v>
      </c>
    </row>
    <row r="61" spans="1:2" ht="42.75" x14ac:dyDescent="0.2">
      <c r="A61" s="92" t="s">
        <v>108</v>
      </c>
      <c r="B61" s="87" t="s">
        <v>109</v>
      </c>
    </row>
    <row r="62" spans="1:2" ht="15" x14ac:dyDescent="0.2">
      <c r="A62" s="92" t="s">
        <v>110</v>
      </c>
      <c r="B62" s="87" t="s">
        <v>111</v>
      </c>
    </row>
    <row r="63" spans="1:2" ht="28.5" x14ac:dyDescent="0.2">
      <c r="A63" s="92" t="s">
        <v>112</v>
      </c>
      <c r="B63" s="87" t="s">
        <v>113</v>
      </c>
    </row>
    <row r="64" spans="1:2" ht="28.5" x14ac:dyDescent="0.2">
      <c r="A64" s="92" t="s">
        <v>114</v>
      </c>
      <c r="B64" s="87" t="s">
        <v>115</v>
      </c>
    </row>
    <row r="65" spans="1:2" ht="28.5" x14ac:dyDescent="0.2">
      <c r="A65" s="92" t="s">
        <v>116</v>
      </c>
      <c r="B65" s="87" t="s">
        <v>117</v>
      </c>
    </row>
    <row r="66" spans="1:2" ht="28.5" x14ac:dyDescent="0.2">
      <c r="A66" s="92" t="s">
        <v>118</v>
      </c>
      <c r="B66" s="87" t="s">
        <v>119</v>
      </c>
    </row>
    <row r="67" spans="1:2" ht="15" x14ac:dyDescent="0.2">
      <c r="A67" s="92" t="s">
        <v>120</v>
      </c>
      <c r="B67" s="89" t="s">
        <v>121</v>
      </c>
    </row>
    <row r="68" spans="1:2" ht="28.5" x14ac:dyDescent="0.2">
      <c r="A68" s="92" t="s">
        <v>122</v>
      </c>
      <c r="B68" s="87" t="s">
        <v>123</v>
      </c>
    </row>
    <row r="69" spans="1:2" ht="42.75" x14ac:dyDescent="0.2">
      <c r="A69" s="92" t="s">
        <v>124</v>
      </c>
      <c r="B69" s="87" t="s">
        <v>125</v>
      </c>
    </row>
    <row r="70" spans="1:2" ht="28.5" x14ac:dyDescent="0.2">
      <c r="A70" s="92" t="s">
        <v>126</v>
      </c>
      <c r="B70" s="87" t="s">
        <v>127</v>
      </c>
    </row>
    <row r="71" spans="1:2" ht="28.5" x14ac:dyDescent="0.2">
      <c r="A71" s="92" t="s">
        <v>128</v>
      </c>
      <c r="B71" s="87" t="s">
        <v>129</v>
      </c>
    </row>
    <row r="72" spans="1:2" ht="28.5" x14ac:dyDescent="0.2">
      <c r="A72" s="92" t="s">
        <v>130</v>
      </c>
      <c r="B72" s="87" t="s">
        <v>131</v>
      </c>
    </row>
    <row r="73" spans="1:2" ht="15" x14ac:dyDescent="0.2">
      <c r="A73" s="92" t="s">
        <v>132</v>
      </c>
      <c r="B73" s="89" t="s">
        <v>133</v>
      </c>
    </row>
    <row r="74" spans="1:2" ht="42.75" x14ac:dyDescent="0.2">
      <c r="A74" s="92" t="s">
        <v>134</v>
      </c>
      <c r="B74" s="87" t="s">
        <v>135</v>
      </c>
    </row>
    <row r="75" spans="1:2" ht="57" x14ac:dyDescent="0.2">
      <c r="A75" s="92" t="s">
        <v>136</v>
      </c>
      <c r="B75" s="87" t="s">
        <v>137</v>
      </c>
    </row>
    <row r="76" spans="1:2" ht="15" x14ac:dyDescent="0.2">
      <c r="A76" s="92" t="s">
        <v>138</v>
      </c>
      <c r="B76" s="87" t="s">
        <v>139</v>
      </c>
    </row>
    <row r="77" spans="1:2" ht="42.75" x14ac:dyDescent="0.2">
      <c r="A77" s="92" t="s">
        <v>140</v>
      </c>
      <c r="B77" s="87" t="s">
        <v>141</v>
      </c>
    </row>
    <row r="78" spans="1:2" ht="28.5" x14ac:dyDescent="0.2">
      <c r="A78" s="92" t="s">
        <v>142</v>
      </c>
      <c r="B78" s="87" t="s">
        <v>143</v>
      </c>
    </row>
    <row r="79" spans="1:2" ht="15" x14ac:dyDescent="0.2">
      <c r="A79" s="92" t="s">
        <v>144</v>
      </c>
      <c r="B79" s="89" t="s">
        <v>145</v>
      </c>
    </row>
    <row r="80" spans="1:2" ht="28.5" x14ac:dyDescent="0.2">
      <c r="A80" s="92" t="s">
        <v>146</v>
      </c>
      <c r="B80" s="87" t="s">
        <v>147</v>
      </c>
    </row>
    <row r="81" spans="1:2" ht="15" x14ac:dyDescent="0.2">
      <c r="A81" s="92" t="s">
        <v>148</v>
      </c>
      <c r="B81" s="87" t="s">
        <v>149</v>
      </c>
    </row>
    <row r="82" spans="1:2" ht="15" x14ac:dyDescent="0.2">
      <c r="A82" s="92" t="s">
        <v>150</v>
      </c>
      <c r="B82" s="87" t="s">
        <v>151</v>
      </c>
    </row>
    <row r="83" spans="1:2" ht="57" x14ac:dyDescent="0.2">
      <c r="A83" s="92" t="s">
        <v>152</v>
      </c>
      <c r="B83" s="87" t="s">
        <v>153</v>
      </c>
    </row>
    <row r="84" spans="1:2" ht="15" x14ac:dyDescent="0.2">
      <c r="A84" s="92" t="s">
        <v>154</v>
      </c>
      <c r="B84" s="87" t="s">
        <v>155</v>
      </c>
    </row>
    <row r="85" spans="1:2" ht="15" x14ac:dyDescent="0.2">
      <c r="A85" s="92"/>
      <c r="B85" s="87" t="s">
        <v>156</v>
      </c>
    </row>
    <row r="86" spans="1:2" ht="15" x14ac:dyDescent="0.2">
      <c r="A86" s="92"/>
      <c r="B86" s="87" t="s">
        <v>157</v>
      </c>
    </row>
    <row r="87" spans="1:2" ht="15" x14ac:dyDescent="0.2">
      <c r="A87" s="92"/>
      <c r="B87" s="87" t="s">
        <v>158</v>
      </c>
    </row>
    <row r="88" spans="1:2" ht="15" x14ac:dyDescent="0.2">
      <c r="A88" s="92" t="s">
        <v>159</v>
      </c>
      <c r="B88" s="87" t="s">
        <v>160</v>
      </c>
    </row>
    <row r="89" spans="1:2" ht="28.5" x14ac:dyDescent="0.2">
      <c r="A89" s="92" t="s">
        <v>161</v>
      </c>
      <c r="B89" s="87" t="s">
        <v>162</v>
      </c>
    </row>
    <row r="90" spans="1:2" ht="15" x14ac:dyDescent="0.2">
      <c r="A90" s="92" t="s">
        <v>163</v>
      </c>
      <c r="B90" s="93" t="s">
        <v>164</v>
      </c>
    </row>
    <row r="91" spans="1:2" ht="15" x14ac:dyDescent="0.2">
      <c r="A91" s="92" t="s">
        <v>165</v>
      </c>
      <c r="B91" s="93" t="s">
        <v>166</v>
      </c>
    </row>
    <row r="92" spans="1:2" ht="28.5" x14ac:dyDescent="0.2">
      <c r="A92" s="92"/>
      <c r="B92" s="87" t="s">
        <v>167</v>
      </c>
    </row>
    <row r="93" spans="1:2" ht="28.5" x14ac:dyDescent="0.2">
      <c r="A93" s="82" t="s">
        <v>168</v>
      </c>
      <c r="B93" s="87" t="s">
        <v>169</v>
      </c>
    </row>
    <row r="94" spans="1:2" ht="28.5" x14ac:dyDescent="0.2">
      <c r="A94" s="82" t="s">
        <v>170</v>
      </c>
      <c r="B94" s="87" t="s">
        <v>171</v>
      </c>
    </row>
    <row r="95" spans="1:2" ht="15" x14ac:dyDescent="0.2">
      <c r="A95" s="82" t="s">
        <v>172</v>
      </c>
      <c r="B95" s="87" t="s">
        <v>173</v>
      </c>
    </row>
    <row r="96" spans="1:2" ht="15" x14ac:dyDescent="0.2">
      <c r="A96" s="82" t="s">
        <v>174</v>
      </c>
      <c r="B96" s="87" t="s">
        <v>175</v>
      </c>
    </row>
    <row r="97" spans="1:2" ht="57.75" x14ac:dyDescent="0.2">
      <c r="A97" s="82" t="s">
        <v>176</v>
      </c>
      <c r="B97" s="87" t="s">
        <v>177</v>
      </c>
    </row>
    <row r="98" spans="1:2" ht="257.25" x14ac:dyDescent="0.2">
      <c r="A98" s="82" t="s">
        <v>178</v>
      </c>
      <c r="B98" s="87" t="s">
        <v>179</v>
      </c>
    </row>
    <row r="99" spans="1:2" ht="86.25" x14ac:dyDescent="0.2">
      <c r="A99" s="82" t="s">
        <v>180</v>
      </c>
      <c r="B99" s="94" t="s">
        <v>181</v>
      </c>
    </row>
    <row r="100" spans="1:2" ht="57" x14ac:dyDescent="0.2">
      <c r="A100" s="82" t="s">
        <v>182</v>
      </c>
      <c r="B100" s="94" t="s">
        <v>183</v>
      </c>
    </row>
    <row r="101" spans="1:2" ht="28.5" x14ac:dyDescent="0.2">
      <c r="A101" s="82" t="s">
        <v>184</v>
      </c>
      <c r="B101" s="94" t="s">
        <v>185</v>
      </c>
    </row>
    <row r="102" spans="1:2" x14ac:dyDescent="0.2">
      <c r="A102" s="95"/>
      <c r="B102" s="96"/>
    </row>
    <row r="103" spans="1:2" ht="15" x14ac:dyDescent="0.2">
      <c r="A103" s="97" t="s">
        <v>186</v>
      </c>
      <c r="B103" s="98" t="s">
        <v>187</v>
      </c>
    </row>
    <row r="104" spans="1:2" ht="15" x14ac:dyDescent="0.2">
      <c r="A104" s="85"/>
      <c r="B104" s="87"/>
    </row>
    <row r="105" spans="1:2" ht="15" x14ac:dyDescent="0.25">
      <c r="A105" s="99" t="s">
        <v>188</v>
      </c>
      <c r="B105" s="100" t="s">
        <v>189</v>
      </c>
    </row>
    <row r="106" spans="1:2" ht="15" x14ac:dyDescent="0.25">
      <c r="A106" s="101"/>
      <c r="B106" s="102"/>
    </row>
    <row r="107" spans="1:2" ht="72" x14ac:dyDescent="0.2">
      <c r="A107" s="82" t="s">
        <v>13</v>
      </c>
      <c r="B107" s="103" t="s">
        <v>190</v>
      </c>
    </row>
    <row r="108" spans="1:2" ht="15" x14ac:dyDescent="0.2">
      <c r="A108" s="82" t="s">
        <v>13</v>
      </c>
      <c r="B108" s="104" t="s">
        <v>191</v>
      </c>
    </row>
    <row r="109" spans="1:2" ht="28.5" x14ac:dyDescent="0.2">
      <c r="A109" s="105" t="s">
        <v>192</v>
      </c>
      <c r="B109" s="104" t="s">
        <v>193</v>
      </c>
    </row>
    <row r="110" spans="1:2" ht="28.5" x14ac:dyDescent="0.2">
      <c r="A110" s="105" t="s">
        <v>194</v>
      </c>
      <c r="B110" s="104" t="s">
        <v>195</v>
      </c>
    </row>
    <row r="111" spans="1:2" ht="42.75" x14ac:dyDescent="0.2">
      <c r="A111" s="105" t="s">
        <v>196</v>
      </c>
      <c r="B111" s="104" t="s">
        <v>197</v>
      </c>
    </row>
    <row r="112" spans="1:2" ht="28.5" x14ac:dyDescent="0.2">
      <c r="A112" s="105" t="s">
        <v>198</v>
      </c>
      <c r="B112" s="104" t="s">
        <v>199</v>
      </c>
    </row>
    <row r="113" spans="1:2" ht="42.75" x14ac:dyDescent="0.2">
      <c r="A113" s="105" t="s">
        <v>200</v>
      </c>
      <c r="B113" s="104" t="s">
        <v>201</v>
      </c>
    </row>
    <row r="114" spans="1:2" ht="42.75" x14ac:dyDescent="0.2">
      <c r="A114" s="105" t="s">
        <v>202</v>
      </c>
      <c r="B114" s="104" t="s">
        <v>203</v>
      </c>
    </row>
    <row r="115" spans="1:2" ht="42.75" x14ac:dyDescent="0.2">
      <c r="A115" s="105" t="s">
        <v>204</v>
      </c>
      <c r="B115" s="104" t="s">
        <v>205</v>
      </c>
    </row>
    <row r="116" spans="1:2" ht="15" x14ac:dyDescent="0.25">
      <c r="A116" s="106"/>
      <c r="B116" s="107"/>
    </row>
    <row r="117" spans="1:2" ht="15" x14ac:dyDescent="0.2">
      <c r="A117" s="108" t="s">
        <v>206</v>
      </c>
      <c r="B117" s="100" t="s">
        <v>207</v>
      </c>
    </row>
    <row r="118" spans="1:2" ht="15" x14ac:dyDescent="0.25">
      <c r="A118" s="106"/>
      <c r="B118" s="107"/>
    </row>
    <row r="119" spans="1:2" ht="15" x14ac:dyDescent="0.2">
      <c r="A119" s="108" t="s">
        <v>208</v>
      </c>
      <c r="B119" s="100" t="s">
        <v>209</v>
      </c>
    </row>
    <row r="120" spans="1:2" ht="15" x14ac:dyDescent="0.25">
      <c r="A120" s="106"/>
      <c r="B120" s="107"/>
    </row>
    <row r="121" spans="1:2" ht="101.25" x14ac:dyDescent="0.2">
      <c r="A121" s="82" t="s">
        <v>13</v>
      </c>
      <c r="B121" s="103" t="s">
        <v>210</v>
      </c>
    </row>
    <row r="122" spans="1:2" ht="28.5" x14ac:dyDescent="0.2">
      <c r="A122" s="109"/>
      <c r="B122" s="104" t="s">
        <v>211</v>
      </c>
    </row>
    <row r="123" spans="1:2" ht="57" x14ac:dyDescent="0.2">
      <c r="A123" s="109" t="s">
        <v>212</v>
      </c>
      <c r="B123" s="104" t="s">
        <v>213</v>
      </c>
    </row>
    <row r="124" spans="1:2" ht="57" x14ac:dyDescent="0.2">
      <c r="A124" s="109" t="s">
        <v>214</v>
      </c>
      <c r="B124" s="104" t="s">
        <v>215</v>
      </c>
    </row>
    <row r="125" spans="1:2" ht="42.75" x14ac:dyDescent="0.2">
      <c r="A125" s="109" t="s">
        <v>216</v>
      </c>
      <c r="B125" s="104" t="s">
        <v>217</v>
      </c>
    </row>
    <row r="126" spans="1:2" ht="28.5" x14ac:dyDescent="0.2">
      <c r="A126" s="109" t="s">
        <v>218</v>
      </c>
      <c r="B126" s="104" t="s">
        <v>219</v>
      </c>
    </row>
    <row r="127" spans="1:2" ht="42.75" x14ac:dyDescent="0.2">
      <c r="A127" s="109" t="s">
        <v>220</v>
      </c>
      <c r="B127" s="104" t="s">
        <v>221</v>
      </c>
    </row>
    <row r="128" spans="1:2" ht="28.5" x14ac:dyDescent="0.2">
      <c r="A128" s="109" t="s">
        <v>222</v>
      </c>
      <c r="B128" s="104" t="s">
        <v>223</v>
      </c>
    </row>
    <row r="129" spans="1:2" ht="57" x14ac:dyDescent="0.2">
      <c r="A129" s="109" t="s">
        <v>224</v>
      </c>
      <c r="B129" s="94" t="s">
        <v>225</v>
      </c>
    </row>
    <row r="130" spans="1:2" ht="15" x14ac:dyDescent="0.25">
      <c r="A130" s="106"/>
      <c r="B130" s="107"/>
    </row>
    <row r="131" spans="1:2" ht="15" x14ac:dyDescent="0.2">
      <c r="A131" s="110" t="s">
        <v>226</v>
      </c>
      <c r="B131" s="111" t="s">
        <v>227</v>
      </c>
    </row>
    <row r="132" spans="1:2" ht="15" x14ac:dyDescent="0.25">
      <c r="A132" s="106" t="s">
        <v>228</v>
      </c>
      <c r="B132" s="112" t="s">
        <v>229</v>
      </c>
    </row>
    <row r="133" spans="1:2" ht="15" x14ac:dyDescent="0.25">
      <c r="A133" s="106"/>
      <c r="B133" s="112" t="s">
        <v>230</v>
      </c>
    </row>
    <row r="134" spans="1:2" ht="15" x14ac:dyDescent="0.25">
      <c r="A134" s="106"/>
      <c r="B134" s="112" t="s">
        <v>231</v>
      </c>
    </row>
    <row r="135" spans="1:2" ht="15" x14ac:dyDescent="0.25">
      <c r="A135" s="106" t="s">
        <v>232</v>
      </c>
      <c r="B135" s="112" t="s">
        <v>233</v>
      </c>
    </row>
    <row r="136" spans="1:2" ht="15" x14ac:dyDescent="0.25">
      <c r="A136" s="106"/>
      <c r="B136" s="112" t="s">
        <v>234</v>
      </c>
    </row>
    <row r="137" spans="1:2" ht="15" x14ac:dyDescent="0.25">
      <c r="A137" s="106"/>
      <c r="B137" s="112" t="s">
        <v>235</v>
      </c>
    </row>
    <row r="138" spans="1:2" ht="15" x14ac:dyDescent="0.25">
      <c r="A138" s="106" t="s">
        <v>236</v>
      </c>
      <c r="B138" s="113" t="s">
        <v>237</v>
      </c>
    </row>
    <row r="139" spans="1:2" ht="15" x14ac:dyDescent="0.25">
      <c r="A139" s="106"/>
      <c r="B139" s="113" t="s">
        <v>238</v>
      </c>
    </row>
    <row r="140" spans="1:2" ht="15" x14ac:dyDescent="0.25">
      <c r="A140" s="106"/>
      <c r="B140" s="113" t="s">
        <v>239</v>
      </c>
    </row>
    <row r="141" spans="1:2" ht="15" x14ac:dyDescent="0.25">
      <c r="A141" s="106"/>
      <c r="B141" s="107"/>
    </row>
    <row r="142" spans="1:2" ht="15" x14ac:dyDescent="0.25">
      <c r="A142" s="114"/>
      <c r="B142" s="115" t="s">
        <v>240</v>
      </c>
    </row>
    <row r="143" spans="1:2" ht="28.5" x14ac:dyDescent="0.2">
      <c r="A143" s="82" t="s">
        <v>13</v>
      </c>
      <c r="B143" s="116" t="s">
        <v>241</v>
      </c>
    </row>
    <row r="144" spans="1:2" ht="15" x14ac:dyDescent="0.2">
      <c r="A144" s="117" t="s">
        <v>242</v>
      </c>
      <c r="B144" s="116" t="s">
        <v>243</v>
      </c>
    </row>
    <row r="145" spans="1:2" ht="15" x14ac:dyDescent="0.2">
      <c r="A145" s="117" t="s">
        <v>242</v>
      </c>
      <c r="B145" s="116" t="s">
        <v>244</v>
      </c>
    </row>
    <row r="146" spans="1:2" ht="15" x14ac:dyDescent="0.2">
      <c r="A146" s="117" t="s">
        <v>242</v>
      </c>
      <c r="B146" s="116" t="s">
        <v>245</v>
      </c>
    </row>
    <row r="147" spans="1:2" ht="15" x14ac:dyDescent="0.2">
      <c r="A147" s="117" t="s">
        <v>242</v>
      </c>
      <c r="B147" s="116" t="s">
        <v>246</v>
      </c>
    </row>
    <row r="148" spans="1:2" ht="15" x14ac:dyDescent="0.2">
      <c r="A148" s="82" t="s">
        <v>13</v>
      </c>
      <c r="B148" s="116" t="s">
        <v>247</v>
      </c>
    </row>
    <row r="149" spans="1:2" ht="15" x14ac:dyDescent="0.2">
      <c r="A149" s="82" t="s">
        <v>13</v>
      </c>
      <c r="B149" s="116" t="s">
        <v>248</v>
      </c>
    </row>
    <row r="150" spans="1:2" ht="28.5" x14ac:dyDescent="0.2">
      <c r="A150" s="82" t="s">
        <v>13</v>
      </c>
      <c r="B150" s="116" t="s">
        <v>249</v>
      </c>
    </row>
    <row r="151" spans="1:2" ht="28.5" x14ac:dyDescent="0.2">
      <c r="A151" s="82" t="s">
        <v>13</v>
      </c>
      <c r="B151" s="116" t="s">
        <v>250</v>
      </c>
    </row>
    <row r="152" spans="1:2" ht="15" x14ac:dyDescent="0.2">
      <c r="A152" s="117" t="s">
        <v>242</v>
      </c>
      <c r="B152" s="116" t="s">
        <v>251</v>
      </c>
    </row>
    <row r="153" spans="1:2" ht="15" x14ac:dyDescent="0.2">
      <c r="A153" s="117" t="s">
        <v>242</v>
      </c>
      <c r="B153" s="116" t="s">
        <v>252</v>
      </c>
    </row>
    <row r="154" spans="1:2" ht="15" x14ac:dyDescent="0.2">
      <c r="A154" s="117" t="s">
        <v>242</v>
      </c>
      <c r="B154" s="116" t="s">
        <v>253</v>
      </c>
    </row>
    <row r="155" spans="1:2" ht="15" x14ac:dyDescent="0.2">
      <c r="A155" s="117" t="s">
        <v>242</v>
      </c>
      <c r="B155" s="116" t="s">
        <v>254</v>
      </c>
    </row>
    <row r="156" spans="1:2" ht="15" x14ac:dyDescent="0.2">
      <c r="A156" s="82" t="s">
        <v>13</v>
      </c>
      <c r="B156" s="116" t="s">
        <v>255</v>
      </c>
    </row>
    <row r="157" spans="1:2" ht="15" x14ac:dyDescent="0.2">
      <c r="A157" s="117"/>
      <c r="B157" s="116" t="s">
        <v>256</v>
      </c>
    </row>
    <row r="158" spans="1:2" ht="15" x14ac:dyDescent="0.2">
      <c r="A158" s="117" t="s">
        <v>242</v>
      </c>
      <c r="B158" s="116" t="s">
        <v>257</v>
      </c>
    </row>
    <row r="159" spans="1:2" ht="15" x14ac:dyDescent="0.2">
      <c r="A159" s="117" t="s">
        <v>242</v>
      </c>
      <c r="B159" s="116" t="s">
        <v>258</v>
      </c>
    </row>
    <row r="160" spans="1:2" ht="15" x14ac:dyDescent="0.2">
      <c r="A160" s="117" t="s">
        <v>242</v>
      </c>
      <c r="B160" s="116" t="s">
        <v>259</v>
      </c>
    </row>
    <row r="161" spans="1:2" ht="15" x14ac:dyDescent="0.2">
      <c r="A161" s="117" t="s">
        <v>242</v>
      </c>
      <c r="B161" s="116" t="s">
        <v>260</v>
      </c>
    </row>
    <row r="162" spans="1:2" ht="15" x14ac:dyDescent="0.2">
      <c r="A162" s="117" t="s">
        <v>242</v>
      </c>
      <c r="B162" s="116" t="s">
        <v>261</v>
      </c>
    </row>
    <row r="163" spans="1:2" ht="15" x14ac:dyDescent="0.25">
      <c r="A163" s="106"/>
      <c r="B163" s="107"/>
    </row>
    <row r="164" spans="1:2" ht="15" x14ac:dyDescent="0.2">
      <c r="A164" s="118" t="s">
        <v>262</v>
      </c>
      <c r="B164" s="119" t="s">
        <v>263</v>
      </c>
    </row>
    <row r="165" spans="1:2" ht="15" x14ac:dyDescent="0.2">
      <c r="A165" s="85"/>
      <c r="B165" s="102"/>
    </row>
    <row r="166" spans="1:2" ht="72" x14ac:dyDescent="0.2">
      <c r="A166" s="82" t="s">
        <v>13</v>
      </c>
      <c r="B166" s="120" t="s">
        <v>264</v>
      </c>
    </row>
    <row r="167" spans="1:2" ht="42.75" x14ac:dyDescent="0.2">
      <c r="A167" s="82" t="s">
        <v>265</v>
      </c>
      <c r="B167" s="87" t="s">
        <v>266</v>
      </c>
    </row>
    <row r="168" spans="1:2" ht="28.5" x14ac:dyDescent="0.2">
      <c r="A168" s="82" t="s">
        <v>267</v>
      </c>
      <c r="B168" s="87" t="s">
        <v>268</v>
      </c>
    </row>
    <row r="169" spans="1:2" ht="28.5" x14ac:dyDescent="0.2">
      <c r="A169" s="82" t="s">
        <v>269</v>
      </c>
      <c r="B169" s="87" t="s">
        <v>270</v>
      </c>
    </row>
    <row r="170" spans="1:2" ht="28.5" x14ac:dyDescent="0.2">
      <c r="A170" s="82" t="s">
        <v>271</v>
      </c>
      <c r="B170" s="87" t="s">
        <v>272</v>
      </c>
    </row>
    <row r="171" spans="1:2" ht="28.5" x14ac:dyDescent="0.2">
      <c r="A171" s="82" t="s">
        <v>273</v>
      </c>
      <c r="B171" s="87" t="s">
        <v>274</v>
      </c>
    </row>
    <row r="172" spans="1:2" ht="28.5" x14ac:dyDescent="0.2">
      <c r="A172" s="82" t="s">
        <v>275</v>
      </c>
      <c r="B172" s="87" t="s">
        <v>276</v>
      </c>
    </row>
    <row r="173" spans="1:2" ht="28.5" x14ac:dyDescent="0.2">
      <c r="A173" s="82" t="s">
        <v>277</v>
      </c>
      <c r="B173" s="87" t="s">
        <v>278</v>
      </c>
    </row>
    <row r="174" spans="1:2" ht="28.5" x14ac:dyDescent="0.2">
      <c r="A174" s="82" t="s">
        <v>279</v>
      </c>
      <c r="B174" s="87" t="s">
        <v>280</v>
      </c>
    </row>
    <row r="175" spans="1:2" ht="28.5" x14ac:dyDescent="0.2">
      <c r="A175" s="82" t="s">
        <v>281</v>
      </c>
      <c r="B175" s="87" t="s">
        <v>282</v>
      </c>
    </row>
    <row r="176" spans="1:2" ht="15" x14ac:dyDescent="0.2">
      <c r="A176" s="82" t="s">
        <v>283</v>
      </c>
      <c r="B176" s="121" t="s">
        <v>284</v>
      </c>
    </row>
    <row r="177" spans="1:2" ht="15" x14ac:dyDescent="0.2">
      <c r="A177" s="82" t="s">
        <v>285</v>
      </c>
      <c r="B177" s="121" t="s">
        <v>286</v>
      </c>
    </row>
    <row r="178" spans="1:2" ht="15" x14ac:dyDescent="0.2">
      <c r="A178" s="82" t="s">
        <v>287</v>
      </c>
      <c r="B178" s="87" t="s">
        <v>288</v>
      </c>
    </row>
    <row r="179" spans="1:2" ht="15" x14ac:dyDescent="0.2">
      <c r="A179" s="82" t="s">
        <v>289</v>
      </c>
      <c r="B179" s="87" t="s">
        <v>290</v>
      </c>
    </row>
    <row r="180" spans="1:2" ht="42.75" x14ac:dyDescent="0.2">
      <c r="A180" s="82" t="s">
        <v>291</v>
      </c>
      <c r="B180" s="87" t="s">
        <v>292</v>
      </c>
    </row>
    <row r="181" spans="1:2" ht="42.75" x14ac:dyDescent="0.2">
      <c r="A181" s="82" t="s">
        <v>293</v>
      </c>
      <c r="B181" s="87" t="s">
        <v>294</v>
      </c>
    </row>
    <row r="182" spans="1:2" ht="15" x14ac:dyDescent="0.2">
      <c r="A182" s="82" t="s">
        <v>295</v>
      </c>
      <c r="B182" s="122" t="s">
        <v>296</v>
      </c>
    </row>
    <row r="183" spans="1:2" ht="28.5" x14ac:dyDescent="0.2">
      <c r="A183" s="82" t="s">
        <v>297</v>
      </c>
      <c r="B183" s="123" t="s">
        <v>298</v>
      </c>
    </row>
    <row r="184" spans="1:2" ht="28.5" x14ac:dyDescent="0.2">
      <c r="A184" s="82" t="s">
        <v>299</v>
      </c>
      <c r="B184" s="123" t="s">
        <v>300</v>
      </c>
    </row>
    <row r="185" spans="1:2" ht="15" x14ac:dyDescent="0.2">
      <c r="A185" s="82" t="s">
        <v>301</v>
      </c>
      <c r="B185" s="123" t="s">
        <v>302</v>
      </c>
    </row>
    <row r="186" spans="1:2" ht="15" x14ac:dyDescent="0.2">
      <c r="A186" s="82" t="s">
        <v>303</v>
      </c>
      <c r="B186" s="123" t="s">
        <v>304</v>
      </c>
    </row>
    <row r="187" spans="1:2" ht="15" x14ac:dyDescent="0.2">
      <c r="A187" s="82" t="s">
        <v>305</v>
      </c>
      <c r="B187" s="124" t="s">
        <v>306</v>
      </c>
    </row>
    <row r="188" spans="1:2" ht="42.75" x14ac:dyDescent="0.2">
      <c r="A188" s="82" t="s">
        <v>307</v>
      </c>
      <c r="B188" s="123" t="s">
        <v>308</v>
      </c>
    </row>
    <row r="189" spans="1:2" ht="15" x14ac:dyDescent="0.2">
      <c r="A189" s="82" t="s">
        <v>309</v>
      </c>
      <c r="B189" s="123" t="s">
        <v>310</v>
      </c>
    </row>
    <row r="190" spans="1:2" ht="15" x14ac:dyDescent="0.2">
      <c r="A190" s="82" t="s">
        <v>311</v>
      </c>
      <c r="B190" s="123" t="s">
        <v>312</v>
      </c>
    </row>
    <row r="191" spans="1:2" ht="15" x14ac:dyDescent="0.2">
      <c r="A191" s="85"/>
      <c r="B191" s="125"/>
    </row>
    <row r="192" spans="1:2" ht="15" x14ac:dyDescent="0.2">
      <c r="A192" s="126" t="s">
        <v>313</v>
      </c>
      <c r="B192" s="111" t="s">
        <v>314</v>
      </c>
    </row>
    <row r="193" spans="1:2" ht="15" x14ac:dyDescent="0.2">
      <c r="A193" s="85" t="s">
        <v>315</v>
      </c>
      <c r="B193" s="112" t="s">
        <v>316</v>
      </c>
    </row>
    <row r="194" spans="1:2" ht="15" x14ac:dyDescent="0.2">
      <c r="A194" s="85"/>
      <c r="B194" s="112" t="s">
        <v>317</v>
      </c>
    </row>
    <row r="195" spans="1:2" ht="15" x14ac:dyDescent="0.2">
      <c r="A195" s="85" t="s">
        <v>318</v>
      </c>
      <c r="B195" s="112" t="s">
        <v>319</v>
      </c>
    </row>
    <row r="196" spans="1:2" ht="15" x14ac:dyDescent="0.2">
      <c r="A196" s="85"/>
      <c r="B196" s="112" t="s">
        <v>320</v>
      </c>
    </row>
    <row r="197" spans="1:2" ht="15" x14ac:dyDescent="0.2">
      <c r="A197" s="85"/>
      <c r="B197" s="112" t="s">
        <v>321</v>
      </c>
    </row>
    <row r="198" spans="1:2" ht="15" x14ac:dyDescent="0.2">
      <c r="A198" s="85"/>
      <c r="B198" s="112" t="s">
        <v>322</v>
      </c>
    </row>
    <row r="199" spans="1:2" ht="15" x14ac:dyDescent="0.2">
      <c r="A199" s="85"/>
      <c r="B199" s="112" t="s">
        <v>323</v>
      </c>
    </row>
    <row r="200" spans="1:2" ht="15" x14ac:dyDescent="0.2">
      <c r="A200" s="85" t="s">
        <v>324</v>
      </c>
      <c r="B200" s="112" t="s">
        <v>325</v>
      </c>
    </row>
    <row r="201" spans="1:2" ht="15" x14ac:dyDescent="0.2">
      <c r="A201" s="85"/>
      <c r="B201" s="112" t="s">
        <v>326</v>
      </c>
    </row>
    <row r="202" spans="1:2" ht="15" x14ac:dyDescent="0.2">
      <c r="A202" s="85" t="s">
        <v>327</v>
      </c>
      <c r="B202" s="112" t="s">
        <v>328</v>
      </c>
    </row>
    <row r="203" spans="1:2" ht="15" x14ac:dyDescent="0.2">
      <c r="A203" s="85"/>
      <c r="B203" s="112" t="s">
        <v>329</v>
      </c>
    </row>
    <row r="204" spans="1:2" ht="15" x14ac:dyDescent="0.2">
      <c r="A204" s="85" t="s">
        <v>330</v>
      </c>
      <c r="B204" s="112" t="s">
        <v>331</v>
      </c>
    </row>
    <row r="205" spans="1:2" ht="15" x14ac:dyDescent="0.2">
      <c r="A205" s="85"/>
      <c r="B205" s="112" t="s">
        <v>332</v>
      </c>
    </row>
    <row r="206" spans="1:2" ht="15" x14ac:dyDescent="0.2">
      <c r="A206" s="85"/>
      <c r="B206" s="112" t="s">
        <v>333</v>
      </c>
    </row>
    <row r="207" spans="1:2" ht="15" x14ac:dyDescent="0.2">
      <c r="A207" s="85" t="s">
        <v>334</v>
      </c>
      <c r="B207" s="112" t="s">
        <v>335</v>
      </c>
    </row>
    <row r="208" spans="1:2" ht="15" x14ac:dyDescent="0.2">
      <c r="A208" s="85"/>
      <c r="B208" s="112" t="s">
        <v>336</v>
      </c>
    </row>
    <row r="209" spans="1:2" ht="15" x14ac:dyDescent="0.2">
      <c r="A209" s="85"/>
      <c r="B209" s="112" t="s">
        <v>337</v>
      </c>
    </row>
    <row r="210" spans="1:2" ht="15" x14ac:dyDescent="0.2">
      <c r="A210" s="85"/>
      <c r="B210" s="112" t="s">
        <v>338</v>
      </c>
    </row>
    <row r="211" spans="1:2" ht="15" x14ac:dyDescent="0.2">
      <c r="A211" s="85"/>
      <c r="B211" s="112" t="s">
        <v>339</v>
      </c>
    </row>
    <row r="212" spans="1:2" ht="15" x14ac:dyDescent="0.2">
      <c r="A212" s="85" t="s">
        <v>340</v>
      </c>
      <c r="B212" s="112" t="s">
        <v>341</v>
      </c>
    </row>
    <row r="213" spans="1:2" ht="15" x14ac:dyDescent="0.2">
      <c r="A213" s="85"/>
      <c r="B213" s="112" t="s">
        <v>342</v>
      </c>
    </row>
    <row r="214" spans="1:2" ht="15" x14ac:dyDescent="0.2">
      <c r="A214" s="85"/>
      <c r="B214" s="112" t="s">
        <v>343</v>
      </c>
    </row>
    <row r="215" spans="1:2" ht="15" x14ac:dyDescent="0.2">
      <c r="A215" s="85"/>
      <c r="B215" s="112" t="s">
        <v>344</v>
      </c>
    </row>
    <row r="216" spans="1:2" ht="15" x14ac:dyDescent="0.2">
      <c r="A216" s="85" t="s">
        <v>345</v>
      </c>
      <c r="B216" s="112" t="s">
        <v>346</v>
      </c>
    </row>
    <row r="217" spans="1:2" ht="15" x14ac:dyDescent="0.2">
      <c r="A217" s="85"/>
      <c r="B217" s="112" t="s">
        <v>347</v>
      </c>
    </row>
    <row r="218" spans="1:2" ht="15" x14ac:dyDescent="0.2">
      <c r="A218" s="85" t="s">
        <v>348</v>
      </c>
      <c r="B218" s="112" t="s">
        <v>349</v>
      </c>
    </row>
    <row r="219" spans="1:2" ht="15" x14ac:dyDescent="0.2">
      <c r="A219" s="85"/>
      <c r="B219" s="112" t="s">
        <v>350</v>
      </c>
    </row>
    <row r="220" spans="1:2" ht="15" x14ac:dyDescent="0.2">
      <c r="A220" s="85" t="s">
        <v>351</v>
      </c>
      <c r="B220" s="112" t="s">
        <v>352</v>
      </c>
    </row>
    <row r="221" spans="1:2" ht="15" x14ac:dyDescent="0.2">
      <c r="A221" s="85"/>
      <c r="B221" s="112" t="s">
        <v>353</v>
      </c>
    </row>
    <row r="222" spans="1:2" ht="15" x14ac:dyDescent="0.2">
      <c r="A222" s="85" t="s">
        <v>354</v>
      </c>
      <c r="B222" s="112" t="s">
        <v>355</v>
      </c>
    </row>
    <row r="223" spans="1:2" ht="15" x14ac:dyDescent="0.2">
      <c r="A223" s="85"/>
      <c r="B223" s="112" t="s">
        <v>356</v>
      </c>
    </row>
    <row r="224" spans="1:2" ht="15" x14ac:dyDescent="0.2">
      <c r="A224" s="85" t="s">
        <v>357</v>
      </c>
      <c r="B224" s="112" t="s">
        <v>358</v>
      </c>
    </row>
    <row r="225" spans="1:2" ht="15" x14ac:dyDescent="0.2">
      <c r="A225" s="85"/>
      <c r="B225" s="112" t="s">
        <v>359</v>
      </c>
    </row>
    <row r="226" spans="1:2" ht="15" x14ac:dyDescent="0.2">
      <c r="A226" s="85" t="s">
        <v>360</v>
      </c>
      <c r="B226" s="112" t="s">
        <v>361</v>
      </c>
    </row>
    <row r="227" spans="1:2" ht="15" x14ac:dyDescent="0.2">
      <c r="A227" s="85"/>
      <c r="B227" s="112" t="s">
        <v>362</v>
      </c>
    </row>
    <row r="228" spans="1:2" ht="15" x14ac:dyDescent="0.2">
      <c r="A228" s="85" t="s">
        <v>363</v>
      </c>
      <c r="B228" s="112" t="s">
        <v>364</v>
      </c>
    </row>
    <row r="229" spans="1:2" ht="15" x14ac:dyDescent="0.2">
      <c r="A229" s="85"/>
      <c r="B229" s="112" t="s">
        <v>365</v>
      </c>
    </row>
    <row r="230" spans="1:2" ht="15" x14ac:dyDescent="0.2">
      <c r="A230" s="85" t="s">
        <v>366</v>
      </c>
      <c r="B230" s="112" t="s">
        <v>367</v>
      </c>
    </row>
    <row r="231" spans="1:2" ht="15" x14ac:dyDescent="0.2">
      <c r="A231" s="85"/>
      <c r="B231" s="112" t="s">
        <v>368</v>
      </c>
    </row>
    <row r="232" spans="1:2" ht="28.5" x14ac:dyDescent="0.2">
      <c r="A232" s="85" t="s">
        <v>369</v>
      </c>
      <c r="B232" s="112" t="s">
        <v>370</v>
      </c>
    </row>
    <row r="233" spans="1:2" ht="15" x14ac:dyDescent="0.2">
      <c r="A233" s="85"/>
      <c r="B233" s="112" t="s">
        <v>371</v>
      </c>
    </row>
    <row r="234" spans="1:2" ht="28.5" x14ac:dyDescent="0.2">
      <c r="A234" s="85" t="s">
        <v>372</v>
      </c>
      <c r="B234" s="112" t="s">
        <v>373</v>
      </c>
    </row>
    <row r="235" spans="1:2" ht="15" x14ac:dyDescent="0.2">
      <c r="A235" s="85"/>
      <c r="B235" s="112" t="s">
        <v>374</v>
      </c>
    </row>
    <row r="236" spans="1:2" ht="28.5" x14ac:dyDescent="0.2">
      <c r="A236" s="85" t="s">
        <v>375</v>
      </c>
      <c r="B236" s="112" t="s">
        <v>376</v>
      </c>
    </row>
    <row r="237" spans="1:2" ht="15" x14ac:dyDescent="0.2">
      <c r="A237" s="85"/>
      <c r="B237" s="112" t="s">
        <v>377</v>
      </c>
    </row>
    <row r="238" spans="1:2" ht="28.5" x14ac:dyDescent="0.2">
      <c r="A238" s="85" t="s">
        <v>378</v>
      </c>
      <c r="B238" s="112" t="s">
        <v>379</v>
      </c>
    </row>
    <row r="239" spans="1:2" ht="15" x14ac:dyDescent="0.2">
      <c r="A239" s="85"/>
      <c r="B239" s="112" t="s">
        <v>380</v>
      </c>
    </row>
    <row r="240" spans="1:2" ht="28.5" x14ac:dyDescent="0.2">
      <c r="A240" s="85" t="s">
        <v>381</v>
      </c>
      <c r="B240" s="112" t="s">
        <v>382</v>
      </c>
    </row>
    <row r="241" spans="1:2" ht="15" x14ac:dyDescent="0.2">
      <c r="A241" s="85"/>
      <c r="B241" s="112" t="s">
        <v>383</v>
      </c>
    </row>
    <row r="242" spans="1:2" ht="28.5" x14ac:dyDescent="0.2">
      <c r="A242" s="85" t="s">
        <v>384</v>
      </c>
      <c r="B242" s="112" t="s">
        <v>385</v>
      </c>
    </row>
    <row r="243" spans="1:2" ht="15" x14ac:dyDescent="0.2">
      <c r="A243" s="85"/>
      <c r="B243" s="112" t="s">
        <v>386</v>
      </c>
    </row>
    <row r="244" spans="1:2" ht="28.5" x14ac:dyDescent="0.2">
      <c r="A244" s="85" t="s">
        <v>387</v>
      </c>
      <c r="B244" s="112" t="s">
        <v>388</v>
      </c>
    </row>
    <row r="245" spans="1:2" ht="15" x14ac:dyDescent="0.2">
      <c r="A245" s="85"/>
      <c r="B245" s="112" t="s">
        <v>389</v>
      </c>
    </row>
    <row r="246" spans="1:2" ht="15" x14ac:dyDescent="0.2">
      <c r="A246" s="85" t="s">
        <v>390</v>
      </c>
      <c r="B246" s="112" t="s">
        <v>391</v>
      </c>
    </row>
    <row r="247" spans="1:2" ht="15" x14ac:dyDescent="0.2">
      <c r="A247" s="85"/>
      <c r="B247" s="112" t="s">
        <v>392</v>
      </c>
    </row>
    <row r="248" spans="1:2" ht="15" x14ac:dyDescent="0.2">
      <c r="A248" s="85" t="s">
        <v>393</v>
      </c>
      <c r="B248" s="113" t="s">
        <v>394</v>
      </c>
    </row>
    <row r="249" spans="1:2" ht="15" x14ac:dyDescent="0.2">
      <c r="A249" s="85"/>
      <c r="B249" s="113" t="s">
        <v>395</v>
      </c>
    </row>
    <row r="250" spans="1:2" ht="15" x14ac:dyDescent="0.2">
      <c r="A250" s="85"/>
      <c r="B250" s="102"/>
    </row>
    <row r="251" spans="1:2" ht="15" x14ac:dyDescent="0.25">
      <c r="A251" s="127"/>
      <c r="B251" s="128" t="s">
        <v>396</v>
      </c>
    </row>
    <row r="252" spans="1:2" ht="15" x14ac:dyDescent="0.2">
      <c r="A252" s="82" t="s">
        <v>13</v>
      </c>
      <c r="B252" s="129" t="s">
        <v>397</v>
      </c>
    </row>
    <row r="253" spans="1:2" ht="15" x14ac:dyDescent="0.2">
      <c r="A253" s="82" t="s">
        <v>13</v>
      </c>
      <c r="B253" s="129" t="s">
        <v>398</v>
      </c>
    </row>
    <row r="254" spans="1:2" ht="15" x14ac:dyDescent="0.2">
      <c r="A254" s="82" t="s">
        <v>13</v>
      </c>
      <c r="B254" s="129" t="s">
        <v>399</v>
      </c>
    </row>
    <row r="255" spans="1:2" ht="15" x14ac:dyDescent="0.2">
      <c r="A255" s="130" t="s">
        <v>242</v>
      </c>
      <c r="B255" s="129" t="s">
        <v>400</v>
      </c>
    </row>
    <row r="256" spans="1:2" ht="15" x14ac:dyDescent="0.2">
      <c r="A256" s="130" t="s">
        <v>242</v>
      </c>
      <c r="B256" s="129" t="s">
        <v>401</v>
      </c>
    </row>
    <row r="257" spans="1:2" ht="15" x14ac:dyDescent="0.2">
      <c r="A257" s="130" t="s">
        <v>242</v>
      </c>
      <c r="B257" s="129" t="s">
        <v>402</v>
      </c>
    </row>
    <row r="258" spans="1:2" ht="15" x14ac:dyDescent="0.2">
      <c r="A258" s="130" t="s">
        <v>242</v>
      </c>
      <c r="B258" s="129" t="s">
        <v>403</v>
      </c>
    </row>
    <row r="259" spans="1:2" ht="15" x14ac:dyDescent="0.2">
      <c r="A259" s="130" t="s">
        <v>242</v>
      </c>
      <c r="B259" s="129" t="s">
        <v>404</v>
      </c>
    </row>
    <row r="260" spans="1:2" ht="15" x14ac:dyDescent="0.2">
      <c r="A260" s="130" t="s">
        <v>242</v>
      </c>
      <c r="B260" s="129" t="s">
        <v>405</v>
      </c>
    </row>
    <row r="261" spans="1:2" ht="15" x14ac:dyDescent="0.2">
      <c r="A261" s="130" t="s">
        <v>242</v>
      </c>
      <c r="B261" s="129" t="s">
        <v>406</v>
      </c>
    </row>
    <row r="262" spans="1:2" ht="28.5" x14ac:dyDescent="0.2">
      <c r="A262" s="82" t="s">
        <v>13</v>
      </c>
      <c r="B262" s="129" t="s">
        <v>407</v>
      </c>
    </row>
    <row r="263" spans="1:2" ht="15" x14ac:dyDescent="0.2">
      <c r="A263" s="82" t="s">
        <v>13</v>
      </c>
      <c r="B263" s="129" t="s">
        <v>408</v>
      </c>
    </row>
    <row r="264" spans="1:2" ht="15" x14ac:dyDescent="0.2">
      <c r="A264" s="82" t="s">
        <v>13</v>
      </c>
      <c r="B264" s="129" t="s">
        <v>409</v>
      </c>
    </row>
    <row r="265" spans="1:2" ht="15" x14ac:dyDescent="0.2">
      <c r="A265" s="130" t="s">
        <v>242</v>
      </c>
      <c r="B265" s="129" t="s">
        <v>410</v>
      </c>
    </row>
    <row r="266" spans="1:2" ht="28.5" x14ac:dyDescent="0.2">
      <c r="A266" s="130" t="s">
        <v>242</v>
      </c>
      <c r="B266" s="129" t="s">
        <v>411</v>
      </c>
    </row>
    <row r="267" spans="1:2" ht="28.5" x14ac:dyDescent="0.2">
      <c r="A267" s="130" t="s">
        <v>242</v>
      </c>
      <c r="B267" s="129" t="s">
        <v>412</v>
      </c>
    </row>
    <row r="268" spans="1:2" ht="15" x14ac:dyDescent="0.2">
      <c r="A268" s="130" t="s">
        <v>242</v>
      </c>
      <c r="B268" s="129" t="s">
        <v>413</v>
      </c>
    </row>
    <row r="269" spans="1:2" ht="15" x14ac:dyDescent="0.2">
      <c r="A269" s="130" t="s">
        <v>242</v>
      </c>
      <c r="B269" s="129" t="s">
        <v>414</v>
      </c>
    </row>
    <row r="270" spans="1:2" ht="15" x14ac:dyDescent="0.2">
      <c r="A270" s="82" t="s">
        <v>13</v>
      </c>
      <c r="B270" s="129" t="s">
        <v>415</v>
      </c>
    </row>
    <row r="271" spans="1:2" ht="15" x14ac:dyDescent="0.2">
      <c r="A271" s="130" t="s">
        <v>242</v>
      </c>
      <c r="B271" s="129" t="s">
        <v>416</v>
      </c>
    </row>
    <row r="272" spans="1:2" ht="15" x14ac:dyDescent="0.2">
      <c r="A272" s="130" t="s">
        <v>242</v>
      </c>
      <c r="B272" s="129" t="s">
        <v>417</v>
      </c>
    </row>
    <row r="273" spans="1:2" ht="15" x14ac:dyDescent="0.2">
      <c r="A273" s="130" t="s">
        <v>242</v>
      </c>
      <c r="B273" s="129" t="s">
        <v>418</v>
      </c>
    </row>
    <row r="274" spans="1:2" ht="15" x14ac:dyDescent="0.2">
      <c r="A274" s="130" t="s">
        <v>242</v>
      </c>
      <c r="B274" s="129" t="s">
        <v>419</v>
      </c>
    </row>
    <row r="275" spans="1:2" ht="15" x14ac:dyDescent="0.2">
      <c r="A275" s="82" t="s">
        <v>13</v>
      </c>
      <c r="B275" s="129" t="s">
        <v>420</v>
      </c>
    </row>
    <row r="276" spans="1:2" ht="15" x14ac:dyDescent="0.2">
      <c r="A276" s="130" t="s">
        <v>242</v>
      </c>
      <c r="B276" s="129" t="s">
        <v>421</v>
      </c>
    </row>
    <row r="277" spans="1:2" ht="15" x14ac:dyDescent="0.2">
      <c r="A277" s="82" t="s">
        <v>13</v>
      </c>
      <c r="B277" s="129" t="s">
        <v>422</v>
      </c>
    </row>
    <row r="278" spans="1:2" ht="15" x14ac:dyDescent="0.2">
      <c r="A278" s="82" t="s">
        <v>13</v>
      </c>
      <c r="B278" s="129" t="s">
        <v>423</v>
      </c>
    </row>
    <row r="279" spans="1:2" ht="15" x14ac:dyDescent="0.2">
      <c r="A279" s="130" t="s">
        <v>242</v>
      </c>
      <c r="B279" s="129" t="s">
        <v>424</v>
      </c>
    </row>
    <row r="280" spans="1:2" ht="15" x14ac:dyDescent="0.2">
      <c r="A280" s="130" t="s">
        <v>242</v>
      </c>
      <c r="B280" s="129" t="s">
        <v>425</v>
      </c>
    </row>
    <row r="281" spans="1:2" ht="15" x14ac:dyDescent="0.2">
      <c r="A281" s="82" t="s">
        <v>13</v>
      </c>
      <c r="B281" s="129" t="s">
        <v>426</v>
      </c>
    </row>
    <row r="282" spans="1:2" ht="28.5" x14ac:dyDescent="0.2">
      <c r="A282" s="130" t="s">
        <v>242</v>
      </c>
      <c r="B282" s="129" t="s">
        <v>427</v>
      </c>
    </row>
    <row r="283" spans="1:2" ht="42.75" x14ac:dyDescent="0.2">
      <c r="A283" s="130" t="s">
        <v>242</v>
      </c>
      <c r="B283" s="129" t="s">
        <v>428</v>
      </c>
    </row>
    <row r="284" spans="1:2" ht="28.5" x14ac:dyDescent="0.2">
      <c r="A284" s="130" t="s">
        <v>242</v>
      </c>
      <c r="B284" s="129" t="s">
        <v>429</v>
      </c>
    </row>
    <row r="285" spans="1:2" ht="15" x14ac:dyDescent="0.2">
      <c r="A285" s="82" t="s">
        <v>13</v>
      </c>
      <c r="B285" s="129" t="s">
        <v>430</v>
      </c>
    </row>
    <row r="286" spans="1:2" ht="15" x14ac:dyDescent="0.2">
      <c r="A286" s="130" t="s">
        <v>242</v>
      </c>
      <c r="B286" s="129" t="s">
        <v>431</v>
      </c>
    </row>
    <row r="287" spans="1:2" ht="15" x14ac:dyDescent="0.2">
      <c r="A287" s="130" t="s">
        <v>242</v>
      </c>
      <c r="B287" s="129" t="s">
        <v>432</v>
      </c>
    </row>
    <row r="288" spans="1:2" ht="15" x14ac:dyDescent="0.2">
      <c r="A288" s="130" t="s">
        <v>242</v>
      </c>
      <c r="B288" s="129" t="s">
        <v>433</v>
      </c>
    </row>
    <row r="289" spans="1:2" ht="15" x14ac:dyDescent="0.2">
      <c r="A289" s="85"/>
      <c r="B289" s="102"/>
    </row>
    <row r="290" spans="1:2" ht="15" x14ac:dyDescent="0.2">
      <c r="A290" s="97" t="s">
        <v>434</v>
      </c>
      <c r="B290" s="131" t="s">
        <v>435</v>
      </c>
    </row>
    <row r="291" spans="1:2" ht="15" x14ac:dyDescent="0.25">
      <c r="A291" s="101"/>
      <c r="B291" s="102"/>
    </row>
    <row r="292" spans="1:2" ht="28.5" x14ac:dyDescent="0.2">
      <c r="A292" s="82" t="s">
        <v>13</v>
      </c>
      <c r="B292" s="120" t="s">
        <v>436</v>
      </c>
    </row>
    <row r="293" spans="1:2" ht="85.5" x14ac:dyDescent="0.2">
      <c r="A293" s="109" t="s">
        <v>437</v>
      </c>
      <c r="B293" s="104" t="s">
        <v>438</v>
      </c>
    </row>
    <row r="294" spans="1:2" ht="15" x14ac:dyDescent="0.2">
      <c r="A294" s="109" t="s">
        <v>439</v>
      </c>
      <c r="B294" s="87" t="s">
        <v>440</v>
      </c>
    </row>
    <row r="295" spans="1:2" ht="28.5" x14ac:dyDescent="0.2">
      <c r="A295" s="109" t="s">
        <v>441</v>
      </c>
      <c r="B295" s="87" t="s">
        <v>442</v>
      </c>
    </row>
    <row r="296" spans="1:2" ht="42.75" x14ac:dyDescent="0.2">
      <c r="A296" s="109" t="s">
        <v>443</v>
      </c>
      <c r="B296" s="104" t="s">
        <v>444</v>
      </c>
    </row>
    <row r="297" spans="1:2" ht="42.75" x14ac:dyDescent="0.2">
      <c r="A297" s="109" t="s">
        <v>445</v>
      </c>
      <c r="B297" s="87" t="s">
        <v>446</v>
      </c>
    </row>
    <row r="298" spans="1:2" ht="15" x14ac:dyDescent="0.2">
      <c r="A298" s="109" t="s">
        <v>447</v>
      </c>
      <c r="B298" s="104" t="s">
        <v>448</v>
      </c>
    </row>
    <row r="299" spans="1:2" ht="28.5" x14ac:dyDescent="0.2">
      <c r="A299" s="109" t="s">
        <v>449</v>
      </c>
      <c r="B299" s="104" t="s">
        <v>450</v>
      </c>
    </row>
    <row r="300" spans="1:2" ht="15" x14ac:dyDescent="0.2">
      <c r="A300" s="109" t="s">
        <v>451</v>
      </c>
      <c r="B300" s="104" t="s">
        <v>452</v>
      </c>
    </row>
    <row r="301" spans="1:2" ht="15" x14ac:dyDescent="0.25">
      <c r="A301" s="101"/>
      <c r="B301" s="102"/>
    </row>
    <row r="302" spans="1:2" ht="15" x14ac:dyDescent="0.25">
      <c r="A302" s="132"/>
      <c r="B302" s="111" t="s">
        <v>453</v>
      </c>
    </row>
    <row r="303" spans="1:2" ht="15" x14ac:dyDescent="0.25">
      <c r="A303" s="101" t="s">
        <v>454</v>
      </c>
      <c r="B303" s="112" t="s">
        <v>455</v>
      </c>
    </row>
    <row r="304" spans="1:2" ht="15" x14ac:dyDescent="0.25">
      <c r="A304" s="101"/>
      <c r="B304" s="112" t="s">
        <v>456</v>
      </c>
    </row>
    <row r="305" spans="1:2" ht="15" x14ac:dyDescent="0.25">
      <c r="A305" s="101" t="s">
        <v>457</v>
      </c>
      <c r="B305" s="112" t="s">
        <v>458</v>
      </c>
    </row>
    <row r="306" spans="1:2" ht="15" x14ac:dyDescent="0.25">
      <c r="A306" s="101"/>
      <c r="B306" s="112" t="s">
        <v>459</v>
      </c>
    </row>
    <row r="307" spans="1:2" ht="15" x14ac:dyDescent="0.25">
      <c r="A307" s="101" t="s">
        <v>460</v>
      </c>
      <c r="B307" s="112" t="s">
        <v>461</v>
      </c>
    </row>
    <row r="308" spans="1:2" ht="15" x14ac:dyDescent="0.25">
      <c r="A308" s="101"/>
      <c r="B308" s="112" t="s">
        <v>462</v>
      </c>
    </row>
    <row r="309" spans="1:2" ht="15" x14ac:dyDescent="0.25">
      <c r="A309" s="101"/>
      <c r="B309" s="112" t="s">
        <v>463</v>
      </c>
    </row>
    <row r="310" spans="1:2" ht="15" x14ac:dyDescent="0.25">
      <c r="A310" s="101" t="s">
        <v>464</v>
      </c>
      <c r="B310" s="112" t="s">
        <v>465</v>
      </c>
    </row>
    <row r="311" spans="1:2" ht="15" x14ac:dyDescent="0.25">
      <c r="A311" s="101"/>
      <c r="B311" s="112" t="s">
        <v>466</v>
      </c>
    </row>
    <row r="312" spans="1:2" ht="15" x14ac:dyDescent="0.25">
      <c r="A312" s="101" t="s">
        <v>467</v>
      </c>
      <c r="B312" s="112" t="s">
        <v>468</v>
      </c>
    </row>
    <row r="313" spans="1:2" ht="15" x14ac:dyDescent="0.25">
      <c r="A313" s="101"/>
      <c r="B313" s="112" t="s">
        <v>469</v>
      </c>
    </row>
    <row r="314" spans="1:2" ht="15" x14ac:dyDescent="0.25">
      <c r="A314" s="101" t="s">
        <v>470</v>
      </c>
      <c r="B314" s="112" t="s">
        <v>471</v>
      </c>
    </row>
    <row r="315" spans="1:2" ht="15" x14ac:dyDescent="0.25">
      <c r="A315" s="101"/>
      <c r="B315" s="112" t="s">
        <v>472</v>
      </c>
    </row>
    <row r="316" spans="1:2" ht="15" x14ac:dyDescent="0.25">
      <c r="A316" s="101" t="s">
        <v>473</v>
      </c>
      <c r="B316" s="112" t="s">
        <v>474</v>
      </c>
    </row>
    <row r="317" spans="1:2" ht="15" x14ac:dyDescent="0.25">
      <c r="A317" s="101"/>
      <c r="B317" s="112" t="s">
        <v>475</v>
      </c>
    </row>
    <row r="318" spans="1:2" ht="15" x14ac:dyDescent="0.25">
      <c r="A318" s="101" t="s">
        <v>476</v>
      </c>
      <c r="B318" s="112" t="s">
        <v>477</v>
      </c>
    </row>
    <row r="319" spans="1:2" ht="15" x14ac:dyDescent="0.25">
      <c r="A319" s="101"/>
      <c r="B319" s="112" t="s">
        <v>478</v>
      </c>
    </row>
    <row r="320" spans="1:2" ht="15" x14ac:dyDescent="0.25">
      <c r="A320" s="101" t="s">
        <v>479</v>
      </c>
      <c r="B320" s="112" t="s">
        <v>480</v>
      </c>
    </row>
    <row r="321" spans="1:2" ht="15" x14ac:dyDescent="0.25">
      <c r="A321" s="101"/>
      <c r="B321" s="112" t="s">
        <v>481</v>
      </c>
    </row>
    <row r="322" spans="1:2" ht="15" x14ac:dyDescent="0.25">
      <c r="A322" s="101" t="s">
        <v>482</v>
      </c>
      <c r="B322" s="112" t="s">
        <v>483</v>
      </c>
    </row>
    <row r="323" spans="1:2" ht="15" x14ac:dyDescent="0.25">
      <c r="A323" s="101"/>
      <c r="B323" s="112" t="s">
        <v>484</v>
      </c>
    </row>
    <row r="324" spans="1:2" ht="15" x14ac:dyDescent="0.25">
      <c r="A324" s="101" t="s">
        <v>485</v>
      </c>
      <c r="B324" s="112" t="s">
        <v>486</v>
      </c>
    </row>
    <row r="325" spans="1:2" ht="15" x14ac:dyDescent="0.25">
      <c r="A325" s="101"/>
      <c r="B325" s="112" t="s">
        <v>487</v>
      </c>
    </row>
    <row r="326" spans="1:2" ht="15" x14ac:dyDescent="0.25">
      <c r="A326" s="101"/>
      <c r="B326" s="112" t="s">
        <v>488</v>
      </c>
    </row>
    <row r="327" spans="1:2" ht="15" x14ac:dyDescent="0.25">
      <c r="A327" s="101" t="s">
        <v>489</v>
      </c>
      <c r="B327" s="112" t="s">
        <v>490</v>
      </c>
    </row>
    <row r="328" spans="1:2" ht="15" x14ac:dyDescent="0.25">
      <c r="A328" s="101"/>
      <c r="B328" s="112" t="s">
        <v>332</v>
      </c>
    </row>
    <row r="329" spans="1:2" ht="15" x14ac:dyDescent="0.25">
      <c r="A329" s="101"/>
      <c r="B329" s="112" t="s">
        <v>333</v>
      </c>
    </row>
    <row r="330" spans="1:2" ht="15" x14ac:dyDescent="0.25">
      <c r="A330" s="101" t="s">
        <v>491</v>
      </c>
      <c r="B330" s="112" t="s">
        <v>492</v>
      </c>
    </row>
    <row r="331" spans="1:2" ht="15" x14ac:dyDescent="0.25">
      <c r="A331" s="101"/>
      <c r="B331" s="112" t="s">
        <v>493</v>
      </c>
    </row>
    <row r="332" spans="1:2" ht="15" x14ac:dyDescent="0.25">
      <c r="A332" s="101" t="s">
        <v>494</v>
      </c>
      <c r="B332" s="112" t="s">
        <v>495</v>
      </c>
    </row>
    <row r="333" spans="1:2" ht="15" x14ac:dyDescent="0.25">
      <c r="A333" s="101"/>
      <c r="B333" s="112" t="s">
        <v>347</v>
      </c>
    </row>
    <row r="334" spans="1:2" ht="15" x14ac:dyDescent="0.25">
      <c r="A334" s="101" t="s">
        <v>496</v>
      </c>
      <c r="B334" s="112" t="s">
        <v>497</v>
      </c>
    </row>
    <row r="335" spans="1:2" ht="15" x14ac:dyDescent="0.25">
      <c r="A335" s="101"/>
      <c r="B335" s="112" t="s">
        <v>350</v>
      </c>
    </row>
    <row r="336" spans="1:2" ht="28.5" x14ac:dyDescent="0.25">
      <c r="A336" s="101" t="s">
        <v>498</v>
      </c>
      <c r="B336" s="112" t="s">
        <v>499</v>
      </c>
    </row>
    <row r="337" spans="1:2" ht="15" x14ac:dyDescent="0.25">
      <c r="A337" s="101"/>
      <c r="B337" s="112" t="s">
        <v>500</v>
      </c>
    </row>
    <row r="338" spans="1:2" ht="15" x14ac:dyDescent="0.25">
      <c r="A338" s="101" t="s">
        <v>501</v>
      </c>
      <c r="B338" s="112" t="s">
        <v>502</v>
      </c>
    </row>
    <row r="339" spans="1:2" ht="15" x14ac:dyDescent="0.25">
      <c r="A339" s="101"/>
      <c r="B339" s="112" t="s">
        <v>503</v>
      </c>
    </row>
    <row r="340" spans="1:2" ht="15" x14ac:dyDescent="0.25">
      <c r="A340" s="101"/>
      <c r="B340" s="112" t="s">
        <v>504</v>
      </c>
    </row>
    <row r="341" spans="1:2" ht="15" x14ac:dyDescent="0.25">
      <c r="A341" s="101" t="s">
        <v>505</v>
      </c>
      <c r="B341" s="112" t="s">
        <v>506</v>
      </c>
    </row>
    <row r="342" spans="1:2" ht="15" x14ac:dyDescent="0.25">
      <c r="A342" s="101"/>
      <c r="B342" s="112" t="s">
        <v>507</v>
      </c>
    </row>
    <row r="343" spans="1:2" ht="15" x14ac:dyDescent="0.25">
      <c r="A343" s="101" t="s">
        <v>508</v>
      </c>
      <c r="B343" s="112" t="s">
        <v>509</v>
      </c>
    </row>
    <row r="344" spans="1:2" ht="15" x14ac:dyDescent="0.25">
      <c r="A344" s="101"/>
      <c r="B344" s="112" t="s">
        <v>510</v>
      </c>
    </row>
    <row r="345" spans="1:2" ht="15" x14ac:dyDescent="0.25">
      <c r="A345" s="101" t="s">
        <v>511</v>
      </c>
      <c r="B345" s="112" t="s">
        <v>512</v>
      </c>
    </row>
    <row r="346" spans="1:2" ht="15" x14ac:dyDescent="0.25">
      <c r="A346" s="101"/>
      <c r="B346" s="112" t="s">
        <v>513</v>
      </c>
    </row>
    <row r="347" spans="1:2" ht="15" x14ac:dyDescent="0.25">
      <c r="A347" s="101" t="s">
        <v>514</v>
      </c>
      <c r="B347" s="112" t="s">
        <v>515</v>
      </c>
    </row>
    <row r="348" spans="1:2" ht="15" x14ac:dyDescent="0.25">
      <c r="A348" s="101"/>
      <c r="B348" s="112" t="s">
        <v>513</v>
      </c>
    </row>
    <row r="349" spans="1:2" ht="15" x14ac:dyDescent="0.25">
      <c r="A349" s="101" t="s">
        <v>516</v>
      </c>
      <c r="B349" s="112" t="s">
        <v>517</v>
      </c>
    </row>
    <row r="350" spans="1:2" ht="15" x14ac:dyDescent="0.25">
      <c r="A350" s="101"/>
      <c r="B350" s="112" t="s">
        <v>518</v>
      </c>
    </row>
    <row r="351" spans="1:2" ht="15" x14ac:dyDescent="0.25">
      <c r="A351" s="101" t="s">
        <v>519</v>
      </c>
      <c r="B351" s="112" t="s">
        <v>520</v>
      </c>
    </row>
    <row r="352" spans="1:2" ht="15" x14ac:dyDescent="0.25">
      <c r="A352" s="101"/>
      <c r="B352" s="112" t="s">
        <v>521</v>
      </c>
    </row>
    <row r="353" spans="1:2" ht="15" x14ac:dyDescent="0.25">
      <c r="A353" s="101" t="s">
        <v>522</v>
      </c>
      <c r="B353" s="112" t="s">
        <v>523</v>
      </c>
    </row>
    <row r="354" spans="1:2" ht="15" x14ac:dyDescent="0.25">
      <c r="A354" s="101"/>
      <c r="B354" s="112" t="s">
        <v>524</v>
      </c>
    </row>
    <row r="355" spans="1:2" ht="28.5" x14ac:dyDescent="0.25">
      <c r="A355" s="101" t="s">
        <v>525</v>
      </c>
      <c r="B355" s="112" t="s">
        <v>526</v>
      </c>
    </row>
    <row r="356" spans="1:2" ht="15" x14ac:dyDescent="0.25">
      <c r="A356" s="101"/>
      <c r="B356" s="112" t="s">
        <v>527</v>
      </c>
    </row>
    <row r="357" spans="1:2" ht="15" x14ac:dyDescent="0.25">
      <c r="A357" s="101"/>
      <c r="B357" s="112" t="s">
        <v>528</v>
      </c>
    </row>
    <row r="358" spans="1:2" ht="15" x14ac:dyDescent="0.25">
      <c r="A358" s="101" t="s">
        <v>529</v>
      </c>
      <c r="B358" s="112" t="s">
        <v>530</v>
      </c>
    </row>
    <row r="359" spans="1:2" ht="15" x14ac:dyDescent="0.25">
      <c r="A359" s="101"/>
      <c r="B359" s="112" t="s">
        <v>531</v>
      </c>
    </row>
    <row r="360" spans="1:2" ht="15" x14ac:dyDescent="0.25">
      <c r="A360" s="101" t="s">
        <v>532</v>
      </c>
      <c r="B360" s="112" t="s">
        <v>533</v>
      </c>
    </row>
    <row r="361" spans="1:2" ht="15" x14ac:dyDescent="0.25">
      <c r="A361" s="101"/>
      <c r="B361" s="112" t="s">
        <v>534</v>
      </c>
    </row>
    <row r="362" spans="1:2" ht="15" x14ac:dyDescent="0.25">
      <c r="A362" s="101"/>
      <c r="B362" s="112" t="s">
        <v>535</v>
      </c>
    </row>
    <row r="363" spans="1:2" ht="15" x14ac:dyDescent="0.25">
      <c r="A363" s="101" t="s">
        <v>536</v>
      </c>
      <c r="B363" s="112" t="s">
        <v>537</v>
      </c>
    </row>
    <row r="364" spans="1:2" ht="15" x14ac:dyDescent="0.25">
      <c r="A364" s="101"/>
      <c r="B364" s="112" t="s">
        <v>538</v>
      </c>
    </row>
    <row r="365" spans="1:2" ht="15" x14ac:dyDescent="0.25">
      <c r="A365" s="101"/>
      <c r="B365" s="133" t="s">
        <v>539</v>
      </c>
    </row>
    <row r="366" spans="1:2" ht="15" x14ac:dyDescent="0.25">
      <c r="A366" s="101" t="s">
        <v>540</v>
      </c>
      <c r="B366" s="112" t="s">
        <v>541</v>
      </c>
    </row>
    <row r="367" spans="1:2" ht="15" x14ac:dyDescent="0.25">
      <c r="A367" s="101"/>
      <c r="B367" s="112" t="s">
        <v>542</v>
      </c>
    </row>
    <row r="368" spans="1:2" ht="15" x14ac:dyDescent="0.2">
      <c r="A368" s="85" t="s">
        <v>543</v>
      </c>
      <c r="B368" s="112" t="s">
        <v>544</v>
      </c>
    </row>
    <row r="369" spans="1:2" ht="15" x14ac:dyDescent="0.25">
      <c r="A369" s="101"/>
      <c r="B369" s="112" t="s">
        <v>545</v>
      </c>
    </row>
    <row r="370" spans="1:2" ht="15" x14ac:dyDescent="0.2">
      <c r="A370" s="85" t="s">
        <v>546</v>
      </c>
      <c r="B370" s="112" t="s">
        <v>547</v>
      </c>
    </row>
    <row r="371" spans="1:2" ht="15" x14ac:dyDescent="0.25">
      <c r="A371" s="101"/>
      <c r="B371" s="112" t="s">
        <v>548</v>
      </c>
    </row>
    <row r="372" spans="1:2" ht="28.5" x14ac:dyDescent="0.2">
      <c r="A372" s="85" t="s">
        <v>549</v>
      </c>
      <c r="B372" s="112" t="s">
        <v>550</v>
      </c>
    </row>
    <row r="373" spans="1:2" ht="15" x14ac:dyDescent="0.2">
      <c r="A373" s="85"/>
      <c r="B373" s="112" t="s">
        <v>551</v>
      </c>
    </row>
    <row r="374" spans="1:2" ht="28.5" x14ac:dyDescent="0.2">
      <c r="A374" s="85" t="s">
        <v>552</v>
      </c>
      <c r="B374" s="112" t="s">
        <v>553</v>
      </c>
    </row>
    <row r="375" spans="1:2" ht="15" x14ac:dyDescent="0.2">
      <c r="A375" s="85"/>
      <c r="B375" s="112" t="s">
        <v>554</v>
      </c>
    </row>
    <row r="376" spans="1:2" ht="15" x14ac:dyDescent="0.2">
      <c r="A376" s="85" t="s">
        <v>555</v>
      </c>
      <c r="B376" s="112" t="s">
        <v>556</v>
      </c>
    </row>
    <row r="377" spans="1:2" ht="15" x14ac:dyDescent="0.2">
      <c r="A377" s="85"/>
      <c r="B377" s="112" t="s">
        <v>557</v>
      </c>
    </row>
    <row r="378" spans="1:2" ht="15" x14ac:dyDescent="0.2">
      <c r="A378" s="85" t="s">
        <v>558</v>
      </c>
      <c r="B378" s="112" t="s">
        <v>559</v>
      </c>
    </row>
    <row r="379" spans="1:2" ht="15" x14ac:dyDescent="0.2">
      <c r="A379" s="85"/>
      <c r="B379" s="112" t="s">
        <v>560</v>
      </c>
    </row>
    <row r="380" spans="1:2" ht="15" x14ac:dyDescent="0.2">
      <c r="A380" s="85" t="s">
        <v>561</v>
      </c>
      <c r="B380" s="112" t="s">
        <v>562</v>
      </c>
    </row>
    <row r="381" spans="1:2" ht="15" x14ac:dyDescent="0.2">
      <c r="A381" s="85" t="s">
        <v>563</v>
      </c>
      <c r="B381" s="112" t="s">
        <v>564</v>
      </c>
    </row>
    <row r="382" spans="1:2" ht="28.5" x14ac:dyDescent="0.2">
      <c r="A382" s="85" t="s">
        <v>565</v>
      </c>
      <c r="B382" s="112" t="s">
        <v>566</v>
      </c>
    </row>
    <row r="383" spans="1:2" ht="15" x14ac:dyDescent="0.2">
      <c r="A383" s="85"/>
      <c r="B383" s="112" t="s">
        <v>567</v>
      </c>
    </row>
    <row r="384" spans="1:2" ht="28.5" x14ac:dyDescent="0.2">
      <c r="A384" s="85" t="s">
        <v>568</v>
      </c>
      <c r="B384" s="112" t="s">
        <v>569</v>
      </c>
    </row>
    <row r="385" spans="1:2" ht="15" x14ac:dyDescent="0.2">
      <c r="A385" s="85"/>
      <c r="B385" s="112" t="s">
        <v>570</v>
      </c>
    </row>
    <row r="386" spans="1:2" ht="15" x14ac:dyDescent="0.2">
      <c r="A386" s="85" t="s">
        <v>571</v>
      </c>
      <c r="B386" s="112" t="s">
        <v>572</v>
      </c>
    </row>
    <row r="387" spans="1:2" ht="15" x14ac:dyDescent="0.2">
      <c r="A387" s="85"/>
      <c r="B387" s="112" t="s">
        <v>573</v>
      </c>
    </row>
    <row r="388" spans="1:2" ht="15" x14ac:dyDescent="0.2">
      <c r="A388" s="85" t="s">
        <v>574</v>
      </c>
      <c r="B388" s="112" t="s">
        <v>575</v>
      </c>
    </row>
    <row r="389" spans="1:2" ht="15" x14ac:dyDescent="0.2">
      <c r="A389" s="85"/>
      <c r="B389" s="112" t="s">
        <v>576</v>
      </c>
    </row>
    <row r="390" spans="1:2" ht="15" x14ac:dyDescent="0.2">
      <c r="A390" s="85" t="s">
        <v>577</v>
      </c>
      <c r="B390" s="112" t="s">
        <v>578</v>
      </c>
    </row>
    <row r="391" spans="1:2" ht="15" x14ac:dyDescent="0.2">
      <c r="A391" s="85"/>
      <c r="B391" s="112" t="s">
        <v>579</v>
      </c>
    </row>
    <row r="392" spans="1:2" ht="15" x14ac:dyDescent="0.2">
      <c r="A392" s="85" t="s">
        <v>580</v>
      </c>
      <c r="B392" s="112" t="s">
        <v>581</v>
      </c>
    </row>
    <row r="393" spans="1:2" ht="15" x14ac:dyDescent="0.2">
      <c r="A393" s="85"/>
      <c r="B393" s="112" t="s">
        <v>582</v>
      </c>
    </row>
    <row r="394" spans="1:2" ht="15" x14ac:dyDescent="0.2">
      <c r="A394" s="85" t="s">
        <v>583</v>
      </c>
      <c r="B394" s="112" t="s">
        <v>584</v>
      </c>
    </row>
    <row r="395" spans="1:2" ht="15" x14ac:dyDescent="0.2">
      <c r="A395" s="85"/>
      <c r="B395" s="112" t="s">
        <v>585</v>
      </c>
    </row>
    <row r="396" spans="1:2" ht="15" x14ac:dyDescent="0.2">
      <c r="A396" s="85" t="s">
        <v>586</v>
      </c>
      <c r="B396" s="112" t="s">
        <v>587</v>
      </c>
    </row>
    <row r="397" spans="1:2" ht="15" x14ac:dyDescent="0.2">
      <c r="A397" s="85"/>
      <c r="B397" s="112" t="s">
        <v>588</v>
      </c>
    </row>
    <row r="398" spans="1:2" ht="28.5" x14ac:dyDescent="0.2">
      <c r="A398" s="85" t="s">
        <v>589</v>
      </c>
      <c r="B398" s="112" t="s">
        <v>590</v>
      </c>
    </row>
    <row r="399" spans="1:2" ht="15" x14ac:dyDescent="0.2">
      <c r="A399" s="85"/>
      <c r="B399" s="112" t="s">
        <v>591</v>
      </c>
    </row>
    <row r="400" spans="1:2" ht="15" x14ac:dyDescent="0.2">
      <c r="A400" s="85"/>
      <c r="B400" s="112" t="s">
        <v>592</v>
      </c>
    </row>
    <row r="401" spans="1:2" ht="15" x14ac:dyDescent="0.2">
      <c r="A401" s="85" t="s">
        <v>593</v>
      </c>
      <c r="B401" s="112" t="s">
        <v>594</v>
      </c>
    </row>
    <row r="402" spans="1:2" ht="15" x14ac:dyDescent="0.2">
      <c r="A402" s="85"/>
      <c r="B402" s="112" t="s">
        <v>595</v>
      </c>
    </row>
    <row r="403" spans="1:2" ht="15" x14ac:dyDescent="0.2">
      <c r="A403" s="85" t="s">
        <v>596</v>
      </c>
      <c r="B403" s="112" t="s">
        <v>597</v>
      </c>
    </row>
    <row r="404" spans="1:2" ht="15" x14ac:dyDescent="0.2">
      <c r="A404" s="85"/>
      <c r="B404" s="112" t="s">
        <v>598</v>
      </c>
    </row>
    <row r="405" spans="1:2" ht="28.5" x14ac:dyDescent="0.2">
      <c r="A405" s="85" t="s">
        <v>599</v>
      </c>
      <c r="B405" s="112" t="s">
        <v>600</v>
      </c>
    </row>
    <row r="406" spans="1:2" ht="15" x14ac:dyDescent="0.2">
      <c r="A406" s="85"/>
      <c r="B406" s="112" t="s">
        <v>601</v>
      </c>
    </row>
    <row r="407" spans="1:2" ht="28.5" x14ac:dyDescent="0.2">
      <c r="A407" s="85" t="s">
        <v>602</v>
      </c>
      <c r="B407" s="112" t="s">
        <v>603</v>
      </c>
    </row>
    <row r="408" spans="1:2" ht="15" x14ac:dyDescent="0.2">
      <c r="A408" s="85"/>
      <c r="B408" s="112" t="s">
        <v>604</v>
      </c>
    </row>
    <row r="409" spans="1:2" ht="15" x14ac:dyDescent="0.2">
      <c r="A409" s="85" t="s">
        <v>605</v>
      </c>
      <c r="B409" s="112" t="s">
        <v>606</v>
      </c>
    </row>
    <row r="410" spans="1:2" ht="15" x14ac:dyDescent="0.2">
      <c r="A410" s="85"/>
      <c r="B410" s="112" t="s">
        <v>607</v>
      </c>
    </row>
    <row r="411" spans="1:2" ht="15" x14ac:dyDescent="0.2">
      <c r="A411" s="85" t="s">
        <v>608</v>
      </c>
      <c r="B411" s="112" t="s">
        <v>609</v>
      </c>
    </row>
    <row r="412" spans="1:2" ht="15" x14ac:dyDescent="0.2">
      <c r="A412" s="85"/>
      <c r="B412" s="112" t="s">
        <v>610</v>
      </c>
    </row>
    <row r="413" spans="1:2" ht="15" x14ac:dyDescent="0.2">
      <c r="A413" s="85" t="s">
        <v>611</v>
      </c>
      <c r="B413" s="112" t="s">
        <v>612</v>
      </c>
    </row>
    <row r="414" spans="1:2" ht="15" x14ac:dyDescent="0.2">
      <c r="A414" s="85"/>
      <c r="B414" s="112" t="s">
        <v>613</v>
      </c>
    </row>
    <row r="415" spans="1:2" ht="15" x14ac:dyDescent="0.2">
      <c r="A415" s="85" t="s">
        <v>614</v>
      </c>
      <c r="B415" s="112" t="s">
        <v>615</v>
      </c>
    </row>
    <row r="416" spans="1:2" ht="15" x14ac:dyDescent="0.2">
      <c r="A416" s="85"/>
      <c r="B416" s="113" t="s">
        <v>616</v>
      </c>
    </row>
    <row r="417" spans="1:2" ht="15" x14ac:dyDescent="0.2">
      <c r="A417" s="85" t="s">
        <v>617</v>
      </c>
      <c r="B417" s="134" t="s">
        <v>618</v>
      </c>
    </row>
    <row r="418" spans="1:2" ht="15" x14ac:dyDescent="0.2">
      <c r="A418" s="85"/>
      <c r="B418" s="113" t="s">
        <v>619</v>
      </c>
    </row>
    <row r="419" spans="1:2" ht="15" x14ac:dyDescent="0.2">
      <c r="A419" s="85"/>
      <c r="B419" s="113" t="s">
        <v>620</v>
      </c>
    </row>
    <row r="420" spans="1:2" ht="15" x14ac:dyDescent="0.2">
      <c r="A420" s="85" t="s">
        <v>621</v>
      </c>
      <c r="B420" s="112" t="s">
        <v>622</v>
      </c>
    </row>
    <row r="421" spans="1:2" ht="15" x14ac:dyDescent="0.2">
      <c r="A421" s="85"/>
      <c r="B421" s="113" t="s">
        <v>623</v>
      </c>
    </row>
    <row r="422" spans="1:2" ht="15" x14ac:dyDescent="0.2">
      <c r="A422" s="85"/>
      <c r="B422" s="113" t="s">
        <v>624</v>
      </c>
    </row>
    <row r="423" spans="1:2" ht="15" x14ac:dyDescent="0.2">
      <c r="A423" s="85" t="s">
        <v>625</v>
      </c>
      <c r="B423" s="112" t="s">
        <v>626</v>
      </c>
    </row>
    <row r="424" spans="1:2" ht="15" x14ac:dyDescent="0.2">
      <c r="A424" s="85"/>
      <c r="B424" s="113" t="s">
        <v>627</v>
      </c>
    </row>
    <row r="425" spans="1:2" ht="15" x14ac:dyDescent="0.2">
      <c r="A425" s="85" t="s">
        <v>628</v>
      </c>
      <c r="B425" s="112" t="s">
        <v>629</v>
      </c>
    </row>
    <row r="426" spans="1:2" ht="15" x14ac:dyDescent="0.2">
      <c r="A426" s="85"/>
      <c r="B426" s="113" t="s">
        <v>630</v>
      </c>
    </row>
    <row r="427" spans="1:2" ht="15" x14ac:dyDescent="0.2">
      <c r="A427" s="85" t="s">
        <v>617</v>
      </c>
      <c r="B427" s="112" t="s">
        <v>631</v>
      </c>
    </row>
    <row r="428" spans="1:2" ht="15" x14ac:dyDescent="0.2">
      <c r="A428" s="85"/>
      <c r="B428" s="113" t="s">
        <v>632</v>
      </c>
    </row>
    <row r="429" spans="1:2" ht="15" x14ac:dyDescent="0.2">
      <c r="A429" s="85" t="s">
        <v>621</v>
      </c>
      <c r="B429" s="112" t="s">
        <v>633</v>
      </c>
    </row>
    <row r="430" spans="1:2" ht="15" x14ac:dyDescent="0.2">
      <c r="A430" s="85"/>
      <c r="B430" s="112" t="s">
        <v>634</v>
      </c>
    </row>
    <row r="431" spans="1:2" ht="15" x14ac:dyDescent="0.2">
      <c r="A431" s="85" t="s">
        <v>625</v>
      </c>
      <c r="B431" s="112" t="s">
        <v>635</v>
      </c>
    </row>
    <row r="432" spans="1:2" ht="15" x14ac:dyDescent="0.2">
      <c r="A432" s="85"/>
      <c r="B432" s="112" t="s">
        <v>636</v>
      </c>
    </row>
    <row r="433" spans="1:2" ht="15" x14ac:dyDescent="0.25">
      <c r="A433" s="101"/>
      <c r="B433" s="112"/>
    </row>
    <row r="434" spans="1:2" ht="15" x14ac:dyDescent="0.25">
      <c r="A434" s="127"/>
      <c r="B434" s="135" t="s">
        <v>637</v>
      </c>
    </row>
    <row r="435" spans="1:2" ht="15" x14ac:dyDescent="0.2">
      <c r="A435" s="82" t="s">
        <v>13</v>
      </c>
      <c r="B435" s="129" t="s">
        <v>638</v>
      </c>
    </row>
    <row r="436" spans="1:2" ht="15" x14ac:dyDescent="0.2">
      <c r="A436" s="82" t="s">
        <v>13</v>
      </c>
      <c r="B436" s="129" t="s">
        <v>639</v>
      </c>
    </row>
    <row r="437" spans="1:2" ht="15" x14ac:dyDescent="0.2">
      <c r="A437" s="82" t="s">
        <v>13</v>
      </c>
      <c r="B437" s="129" t="s">
        <v>640</v>
      </c>
    </row>
    <row r="438" spans="1:2" ht="15" x14ac:dyDescent="0.2">
      <c r="A438" s="82" t="s">
        <v>13</v>
      </c>
      <c r="B438" s="129" t="s">
        <v>641</v>
      </c>
    </row>
    <row r="439" spans="1:2" ht="15" x14ac:dyDescent="0.25">
      <c r="A439" s="136"/>
      <c r="B439" s="129" t="s">
        <v>642</v>
      </c>
    </row>
    <row r="440" spans="1:2" ht="15" x14ac:dyDescent="0.25">
      <c r="A440" s="136"/>
      <c r="B440" s="129" t="s">
        <v>643</v>
      </c>
    </row>
    <row r="441" spans="1:2" ht="15" x14ac:dyDescent="0.25">
      <c r="A441" s="136"/>
      <c r="B441" s="129" t="s">
        <v>644</v>
      </c>
    </row>
    <row r="442" spans="1:2" ht="15" x14ac:dyDescent="0.25">
      <c r="A442" s="136"/>
      <c r="B442" s="129" t="s">
        <v>645</v>
      </c>
    </row>
    <row r="443" spans="1:2" ht="15" x14ac:dyDescent="0.25">
      <c r="A443" s="136"/>
      <c r="B443" s="129" t="s">
        <v>646</v>
      </c>
    </row>
    <row r="444" spans="1:2" ht="15" x14ac:dyDescent="0.2">
      <c r="A444" s="82" t="s">
        <v>13</v>
      </c>
      <c r="B444" s="129" t="s">
        <v>647</v>
      </c>
    </row>
    <row r="445" spans="1:2" ht="15" x14ac:dyDescent="0.2">
      <c r="A445" s="130" t="s">
        <v>242</v>
      </c>
      <c r="B445" s="129" t="s">
        <v>648</v>
      </c>
    </row>
    <row r="446" spans="1:2" ht="15" x14ac:dyDescent="0.2">
      <c r="A446" s="130" t="s">
        <v>242</v>
      </c>
      <c r="B446" s="129" t="s">
        <v>649</v>
      </c>
    </row>
    <row r="447" spans="1:2" ht="15" x14ac:dyDescent="0.2">
      <c r="A447" s="130" t="s">
        <v>242</v>
      </c>
      <c r="B447" s="129" t="s">
        <v>650</v>
      </c>
    </row>
    <row r="448" spans="1:2" ht="15" x14ac:dyDescent="0.2">
      <c r="A448" s="82" t="s">
        <v>13</v>
      </c>
      <c r="B448" s="129" t="s">
        <v>409</v>
      </c>
    </row>
    <row r="449" spans="1:2" ht="28.5" x14ac:dyDescent="0.2">
      <c r="A449" s="82" t="s">
        <v>13</v>
      </c>
      <c r="B449" s="129" t="s">
        <v>651</v>
      </c>
    </row>
    <row r="450" spans="1:2" ht="15" x14ac:dyDescent="0.2">
      <c r="A450" s="82" t="s">
        <v>13</v>
      </c>
      <c r="B450" s="129" t="s">
        <v>652</v>
      </c>
    </row>
    <row r="451" spans="1:2" ht="15" x14ac:dyDescent="0.2">
      <c r="A451" s="130" t="s">
        <v>242</v>
      </c>
      <c r="B451" s="129" t="s">
        <v>415</v>
      </c>
    </row>
    <row r="452" spans="1:2" ht="15" x14ac:dyDescent="0.25">
      <c r="A452" s="136"/>
      <c r="B452" s="129" t="s">
        <v>653</v>
      </c>
    </row>
    <row r="453" spans="1:2" ht="15" x14ac:dyDescent="0.25">
      <c r="A453" s="136"/>
      <c r="B453" s="129" t="s">
        <v>654</v>
      </c>
    </row>
    <row r="454" spans="1:2" ht="15" x14ac:dyDescent="0.25">
      <c r="A454" s="136"/>
      <c r="B454" s="129" t="s">
        <v>655</v>
      </c>
    </row>
    <row r="455" spans="1:2" ht="15" x14ac:dyDescent="0.25">
      <c r="A455" s="136"/>
      <c r="B455" s="129" t="s">
        <v>656</v>
      </c>
    </row>
    <row r="456" spans="1:2" ht="15" x14ac:dyDescent="0.25">
      <c r="A456" s="136"/>
      <c r="B456" s="129" t="s">
        <v>657</v>
      </c>
    </row>
    <row r="457" spans="1:2" ht="15" x14ac:dyDescent="0.25">
      <c r="A457" s="136"/>
      <c r="B457" s="129" t="s">
        <v>658</v>
      </c>
    </row>
    <row r="458" spans="1:2" ht="15" x14ac:dyDescent="0.25">
      <c r="A458" s="136"/>
      <c r="B458" s="129" t="s">
        <v>659</v>
      </c>
    </row>
    <row r="459" spans="1:2" ht="15" x14ac:dyDescent="0.25">
      <c r="A459" s="136"/>
      <c r="B459" s="129" t="s">
        <v>660</v>
      </c>
    </row>
    <row r="460" spans="1:2" ht="15" x14ac:dyDescent="0.2">
      <c r="A460" s="82" t="s">
        <v>13</v>
      </c>
      <c r="B460" s="129" t="s">
        <v>661</v>
      </c>
    </row>
    <row r="461" spans="1:2" ht="15" x14ac:dyDescent="0.2">
      <c r="A461" s="82" t="s">
        <v>13</v>
      </c>
      <c r="B461" s="129" t="s">
        <v>423</v>
      </c>
    </row>
    <row r="462" spans="1:2" ht="15" x14ac:dyDescent="0.2">
      <c r="A462" s="130" t="s">
        <v>242</v>
      </c>
      <c r="B462" s="129" t="s">
        <v>662</v>
      </c>
    </row>
    <row r="463" spans="1:2" ht="15" x14ac:dyDescent="0.2">
      <c r="A463" s="130" t="s">
        <v>242</v>
      </c>
      <c r="B463" s="129" t="s">
        <v>663</v>
      </c>
    </row>
    <row r="464" spans="1:2" ht="15" x14ac:dyDescent="0.2">
      <c r="A464" s="82" t="s">
        <v>13</v>
      </c>
      <c r="B464" s="129" t="s">
        <v>430</v>
      </c>
    </row>
    <row r="465" spans="1:2" ht="15" x14ac:dyDescent="0.25">
      <c r="A465" s="136"/>
      <c r="B465" s="129" t="s">
        <v>664</v>
      </c>
    </row>
    <row r="466" spans="1:2" ht="15" x14ac:dyDescent="0.25">
      <c r="A466" s="136"/>
      <c r="B466" s="129" t="s">
        <v>665</v>
      </c>
    </row>
    <row r="467" spans="1:2" ht="15" x14ac:dyDescent="0.25">
      <c r="A467" s="136"/>
      <c r="B467" s="129" t="s">
        <v>666</v>
      </c>
    </row>
    <row r="468" spans="1:2" ht="15" x14ac:dyDescent="0.25">
      <c r="A468" s="136"/>
      <c r="B468" s="129" t="s">
        <v>667</v>
      </c>
    </row>
    <row r="469" spans="1:2" ht="15" x14ac:dyDescent="0.25">
      <c r="A469" s="136"/>
      <c r="B469" s="129" t="s">
        <v>668</v>
      </c>
    </row>
    <row r="470" spans="1:2" ht="15" x14ac:dyDescent="0.25">
      <c r="A470" s="136"/>
      <c r="B470" s="129" t="s">
        <v>669</v>
      </c>
    </row>
    <row r="471" spans="1:2" ht="15" x14ac:dyDescent="0.25">
      <c r="A471" s="136"/>
      <c r="B471" s="129" t="s">
        <v>670</v>
      </c>
    </row>
    <row r="472" spans="1:2" ht="15" x14ac:dyDescent="0.25">
      <c r="A472" s="136"/>
      <c r="B472" s="129" t="s">
        <v>671</v>
      </c>
    </row>
    <row r="473" spans="1:2" ht="15" x14ac:dyDescent="0.25">
      <c r="A473" s="136"/>
      <c r="B473" s="129" t="s">
        <v>672</v>
      </c>
    </row>
    <row r="474" spans="1:2" ht="28.5" x14ac:dyDescent="0.2">
      <c r="A474" s="130" t="s">
        <v>242</v>
      </c>
      <c r="B474" s="129" t="s">
        <v>673</v>
      </c>
    </row>
    <row r="475" spans="1:2" ht="15" x14ac:dyDescent="0.2">
      <c r="A475" s="82" t="s">
        <v>13</v>
      </c>
      <c r="B475" s="129" t="s">
        <v>674</v>
      </c>
    </row>
    <row r="476" spans="1:2" ht="15" x14ac:dyDescent="0.2">
      <c r="A476" s="82" t="s">
        <v>13</v>
      </c>
      <c r="B476" s="129" t="s">
        <v>423</v>
      </c>
    </row>
    <row r="477" spans="1:2" ht="15" x14ac:dyDescent="0.25">
      <c r="A477" s="136"/>
      <c r="B477" s="129" t="s">
        <v>675</v>
      </c>
    </row>
    <row r="478" spans="1:2" ht="15" x14ac:dyDescent="0.25">
      <c r="A478" s="136"/>
      <c r="B478" s="129" t="s">
        <v>676</v>
      </c>
    </row>
    <row r="479" spans="1:2" ht="15" x14ac:dyDescent="0.25">
      <c r="A479" s="136"/>
      <c r="B479" s="129" t="s">
        <v>677</v>
      </c>
    </row>
    <row r="480" spans="1:2" ht="15" x14ac:dyDescent="0.25">
      <c r="A480" s="136"/>
      <c r="B480" s="129" t="s">
        <v>678</v>
      </c>
    </row>
    <row r="481" spans="1:2" ht="15" x14ac:dyDescent="0.25">
      <c r="A481" s="136"/>
      <c r="B481" s="129" t="s">
        <v>415</v>
      </c>
    </row>
    <row r="482" spans="1:2" ht="15" x14ac:dyDescent="0.25">
      <c r="A482" s="136"/>
      <c r="B482" s="129" t="s">
        <v>679</v>
      </c>
    </row>
    <row r="483" spans="1:2" ht="15" x14ac:dyDescent="0.25">
      <c r="A483" s="136"/>
      <c r="B483" s="129" t="s">
        <v>680</v>
      </c>
    </row>
    <row r="484" spans="1:2" ht="15" x14ac:dyDescent="0.25">
      <c r="A484" s="136"/>
      <c r="B484" s="129" t="s">
        <v>681</v>
      </c>
    </row>
    <row r="485" spans="1:2" ht="15" x14ac:dyDescent="0.2">
      <c r="A485" s="82" t="s">
        <v>13</v>
      </c>
      <c r="B485" s="129" t="s">
        <v>682</v>
      </c>
    </row>
    <row r="486" spans="1:2" ht="15" x14ac:dyDescent="0.2">
      <c r="A486" s="82" t="s">
        <v>13</v>
      </c>
      <c r="B486" s="129" t="s">
        <v>423</v>
      </c>
    </row>
    <row r="487" spans="1:2" ht="15" x14ac:dyDescent="0.25">
      <c r="A487" s="136"/>
      <c r="B487" s="129" t="s">
        <v>683</v>
      </c>
    </row>
    <row r="488" spans="1:2" ht="15" x14ac:dyDescent="0.25">
      <c r="A488" s="136"/>
      <c r="B488" s="129" t="s">
        <v>684</v>
      </c>
    </row>
    <row r="489" spans="1:2" ht="15" x14ac:dyDescent="0.25">
      <c r="A489" s="136"/>
      <c r="B489" s="129" t="s">
        <v>415</v>
      </c>
    </row>
    <row r="490" spans="1:2" ht="15" x14ac:dyDescent="0.25">
      <c r="A490" s="136"/>
      <c r="B490" s="129" t="s">
        <v>685</v>
      </c>
    </row>
    <row r="491" spans="1:2" ht="15" x14ac:dyDescent="0.25">
      <c r="A491" s="136"/>
      <c r="B491" s="129" t="s">
        <v>666</v>
      </c>
    </row>
    <row r="492" spans="1:2" ht="15" x14ac:dyDescent="0.25">
      <c r="A492" s="136"/>
      <c r="B492" s="129" t="s">
        <v>686</v>
      </c>
    </row>
    <row r="493" spans="1:2" ht="15" x14ac:dyDescent="0.25">
      <c r="A493" s="136"/>
      <c r="B493" s="129" t="s">
        <v>681</v>
      </c>
    </row>
    <row r="494" spans="1:2" ht="15" x14ac:dyDescent="0.2">
      <c r="A494" s="82" t="s">
        <v>13</v>
      </c>
      <c r="B494" s="129" t="s">
        <v>687</v>
      </c>
    </row>
    <row r="495" spans="1:2" ht="15" x14ac:dyDescent="0.2">
      <c r="A495" s="130" t="s">
        <v>242</v>
      </c>
      <c r="B495" s="129" t="s">
        <v>688</v>
      </c>
    </row>
    <row r="496" spans="1:2" ht="15" x14ac:dyDescent="0.2">
      <c r="A496" s="130" t="s">
        <v>242</v>
      </c>
      <c r="B496" s="129" t="s">
        <v>689</v>
      </c>
    </row>
    <row r="497" spans="1:2" ht="28.5" x14ac:dyDescent="0.2">
      <c r="A497" s="130" t="s">
        <v>242</v>
      </c>
      <c r="B497" s="129" t="s">
        <v>690</v>
      </c>
    </row>
    <row r="498" spans="1:2" ht="15" x14ac:dyDescent="0.25">
      <c r="A498" s="136"/>
      <c r="B498" s="129" t="s">
        <v>691</v>
      </c>
    </row>
    <row r="499" spans="1:2" ht="15" x14ac:dyDescent="0.25">
      <c r="A499" s="136"/>
      <c r="B499" s="129" t="s">
        <v>692</v>
      </c>
    </row>
    <row r="500" spans="1:2" ht="15" x14ac:dyDescent="0.25">
      <c r="A500" s="136"/>
      <c r="B500" s="129" t="s">
        <v>693</v>
      </c>
    </row>
    <row r="501" spans="1:2" ht="15" x14ac:dyDescent="0.25">
      <c r="A501" s="136"/>
      <c r="B501" s="129" t="s">
        <v>694</v>
      </c>
    </row>
    <row r="502" spans="1:2" ht="15" x14ac:dyDescent="0.2">
      <c r="A502" s="82" t="s">
        <v>13</v>
      </c>
      <c r="B502" s="129" t="s">
        <v>695</v>
      </c>
    </row>
    <row r="503" spans="1:2" ht="15" x14ac:dyDescent="0.2">
      <c r="A503" s="82" t="s">
        <v>13</v>
      </c>
      <c r="B503" s="129" t="s">
        <v>409</v>
      </c>
    </row>
    <row r="504" spans="1:2" ht="15" x14ac:dyDescent="0.25">
      <c r="A504" s="136"/>
      <c r="B504" s="129" t="s">
        <v>696</v>
      </c>
    </row>
    <row r="505" spans="1:2" ht="15" x14ac:dyDescent="0.25">
      <c r="A505" s="136"/>
      <c r="B505" s="129" t="s">
        <v>697</v>
      </c>
    </row>
    <row r="506" spans="1:2" ht="15" x14ac:dyDescent="0.25">
      <c r="A506" s="136"/>
      <c r="B506" s="129" t="s">
        <v>698</v>
      </c>
    </row>
    <row r="507" spans="1:2" ht="15" x14ac:dyDescent="0.25">
      <c r="A507" s="136"/>
      <c r="B507" s="129" t="s">
        <v>699</v>
      </c>
    </row>
    <row r="508" spans="1:2" ht="15" x14ac:dyDescent="0.25">
      <c r="A508" s="136"/>
      <c r="B508" s="129" t="s">
        <v>700</v>
      </c>
    </row>
    <row r="509" spans="1:2" ht="15" x14ac:dyDescent="0.2">
      <c r="A509" s="82" t="s">
        <v>13</v>
      </c>
      <c r="B509" s="129" t="s">
        <v>415</v>
      </c>
    </row>
    <row r="510" spans="1:2" ht="15" x14ac:dyDescent="0.25">
      <c r="A510" s="136"/>
      <c r="B510" s="129" t="s">
        <v>701</v>
      </c>
    </row>
    <row r="511" spans="1:2" ht="15" x14ac:dyDescent="0.25">
      <c r="A511" s="136"/>
      <c r="B511" s="129" t="s">
        <v>702</v>
      </c>
    </row>
    <row r="512" spans="1:2" ht="15" x14ac:dyDescent="0.25">
      <c r="A512" s="136"/>
      <c r="B512" s="129" t="s">
        <v>703</v>
      </c>
    </row>
    <row r="513" spans="1:2" ht="15" x14ac:dyDescent="0.25">
      <c r="A513" s="136"/>
      <c r="B513" s="129" t="s">
        <v>704</v>
      </c>
    </row>
    <row r="514" spans="1:2" ht="15" x14ac:dyDescent="0.25">
      <c r="A514" s="101"/>
      <c r="B514" s="102"/>
    </row>
    <row r="515" spans="1:2" ht="15" x14ac:dyDescent="0.2">
      <c r="A515" s="97" t="s">
        <v>705</v>
      </c>
      <c r="B515" s="131" t="s">
        <v>706</v>
      </c>
    </row>
    <row r="516" spans="1:2" ht="15" x14ac:dyDescent="0.25">
      <c r="A516" s="101"/>
      <c r="B516" s="102"/>
    </row>
    <row r="517" spans="1:2" ht="86.25" x14ac:dyDescent="0.2">
      <c r="A517" s="82" t="s">
        <v>13</v>
      </c>
      <c r="B517" s="120" t="s">
        <v>707</v>
      </c>
    </row>
    <row r="518" spans="1:2" ht="28.5" x14ac:dyDescent="0.2">
      <c r="A518" s="82" t="s">
        <v>708</v>
      </c>
      <c r="B518" s="87" t="s">
        <v>709</v>
      </c>
    </row>
    <row r="519" spans="1:2" ht="28.5" x14ac:dyDescent="0.2">
      <c r="A519" s="82" t="s">
        <v>710</v>
      </c>
      <c r="B519" s="87" t="s">
        <v>711</v>
      </c>
    </row>
    <row r="520" spans="1:2" ht="28.5" x14ac:dyDescent="0.2">
      <c r="A520" s="82" t="s">
        <v>712</v>
      </c>
      <c r="B520" s="87" t="s">
        <v>713</v>
      </c>
    </row>
    <row r="521" spans="1:2" ht="28.5" x14ac:dyDescent="0.2">
      <c r="A521" s="82" t="s">
        <v>714</v>
      </c>
      <c r="B521" s="87" t="s">
        <v>715</v>
      </c>
    </row>
    <row r="522" spans="1:2" ht="28.5" x14ac:dyDescent="0.2">
      <c r="A522" s="82" t="s">
        <v>716</v>
      </c>
      <c r="B522" s="87" t="s">
        <v>717</v>
      </c>
    </row>
    <row r="523" spans="1:2" ht="71.25" x14ac:dyDescent="0.2">
      <c r="A523" s="82" t="s">
        <v>718</v>
      </c>
      <c r="B523" s="87" t="s">
        <v>719</v>
      </c>
    </row>
    <row r="524" spans="1:2" ht="28.5" x14ac:dyDescent="0.2">
      <c r="A524" s="82" t="s">
        <v>720</v>
      </c>
      <c r="B524" s="87" t="s">
        <v>721</v>
      </c>
    </row>
    <row r="525" spans="1:2" ht="42.75" x14ac:dyDescent="0.2">
      <c r="A525" s="82" t="s">
        <v>722</v>
      </c>
      <c r="B525" s="87" t="s">
        <v>723</v>
      </c>
    </row>
    <row r="526" spans="1:2" ht="15" x14ac:dyDescent="0.2">
      <c r="A526" s="82" t="s">
        <v>724</v>
      </c>
      <c r="B526" s="125" t="s">
        <v>725</v>
      </c>
    </row>
    <row r="527" spans="1:2" ht="28.5" x14ac:dyDescent="0.2">
      <c r="A527" s="82" t="s">
        <v>726</v>
      </c>
      <c r="B527" s="94" t="s">
        <v>727</v>
      </c>
    </row>
    <row r="528" spans="1:2" ht="15" x14ac:dyDescent="0.2">
      <c r="A528" s="82" t="s">
        <v>728</v>
      </c>
      <c r="B528" s="94" t="s">
        <v>729</v>
      </c>
    </row>
    <row r="529" spans="1:2" ht="15" x14ac:dyDescent="0.2">
      <c r="A529" s="82" t="s">
        <v>730</v>
      </c>
      <c r="B529" s="94" t="s">
        <v>731</v>
      </c>
    </row>
    <row r="530" spans="1:2" ht="28.5" x14ac:dyDescent="0.2">
      <c r="A530" s="82" t="s">
        <v>732</v>
      </c>
      <c r="B530" s="94" t="s">
        <v>733</v>
      </c>
    </row>
    <row r="531" spans="1:2" ht="28.5" x14ac:dyDescent="0.2">
      <c r="A531" s="82" t="s">
        <v>730</v>
      </c>
      <c r="B531" s="94" t="s">
        <v>734</v>
      </c>
    </row>
    <row r="532" spans="1:2" ht="15" x14ac:dyDescent="0.2">
      <c r="A532" s="82" t="s">
        <v>735</v>
      </c>
      <c r="B532" s="94" t="s">
        <v>736</v>
      </c>
    </row>
    <row r="533" spans="1:2" ht="42.75" x14ac:dyDescent="0.2">
      <c r="A533" s="82" t="s">
        <v>737</v>
      </c>
      <c r="B533" s="94" t="s">
        <v>738</v>
      </c>
    </row>
    <row r="534" spans="1:2" ht="15" x14ac:dyDescent="0.25">
      <c r="A534" s="101"/>
      <c r="B534" s="102"/>
    </row>
    <row r="535" spans="1:2" ht="15" x14ac:dyDescent="0.25">
      <c r="A535" s="127"/>
      <c r="B535" s="135" t="s">
        <v>739</v>
      </c>
    </row>
    <row r="536" spans="1:2" ht="42.75" x14ac:dyDescent="0.2">
      <c r="A536" s="130" t="s">
        <v>242</v>
      </c>
      <c r="B536" s="137" t="s">
        <v>740</v>
      </c>
    </row>
    <row r="537" spans="1:2" ht="15" x14ac:dyDescent="0.25">
      <c r="A537" s="136"/>
      <c r="B537" s="129" t="s">
        <v>741</v>
      </c>
    </row>
    <row r="538" spans="1:2" ht="15" x14ac:dyDescent="0.25">
      <c r="A538" s="136"/>
      <c r="B538" s="129" t="s">
        <v>742</v>
      </c>
    </row>
    <row r="539" spans="1:2" ht="15" x14ac:dyDescent="0.25">
      <c r="A539" s="136"/>
      <c r="B539" s="129" t="s">
        <v>743</v>
      </c>
    </row>
    <row r="540" spans="1:2" ht="15" x14ac:dyDescent="0.25">
      <c r="A540" s="136"/>
      <c r="B540" s="129" t="s">
        <v>744</v>
      </c>
    </row>
    <row r="541" spans="1:2" ht="15" x14ac:dyDescent="0.2">
      <c r="A541" s="130" t="s">
        <v>242</v>
      </c>
      <c r="B541" s="129" t="s">
        <v>745</v>
      </c>
    </row>
    <row r="542" spans="1:2" ht="15" x14ac:dyDescent="0.2">
      <c r="A542" s="130" t="s">
        <v>242</v>
      </c>
      <c r="B542" s="129" t="s">
        <v>746</v>
      </c>
    </row>
    <row r="543" spans="1:2" ht="15" x14ac:dyDescent="0.2">
      <c r="A543" s="130" t="s">
        <v>242</v>
      </c>
      <c r="B543" s="129" t="s">
        <v>409</v>
      </c>
    </row>
    <row r="544" spans="1:2" ht="42.75" x14ac:dyDescent="0.2">
      <c r="A544" s="130" t="s">
        <v>242</v>
      </c>
      <c r="B544" s="137" t="s">
        <v>747</v>
      </c>
    </row>
    <row r="545" spans="1:2" ht="15" x14ac:dyDescent="0.2">
      <c r="A545" s="130" t="s">
        <v>242</v>
      </c>
      <c r="B545" s="129" t="s">
        <v>748</v>
      </c>
    </row>
    <row r="546" spans="1:2" ht="15" x14ac:dyDescent="0.2">
      <c r="A546" s="130" t="s">
        <v>242</v>
      </c>
      <c r="B546" s="129" t="s">
        <v>415</v>
      </c>
    </row>
    <row r="547" spans="1:2" ht="15" x14ac:dyDescent="0.25">
      <c r="A547" s="136"/>
      <c r="B547" s="129" t="s">
        <v>749</v>
      </c>
    </row>
    <row r="548" spans="1:2" ht="15" x14ac:dyDescent="0.25">
      <c r="A548" s="136"/>
      <c r="B548" s="129" t="s">
        <v>750</v>
      </c>
    </row>
    <row r="549" spans="1:2" ht="15" x14ac:dyDescent="0.25">
      <c r="A549" s="136"/>
      <c r="B549" s="129" t="s">
        <v>751</v>
      </c>
    </row>
    <row r="550" spans="1:2" ht="15" x14ac:dyDescent="0.25">
      <c r="A550" s="136"/>
      <c r="B550" s="129" t="s">
        <v>752</v>
      </c>
    </row>
    <row r="551" spans="1:2" ht="15" x14ac:dyDescent="0.25">
      <c r="A551" s="136"/>
      <c r="B551" s="129" t="s">
        <v>753</v>
      </c>
    </row>
    <row r="552" spans="1:2" ht="15" x14ac:dyDescent="0.25">
      <c r="A552" s="136"/>
      <c r="B552" s="129" t="s">
        <v>658</v>
      </c>
    </row>
    <row r="553" spans="1:2" ht="28.5" x14ac:dyDescent="0.2">
      <c r="A553" s="130" t="s">
        <v>242</v>
      </c>
      <c r="B553" s="137" t="s">
        <v>754</v>
      </c>
    </row>
    <row r="554" spans="1:2" ht="15" x14ac:dyDescent="0.2">
      <c r="A554" s="130" t="s">
        <v>242</v>
      </c>
      <c r="B554" s="129" t="s">
        <v>755</v>
      </c>
    </row>
    <row r="555" spans="1:2" ht="15" x14ac:dyDescent="0.2">
      <c r="A555" s="130" t="s">
        <v>242</v>
      </c>
      <c r="B555" s="129" t="s">
        <v>756</v>
      </c>
    </row>
    <row r="556" spans="1:2" ht="15" x14ac:dyDescent="0.2">
      <c r="A556" s="130" t="s">
        <v>242</v>
      </c>
      <c r="B556" s="129" t="s">
        <v>757</v>
      </c>
    </row>
    <row r="557" spans="1:2" ht="15" x14ac:dyDescent="0.2">
      <c r="A557" s="130" t="s">
        <v>242</v>
      </c>
      <c r="B557" s="129" t="s">
        <v>409</v>
      </c>
    </row>
    <row r="558" spans="1:2" ht="15" x14ac:dyDescent="0.25">
      <c r="A558" s="136"/>
      <c r="B558" s="129" t="s">
        <v>758</v>
      </c>
    </row>
    <row r="559" spans="1:2" ht="15" x14ac:dyDescent="0.25">
      <c r="A559" s="136"/>
      <c r="B559" s="129" t="s">
        <v>759</v>
      </c>
    </row>
    <row r="560" spans="1:2" ht="15" x14ac:dyDescent="0.25">
      <c r="A560" s="136"/>
      <c r="B560" s="129" t="s">
        <v>760</v>
      </c>
    </row>
    <row r="561" spans="1:2" ht="15" x14ac:dyDescent="0.2">
      <c r="A561" s="130" t="s">
        <v>242</v>
      </c>
      <c r="B561" s="129" t="s">
        <v>658</v>
      </c>
    </row>
    <row r="562" spans="1:2" ht="15" x14ac:dyDescent="0.2">
      <c r="A562" s="130" t="s">
        <v>242</v>
      </c>
      <c r="B562" s="137" t="s">
        <v>761</v>
      </c>
    </row>
    <row r="563" spans="1:2" ht="15" x14ac:dyDescent="0.25">
      <c r="A563" s="136"/>
      <c r="B563" s="129" t="s">
        <v>762</v>
      </c>
    </row>
    <row r="564" spans="1:2" ht="15" x14ac:dyDescent="0.25">
      <c r="A564" s="136"/>
      <c r="B564" s="129" t="s">
        <v>763</v>
      </c>
    </row>
    <row r="565" spans="1:2" ht="15" x14ac:dyDescent="0.2">
      <c r="A565" s="130" t="s">
        <v>242</v>
      </c>
      <c r="B565" s="129" t="s">
        <v>415</v>
      </c>
    </row>
    <row r="566" spans="1:2" ht="15" x14ac:dyDescent="0.25">
      <c r="A566" s="136"/>
      <c r="B566" s="129" t="s">
        <v>764</v>
      </c>
    </row>
    <row r="567" spans="1:2" ht="15" x14ac:dyDescent="0.25">
      <c r="A567" s="136"/>
      <c r="B567" s="129" t="s">
        <v>765</v>
      </c>
    </row>
    <row r="568" spans="1:2" ht="15" x14ac:dyDescent="0.25">
      <c r="A568" s="136"/>
      <c r="B568" s="129" t="s">
        <v>766</v>
      </c>
    </row>
    <row r="569" spans="1:2" ht="15" x14ac:dyDescent="0.25">
      <c r="A569" s="136"/>
      <c r="B569" s="129" t="s">
        <v>763</v>
      </c>
    </row>
    <row r="570" spans="1:2" ht="15" x14ac:dyDescent="0.2">
      <c r="A570" s="130" t="s">
        <v>242</v>
      </c>
      <c r="B570" s="129" t="s">
        <v>767</v>
      </c>
    </row>
    <row r="571" spans="1:2" ht="15" x14ac:dyDescent="0.2">
      <c r="A571" s="130" t="s">
        <v>242</v>
      </c>
      <c r="B571" s="129" t="s">
        <v>423</v>
      </c>
    </row>
    <row r="572" spans="1:2" ht="42.75" x14ac:dyDescent="0.2">
      <c r="A572" s="130" t="s">
        <v>242</v>
      </c>
      <c r="B572" s="137" t="s">
        <v>768</v>
      </c>
    </row>
    <row r="573" spans="1:2" ht="15" x14ac:dyDescent="0.2">
      <c r="A573" s="130" t="s">
        <v>242</v>
      </c>
      <c r="B573" s="129" t="s">
        <v>430</v>
      </c>
    </row>
    <row r="574" spans="1:2" ht="15" x14ac:dyDescent="0.25">
      <c r="A574" s="136"/>
      <c r="B574" s="129" t="s">
        <v>769</v>
      </c>
    </row>
    <row r="575" spans="1:2" ht="15" x14ac:dyDescent="0.25">
      <c r="A575" s="136"/>
      <c r="B575" s="129" t="s">
        <v>770</v>
      </c>
    </row>
    <row r="576" spans="1:2" ht="15" x14ac:dyDescent="0.25">
      <c r="A576" s="136"/>
      <c r="B576" s="129" t="s">
        <v>771</v>
      </c>
    </row>
    <row r="577" spans="1:2" ht="15" x14ac:dyDescent="0.2">
      <c r="A577" s="82" t="s">
        <v>13</v>
      </c>
      <c r="B577" s="129" t="s">
        <v>658</v>
      </c>
    </row>
    <row r="578" spans="1:2" ht="28.5" x14ac:dyDescent="0.2">
      <c r="A578" s="130" t="s">
        <v>242</v>
      </c>
      <c r="B578" s="137" t="s">
        <v>772</v>
      </c>
    </row>
    <row r="579" spans="1:2" ht="28.5" x14ac:dyDescent="0.2">
      <c r="A579" s="130" t="s">
        <v>242</v>
      </c>
      <c r="B579" s="137" t="s">
        <v>773</v>
      </c>
    </row>
    <row r="580" spans="1:2" ht="15" x14ac:dyDescent="0.2">
      <c r="A580" s="130" t="s">
        <v>242</v>
      </c>
      <c r="B580" s="129" t="s">
        <v>774</v>
      </c>
    </row>
    <row r="581" spans="1:2" ht="15" x14ac:dyDescent="0.2">
      <c r="A581" s="130" t="s">
        <v>242</v>
      </c>
      <c r="B581" s="129" t="s">
        <v>775</v>
      </c>
    </row>
    <row r="582" spans="1:2" ht="15" x14ac:dyDescent="0.25">
      <c r="A582" s="101"/>
      <c r="B582" s="102"/>
    </row>
    <row r="583" spans="1:2" ht="15" x14ac:dyDescent="0.2">
      <c r="A583" s="138" t="s">
        <v>776</v>
      </c>
      <c r="B583" s="139" t="s">
        <v>777</v>
      </c>
    </row>
    <row r="584" spans="1:2" ht="15" x14ac:dyDescent="0.2">
      <c r="A584" s="85"/>
      <c r="B584" s="140"/>
    </row>
    <row r="585" spans="1:2" ht="71.25" x14ac:dyDescent="0.2">
      <c r="A585" s="82" t="s">
        <v>13</v>
      </c>
      <c r="B585" s="120" t="s">
        <v>778</v>
      </c>
    </row>
    <row r="586" spans="1:2" ht="42.75" x14ac:dyDescent="0.2">
      <c r="A586" s="141" t="s">
        <v>779</v>
      </c>
      <c r="B586" s="142" t="s">
        <v>780</v>
      </c>
    </row>
    <row r="587" spans="1:2" ht="28.5" x14ac:dyDescent="0.2">
      <c r="A587" s="141" t="s">
        <v>781</v>
      </c>
      <c r="B587" s="142" t="s">
        <v>782</v>
      </c>
    </row>
    <row r="588" spans="1:2" ht="15" x14ac:dyDescent="0.2">
      <c r="A588" s="141" t="s">
        <v>783</v>
      </c>
      <c r="B588" s="142" t="s">
        <v>784</v>
      </c>
    </row>
    <row r="589" spans="1:2" ht="28.5" x14ac:dyDescent="0.2">
      <c r="A589" s="141" t="s">
        <v>785</v>
      </c>
      <c r="B589" s="142" t="s">
        <v>786</v>
      </c>
    </row>
    <row r="590" spans="1:2" ht="28.5" x14ac:dyDescent="0.2">
      <c r="A590" s="141" t="s">
        <v>787</v>
      </c>
      <c r="B590" s="142" t="s">
        <v>788</v>
      </c>
    </row>
    <row r="591" spans="1:2" ht="28.5" x14ac:dyDescent="0.2">
      <c r="A591" s="141" t="s">
        <v>789</v>
      </c>
      <c r="B591" s="142" t="s">
        <v>790</v>
      </c>
    </row>
    <row r="592" spans="1:2" ht="28.5" x14ac:dyDescent="0.2">
      <c r="A592" s="141" t="s">
        <v>791</v>
      </c>
      <c r="B592" s="142" t="s">
        <v>792</v>
      </c>
    </row>
    <row r="593" spans="1:2" ht="57" x14ac:dyDescent="0.2">
      <c r="A593" s="141" t="s">
        <v>793</v>
      </c>
      <c r="B593" s="142" t="s">
        <v>794</v>
      </c>
    </row>
    <row r="594" spans="1:2" ht="15" x14ac:dyDescent="0.2">
      <c r="A594" s="85"/>
      <c r="B594" s="140"/>
    </row>
    <row r="595" spans="1:2" ht="15" x14ac:dyDescent="0.25">
      <c r="A595" s="127"/>
      <c r="B595" s="128" t="s">
        <v>795</v>
      </c>
    </row>
    <row r="596" spans="1:2" ht="28.5" x14ac:dyDescent="0.2">
      <c r="A596" s="82" t="s">
        <v>13</v>
      </c>
      <c r="B596" s="137" t="s">
        <v>796</v>
      </c>
    </row>
    <row r="597" spans="1:2" ht="15" x14ac:dyDescent="0.2">
      <c r="A597" s="82" t="s">
        <v>13</v>
      </c>
      <c r="B597" s="121" t="s">
        <v>797</v>
      </c>
    </row>
    <row r="598" spans="1:2" ht="15" x14ac:dyDescent="0.2">
      <c r="A598" s="85" t="s">
        <v>242</v>
      </c>
      <c r="B598" s="121" t="s">
        <v>243</v>
      </c>
    </row>
    <row r="599" spans="1:2" ht="15" x14ac:dyDescent="0.2">
      <c r="A599" s="85" t="s">
        <v>242</v>
      </c>
      <c r="B599" s="121" t="s">
        <v>798</v>
      </c>
    </row>
    <row r="600" spans="1:2" ht="15" x14ac:dyDescent="0.2">
      <c r="A600" s="85" t="s">
        <v>242</v>
      </c>
      <c r="B600" s="121" t="s">
        <v>799</v>
      </c>
    </row>
    <row r="601" spans="1:2" ht="15" x14ac:dyDescent="0.2">
      <c r="A601" s="85" t="s">
        <v>242</v>
      </c>
      <c r="B601" s="121" t="s">
        <v>800</v>
      </c>
    </row>
    <row r="602" spans="1:2" ht="15" x14ac:dyDescent="0.2">
      <c r="A602" s="85" t="s">
        <v>242</v>
      </c>
      <c r="B602" s="121" t="s">
        <v>801</v>
      </c>
    </row>
    <row r="603" spans="1:2" ht="15" x14ac:dyDescent="0.2">
      <c r="A603" s="82" t="s">
        <v>13</v>
      </c>
      <c r="B603" s="121" t="s">
        <v>802</v>
      </c>
    </row>
    <row r="604" spans="1:2" ht="15" x14ac:dyDescent="0.2">
      <c r="A604" s="82" t="s">
        <v>13</v>
      </c>
      <c r="B604" s="121" t="s">
        <v>415</v>
      </c>
    </row>
    <row r="605" spans="1:2" ht="15" x14ac:dyDescent="0.2">
      <c r="A605" s="85" t="s">
        <v>242</v>
      </c>
      <c r="B605" s="121" t="s">
        <v>803</v>
      </c>
    </row>
    <row r="606" spans="1:2" ht="15" x14ac:dyDescent="0.2">
      <c r="A606" s="85" t="s">
        <v>242</v>
      </c>
      <c r="B606" s="121" t="s">
        <v>804</v>
      </c>
    </row>
    <row r="607" spans="1:2" ht="15" x14ac:dyDescent="0.2">
      <c r="A607" s="85" t="s">
        <v>242</v>
      </c>
      <c r="B607" s="121" t="s">
        <v>805</v>
      </c>
    </row>
    <row r="608" spans="1:2" ht="15" x14ac:dyDescent="0.2">
      <c r="A608" s="85" t="s">
        <v>242</v>
      </c>
      <c r="B608" s="121" t="s">
        <v>806</v>
      </c>
    </row>
    <row r="609" spans="1:2" ht="15" x14ac:dyDescent="0.2">
      <c r="A609" s="82" t="s">
        <v>13</v>
      </c>
      <c r="B609" s="121" t="s">
        <v>658</v>
      </c>
    </row>
    <row r="610" spans="1:2" ht="15" x14ac:dyDescent="0.2">
      <c r="A610" s="85" t="s">
        <v>242</v>
      </c>
      <c r="B610" s="121" t="s">
        <v>807</v>
      </c>
    </row>
    <row r="611" spans="1:2" ht="15" x14ac:dyDescent="0.2">
      <c r="A611" s="85" t="s">
        <v>242</v>
      </c>
      <c r="B611" s="121" t="s">
        <v>808</v>
      </c>
    </row>
    <row r="612" spans="1:2" ht="15" x14ac:dyDescent="0.2">
      <c r="A612" s="91"/>
      <c r="B612" s="88"/>
    </row>
    <row r="613" spans="1:2" ht="15" x14ac:dyDescent="0.2">
      <c r="A613" s="97" t="s">
        <v>809</v>
      </c>
      <c r="B613" s="131" t="s">
        <v>810</v>
      </c>
    </row>
    <row r="614" spans="1:2" ht="15" x14ac:dyDescent="0.2">
      <c r="A614" s="85"/>
      <c r="B614" s="87"/>
    </row>
    <row r="615" spans="1:2" ht="29.25" x14ac:dyDescent="0.2">
      <c r="A615" s="82" t="s">
        <v>13</v>
      </c>
      <c r="B615" s="120" t="s">
        <v>811</v>
      </c>
    </row>
    <row r="616" spans="1:2" ht="42.75" x14ac:dyDescent="0.2">
      <c r="A616" s="82" t="s">
        <v>812</v>
      </c>
      <c r="B616" s="87" t="s">
        <v>813</v>
      </c>
    </row>
    <row r="617" spans="1:2" ht="28.5" x14ac:dyDescent="0.2">
      <c r="A617" s="82" t="s">
        <v>814</v>
      </c>
      <c r="B617" s="87" t="s">
        <v>711</v>
      </c>
    </row>
    <row r="618" spans="1:2" ht="28.5" x14ac:dyDescent="0.2">
      <c r="A618" s="82" t="s">
        <v>815</v>
      </c>
      <c r="B618" s="87" t="s">
        <v>713</v>
      </c>
    </row>
    <row r="619" spans="1:2" ht="15" x14ac:dyDescent="0.2">
      <c r="A619" s="82" t="s">
        <v>816</v>
      </c>
      <c r="B619" s="143" t="s">
        <v>817</v>
      </c>
    </row>
    <row r="620" spans="1:2" ht="28.5" x14ac:dyDescent="0.2">
      <c r="A620" s="82" t="s">
        <v>818</v>
      </c>
      <c r="B620" s="88" t="s">
        <v>819</v>
      </c>
    </row>
    <row r="621" spans="1:2" ht="28.5" x14ac:dyDescent="0.2">
      <c r="A621" s="82" t="s">
        <v>820</v>
      </c>
      <c r="B621" s="87" t="s">
        <v>821</v>
      </c>
    </row>
    <row r="622" spans="1:2" ht="71.25" x14ac:dyDescent="0.2">
      <c r="A622" s="82" t="s">
        <v>822</v>
      </c>
      <c r="B622" s="87" t="s">
        <v>823</v>
      </c>
    </row>
    <row r="623" spans="1:2" ht="99.75" x14ac:dyDescent="0.2">
      <c r="A623" s="82" t="s">
        <v>824</v>
      </c>
      <c r="B623" s="87" t="s">
        <v>825</v>
      </c>
    </row>
    <row r="624" spans="1:2" ht="71.25" x14ac:dyDescent="0.2">
      <c r="A624" s="82" t="s">
        <v>826</v>
      </c>
      <c r="B624" s="87" t="s">
        <v>827</v>
      </c>
    </row>
    <row r="625" spans="1:2" ht="99.75" x14ac:dyDescent="0.2">
      <c r="A625" s="82" t="s">
        <v>828</v>
      </c>
      <c r="B625" s="87" t="s">
        <v>829</v>
      </c>
    </row>
    <row r="626" spans="1:2" ht="85.5" x14ac:dyDescent="0.2">
      <c r="A626" s="82" t="s">
        <v>830</v>
      </c>
      <c r="B626" s="87" t="s">
        <v>831</v>
      </c>
    </row>
    <row r="627" spans="1:2" ht="142.5" x14ac:dyDescent="0.2">
      <c r="A627" s="82" t="s">
        <v>832</v>
      </c>
      <c r="B627" s="87" t="s">
        <v>833</v>
      </c>
    </row>
    <row r="628" spans="1:2" ht="128.25" x14ac:dyDescent="0.2">
      <c r="A628" s="82" t="s">
        <v>834</v>
      </c>
      <c r="B628" s="87" t="s">
        <v>835</v>
      </c>
    </row>
    <row r="629" spans="1:2" ht="71.25" x14ac:dyDescent="0.2">
      <c r="A629" s="82" t="s">
        <v>836</v>
      </c>
      <c r="B629" s="87" t="s">
        <v>837</v>
      </c>
    </row>
    <row r="630" spans="1:2" ht="71.25" x14ac:dyDescent="0.2">
      <c r="A630" s="82" t="s">
        <v>838</v>
      </c>
      <c r="B630" s="87" t="s">
        <v>839</v>
      </c>
    </row>
    <row r="631" spans="1:2" ht="42.75" x14ac:dyDescent="0.2">
      <c r="A631" s="82" t="s">
        <v>840</v>
      </c>
      <c r="B631" s="87" t="s">
        <v>841</v>
      </c>
    </row>
    <row r="632" spans="1:2" ht="42.75" x14ac:dyDescent="0.2">
      <c r="A632" s="82" t="s">
        <v>842</v>
      </c>
      <c r="B632" s="87" t="s">
        <v>843</v>
      </c>
    </row>
    <row r="633" spans="1:2" ht="15" x14ac:dyDescent="0.2">
      <c r="A633" s="85"/>
      <c r="B633" s="87"/>
    </row>
    <row r="634" spans="1:2" ht="15" x14ac:dyDescent="0.25">
      <c r="A634" s="144"/>
      <c r="B634" s="145" t="s">
        <v>739</v>
      </c>
    </row>
    <row r="635" spans="1:2" ht="15" x14ac:dyDescent="0.2">
      <c r="A635" s="82" t="s">
        <v>13</v>
      </c>
      <c r="B635" s="137" t="s">
        <v>767</v>
      </c>
    </row>
    <row r="636" spans="1:2" ht="15" x14ac:dyDescent="0.2">
      <c r="A636" s="82" t="s">
        <v>13</v>
      </c>
      <c r="B636" s="137" t="s">
        <v>423</v>
      </c>
    </row>
    <row r="637" spans="1:2" ht="28.5" x14ac:dyDescent="0.2">
      <c r="A637" s="85" t="s">
        <v>242</v>
      </c>
      <c r="B637" s="137" t="s">
        <v>844</v>
      </c>
    </row>
    <row r="638" spans="1:2" ht="15" x14ac:dyDescent="0.2">
      <c r="A638" s="85" t="s">
        <v>242</v>
      </c>
      <c r="B638" s="137" t="s">
        <v>845</v>
      </c>
    </row>
    <row r="639" spans="1:2" ht="15" x14ac:dyDescent="0.2">
      <c r="A639" s="82" t="s">
        <v>13</v>
      </c>
      <c r="B639" s="137" t="s">
        <v>430</v>
      </c>
    </row>
    <row r="640" spans="1:2" ht="15" x14ac:dyDescent="0.25">
      <c r="A640" s="136"/>
      <c r="B640" s="137" t="s">
        <v>846</v>
      </c>
    </row>
    <row r="641" spans="1:2" ht="15" x14ac:dyDescent="0.25">
      <c r="A641" s="136"/>
      <c r="B641" s="137" t="s">
        <v>847</v>
      </c>
    </row>
    <row r="642" spans="1:2" ht="15" x14ac:dyDescent="0.25">
      <c r="A642" s="136"/>
      <c r="B642" s="137" t="s">
        <v>848</v>
      </c>
    </row>
    <row r="643" spans="1:2" ht="15" x14ac:dyDescent="0.2">
      <c r="A643" s="82" t="s">
        <v>13</v>
      </c>
      <c r="B643" s="137" t="s">
        <v>658</v>
      </c>
    </row>
    <row r="644" spans="1:2" ht="28.5" x14ac:dyDescent="0.2">
      <c r="A644" s="85" t="s">
        <v>242</v>
      </c>
      <c r="B644" s="137" t="s">
        <v>772</v>
      </c>
    </row>
    <row r="645" spans="1:2" ht="28.5" x14ac:dyDescent="0.2">
      <c r="A645" s="85" t="s">
        <v>242</v>
      </c>
      <c r="B645" s="137" t="s">
        <v>849</v>
      </c>
    </row>
    <row r="646" spans="1:2" ht="15" x14ac:dyDescent="0.2">
      <c r="A646" s="85" t="s">
        <v>242</v>
      </c>
      <c r="B646" s="137" t="s">
        <v>774</v>
      </c>
    </row>
    <row r="647" spans="1:2" ht="15" x14ac:dyDescent="0.2">
      <c r="A647" s="85" t="s">
        <v>242</v>
      </c>
      <c r="B647" s="137" t="s">
        <v>775</v>
      </c>
    </row>
    <row r="648" spans="1:2" ht="15" x14ac:dyDescent="0.2">
      <c r="A648" s="85"/>
      <c r="B648" s="87"/>
    </row>
    <row r="649" spans="1:2" ht="15" x14ac:dyDescent="0.2">
      <c r="A649" s="118" t="s">
        <v>850</v>
      </c>
      <c r="B649" s="146" t="s">
        <v>851</v>
      </c>
    </row>
    <row r="650" spans="1:2" ht="15" x14ac:dyDescent="0.2">
      <c r="A650" s="147"/>
      <c r="B650" s="140"/>
    </row>
    <row r="651" spans="1:2" ht="29.25" x14ac:dyDescent="0.2">
      <c r="A651" s="82" t="s">
        <v>13</v>
      </c>
      <c r="B651" s="120" t="s">
        <v>852</v>
      </c>
    </row>
    <row r="652" spans="1:2" ht="42.75" x14ac:dyDescent="0.2">
      <c r="A652" s="82" t="s">
        <v>853</v>
      </c>
      <c r="B652" s="87" t="s">
        <v>854</v>
      </c>
    </row>
    <row r="653" spans="1:2" ht="28.5" x14ac:dyDescent="0.2">
      <c r="A653" s="82" t="s">
        <v>855</v>
      </c>
      <c r="B653" s="87" t="s">
        <v>856</v>
      </c>
    </row>
    <row r="654" spans="1:2" ht="71.25" x14ac:dyDescent="0.2">
      <c r="A654" s="82" t="s">
        <v>857</v>
      </c>
      <c r="B654" s="87" t="s">
        <v>858</v>
      </c>
    </row>
    <row r="655" spans="1:2" ht="15" x14ac:dyDescent="0.2">
      <c r="A655" s="82" t="s">
        <v>859</v>
      </c>
      <c r="B655" s="87" t="s">
        <v>860</v>
      </c>
    </row>
    <row r="656" spans="1:2" ht="71.25" x14ac:dyDescent="0.2">
      <c r="A656" s="82" t="s">
        <v>861</v>
      </c>
      <c r="B656" s="87" t="s">
        <v>862</v>
      </c>
    </row>
    <row r="657" spans="1:2" ht="28.5" x14ac:dyDescent="0.2">
      <c r="A657" s="82" t="s">
        <v>863</v>
      </c>
      <c r="B657" s="87" t="s">
        <v>864</v>
      </c>
    </row>
    <row r="658" spans="1:2" ht="15" x14ac:dyDescent="0.2">
      <c r="A658" s="82" t="s">
        <v>865</v>
      </c>
      <c r="B658" s="87" t="s">
        <v>866</v>
      </c>
    </row>
    <row r="659" spans="1:2" ht="42.75" x14ac:dyDescent="0.2">
      <c r="A659" s="82" t="s">
        <v>867</v>
      </c>
      <c r="B659" s="87" t="s">
        <v>868</v>
      </c>
    </row>
    <row r="660" spans="1:2" ht="15" x14ac:dyDescent="0.2">
      <c r="A660" s="85"/>
      <c r="B660" s="87"/>
    </row>
    <row r="661" spans="1:2" ht="15" x14ac:dyDescent="0.2">
      <c r="A661" s="148"/>
      <c r="B661" s="149" t="s">
        <v>869</v>
      </c>
    </row>
    <row r="662" spans="1:2" ht="15" x14ac:dyDescent="0.2">
      <c r="A662" s="147" t="s">
        <v>870</v>
      </c>
      <c r="B662" s="133" t="s">
        <v>871</v>
      </c>
    </row>
    <row r="663" spans="1:2" ht="15" x14ac:dyDescent="0.2">
      <c r="A663" s="147" t="s">
        <v>872</v>
      </c>
      <c r="B663" s="112" t="s">
        <v>873</v>
      </c>
    </row>
    <row r="664" spans="1:2" ht="15" x14ac:dyDescent="0.2">
      <c r="A664" s="147"/>
      <c r="B664" s="113" t="s">
        <v>874</v>
      </c>
    </row>
    <row r="665" spans="1:2" ht="15" x14ac:dyDescent="0.2">
      <c r="A665" s="147" t="s">
        <v>875</v>
      </c>
      <c r="B665" s="112" t="s">
        <v>876</v>
      </c>
    </row>
    <row r="666" spans="1:2" ht="15" x14ac:dyDescent="0.2">
      <c r="A666" s="147"/>
      <c r="B666" s="113" t="s">
        <v>877</v>
      </c>
    </row>
    <row r="667" spans="1:2" ht="15" x14ac:dyDescent="0.2">
      <c r="A667" s="147"/>
      <c r="B667" s="112" t="s">
        <v>878</v>
      </c>
    </row>
    <row r="668" spans="1:2" ht="15" x14ac:dyDescent="0.2">
      <c r="A668" s="147"/>
      <c r="B668" s="133" t="s">
        <v>879</v>
      </c>
    </row>
    <row r="669" spans="1:2" ht="15" x14ac:dyDescent="0.2">
      <c r="A669" s="147" t="s">
        <v>880</v>
      </c>
      <c r="B669" s="112" t="s">
        <v>881</v>
      </c>
    </row>
    <row r="670" spans="1:2" ht="15" x14ac:dyDescent="0.2">
      <c r="A670" s="147"/>
      <c r="B670" s="113" t="s">
        <v>882</v>
      </c>
    </row>
    <row r="671" spans="1:2" ht="15" x14ac:dyDescent="0.2">
      <c r="A671" s="147" t="s">
        <v>883</v>
      </c>
      <c r="B671" s="112" t="s">
        <v>884</v>
      </c>
    </row>
    <row r="672" spans="1:2" ht="15" x14ac:dyDescent="0.2">
      <c r="A672" s="147"/>
      <c r="B672" s="113" t="s">
        <v>885</v>
      </c>
    </row>
    <row r="673" spans="1:2" ht="15" x14ac:dyDescent="0.2">
      <c r="A673" s="147" t="s">
        <v>886</v>
      </c>
      <c r="B673" s="112" t="s">
        <v>887</v>
      </c>
    </row>
    <row r="674" spans="1:2" ht="15" x14ac:dyDescent="0.2">
      <c r="A674" s="147"/>
      <c r="B674" s="113" t="s">
        <v>888</v>
      </c>
    </row>
    <row r="675" spans="1:2" ht="15" x14ac:dyDescent="0.2">
      <c r="A675" s="147" t="s">
        <v>889</v>
      </c>
      <c r="B675" s="112" t="s">
        <v>890</v>
      </c>
    </row>
    <row r="676" spans="1:2" ht="15" x14ac:dyDescent="0.2">
      <c r="A676" s="147"/>
      <c r="B676" s="113" t="s">
        <v>891</v>
      </c>
    </row>
    <row r="677" spans="1:2" ht="15" x14ac:dyDescent="0.2">
      <c r="A677" s="147" t="s">
        <v>892</v>
      </c>
      <c r="B677" s="113" t="s">
        <v>893</v>
      </c>
    </row>
    <row r="678" spans="1:2" ht="15" x14ac:dyDescent="0.2">
      <c r="A678" s="147"/>
      <c r="B678" s="113" t="s">
        <v>894</v>
      </c>
    </row>
    <row r="679" spans="1:2" ht="15" x14ac:dyDescent="0.2">
      <c r="A679" s="147" t="s">
        <v>895</v>
      </c>
      <c r="B679" s="125" t="s">
        <v>869</v>
      </c>
    </row>
    <row r="680" spans="1:2" ht="15" x14ac:dyDescent="0.2">
      <c r="A680" s="147"/>
      <c r="B680" s="94" t="s">
        <v>879</v>
      </c>
    </row>
    <row r="681" spans="1:2" ht="15" x14ac:dyDescent="0.2">
      <c r="A681" s="147"/>
      <c r="B681" s="94" t="s">
        <v>896</v>
      </c>
    </row>
    <row r="682" spans="1:2" ht="15" x14ac:dyDescent="0.2">
      <c r="A682" s="147"/>
      <c r="B682" s="94" t="s">
        <v>897</v>
      </c>
    </row>
    <row r="683" spans="1:2" ht="15" x14ac:dyDescent="0.2">
      <c r="A683" s="147"/>
      <c r="B683" s="140"/>
    </row>
    <row r="684" spans="1:2" ht="15" x14ac:dyDescent="0.25">
      <c r="A684" s="127"/>
      <c r="B684" s="128" t="s">
        <v>898</v>
      </c>
    </row>
    <row r="685" spans="1:2" ht="114" x14ac:dyDescent="0.2">
      <c r="A685" s="85" t="s">
        <v>242</v>
      </c>
      <c r="B685" s="87" t="s">
        <v>899</v>
      </c>
    </row>
    <row r="686" spans="1:2" ht="199.5" x14ac:dyDescent="0.2">
      <c r="A686" s="85" t="s">
        <v>242</v>
      </c>
      <c r="B686" s="87" t="s">
        <v>900</v>
      </c>
    </row>
    <row r="687" spans="1:2" ht="99.75" x14ac:dyDescent="0.2">
      <c r="A687" s="85" t="s">
        <v>242</v>
      </c>
      <c r="B687" s="87" t="s">
        <v>901</v>
      </c>
    </row>
    <row r="688" spans="1:2" ht="185.25" x14ac:dyDescent="0.2">
      <c r="A688" s="85" t="s">
        <v>242</v>
      </c>
      <c r="B688" s="87" t="s">
        <v>902</v>
      </c>
    </row>
    <row r="689" spans="1:2" ht="114" x14ac:dyDescent="0.2">
      <c r="A689" s="85" t="s">
        <v>242</v>
      </c>
      <c r="B689" s="87" t="s">
        <v>903</v>
      </c>
    </row>
    <row r="690" spans="1:2" ht="71.25" x14ac:dyDescent="0.2">
      <c r="A690" s="85" t="s">
        <v>242</v>
      </c>
      <c r="B690" s="87" t="s">
        <v>904</v>
      </c>
    </row>
    <row r="691" spans="1:2" ht="15" x14ac:dyDescent="0.25">
      <c r="A691" s="127"/>
      <c r="B691" s="128" t="s">
        <v>905</v>
      </c>
    </row>
    <row r="692" spans="1:2" ht="85.5" x14ac:dyDescent="0.2">
      <c r="A692" s="85" t="s">
        <v>242</v>
      </c>
      <c r="B692" s="87" t="s">
        <v>906</v>
      </c>
    </row>
    <row r="693" spans="1:2" ht="171" x14ac:dyDescent="0.2">
      <c r="A693" s="85" t="s">
        <v>242</v>
      </c>
      <c r="B693" s="87" t="s">
        <v>907</v>
      </c>
    </row>
    <row r="694" spans="1:2" ht="156.75" x14ac:dyDescent="0.2">
      <c r="A694" s="85" t="s">
        <v>242</v>
      </c>
      <c r="B694" s="87" t="s">
        <v>908</v>
      </c>
    </row>
    <row r="695" spans="1:2" ht="142.5" x14ac:dyDescent="0.2">
      <c r="A695" s="85" t="s">
        <v>242</v>
      </c>
      <c r="B695" s="87" t="s">
        <v>909</v>
      </c>
    </row>
    <row r="696" spans="1:2" ht="171" x14ac:dyDescent="0.2">
      <c r="A696" s="85" t="s">
        <v>242</v>
      </c>
      <c r="B696" s="87" t="s">
        <v>910</v>
      </c>
    </row>
    <row r="697" spans="1:2" ht="114" x14ac:dyDescent="0.2">
      <c r="A697" s="85" t="s">
        <v>242</v>
      </c>
      <c r="B697" s="87" t="s">
        <v>903</v>
      </c>
    </row>
    <row r="698" spans="1:2" ht="71.25" x14ac:dyDescent="0.2">
      <c r="A698" s="85" t="s">
        <v>242</v>
      </c>
      <c r="B698" s="87" t="s">
        <v>904</v>
      </c>
    </row>
    <row r="699" spans="1:2" ht="15" x14ac:dyDescent="0.2">
      <c r="A699" s="85"/>
      <c r="B699" s="87"/>
    </row>
    <row r="700" spans="1:2" ht="15" x14ac:dyDescent="0.2">
      <c r="A700" s="138" t="s">
        <v>911</v>
      </c>
      <c r="B700" s="139" t="s">
        <v>912</v>
      </c>
    </row>
    <row r="701" spans="1:2" ht="15" x14ac:dyDescent="0.2">
      <c r="A701" s="85"/>
      <c r="B701" s="102"/>
    </row>
    <row r="702" spans="1:2" ht="28.5" x14ac:dyDescent="0.2">
      <c r="A702" s="82" t="s">
        <v>13</v>
      </c>
      <c r="B702" s="120" t="s">
        <v>913</v>
      </c>
    </row>
    <row r="703" spans="1:2" ht="28.5" x14ac:dyDescent="0.2">
      <c r="A703" s="85" t="s">
        <v>914</v>
      </c>
      <c r="B703" s="87" t="s">
        <v>915</v>
      </c>
    </row>
    <row r="704" spans="1:2" ht="42.75" x14ac:dyDescent="0.2">
      <c r="A704" s="85" t="s">
        <v>916</v>
      </c>
      <c r="B704" s="87" t="s">
        <v>917</v>
      </c>
    </row>
    <row r="705" spans="1:2" ht="28.5" x14ac:dyDescent="0.2">
      <c r="A705" s="85" t="s">
        <v>918</v>
      </c>
      <c r="B705" s="87" t="s">
        <v>919</v>
      </c>
    </row>
    <row r="706" spans="1:2" ht="15" x14ac:dyDescent="0.2">
      <c r="A706" s="85" t="s">
        <v>920</v>
      </c>
      <c r="B706" s="87" t="s">
        <v>921</v>
      </c>
    </row>
    <row r="707" spans="1:2" ht="57" x14ac:dyDescent="0.2">
      <c r="A707" s="85" t="s">
        <v>922</v>
      </c>
      <c r="B707" s="87" t="s">
        <v>923</v>
      </c>
    </row>
    <row r="708" spans="1:2" ht="71.25" x14ac:dyDescent="0.2">
      <c r="A708" s="85" t="s">
        <v>924</v>
      </c>
      <c r="B708" s="87" t="s">
        <v>925</v>
      </c>
    </row>
    <row r="709" spans="1:2" ht="171" x14ac:dyDescent="0.2">
      <c r="A709" s="85" t="s">
        <v>926</v>
      </c>
      <c r="B709" s="87" t="s">
        <v>927</v>
      </c>
    </row>
    <row r="710" spans="1:2" ht="128.25" x14ac:dyDescent="0.2">
      <c r="A710" s="85" t="s">
        <v>928</v>
      </c>
      <c r="B710" s="87" t="s">
        <v>929</v>
      </c>
    </row>
    <row r="711" spans="1:2" ht="57" x14ac:dyDescent="0.2">
      <c r="A711" s="85" t="s">
        <v>930</v>
      </c>
      <c r="B711" s="87" t="s">
        <v>931</v>
      </c>
    </row>
    <row r="712" spans="1:2" ht="28.5" x14ac:dyDescent="0.2">
      <c r="A712" s="85" t="s">
        <v>932</v>
      </c>
      <c r="B712" s="87" t="s">
        <v>933</v>
      </c>
    </row>
    <row r="713" spans="1:2" ht="28.5" x14ac:dyDescent="0.2">
      <c r="A713" s="85" t="s">
        <v>934</v>
      </c>
      <c r="B713" s="87" t="s">
        <v>935</v>
      </c>
    </row>
    <row r="714" spans="1:2" ht="28.5" x14ac:dyDescent="0.2">
      <c r="A714" s="85" t="s">
        <v>936</v>
      </c>
      <c r="B714" s="87" t="s">
        <v>937</v>
      </c>
    </row>
    <row r="715" spans="1:2" ht="28.5" x14ac:dyDescent="0.2">
      <c r="A715" s="85" t="s">
        <v>938</v>
      </c>
      <c r="B715" s="87" t="s">
        <v>939</v>
      </c>
    </row>
    <row r="716" spans="1:2" ht="15" x14ac:dyDescent="0.2">
      <c r="A716" s="150"/>
      <c r="B716" s="151"/>
    </row>
    <row r="717" spans="1:2" ht="15" x14ac:dyDescent="0.2">
      <c r="A717" s="152"/>
      <c r="B717" s="111" t="s">
        <v>940</v>
      </c>
    </row>
    <row r="718" spans="1:2" ht="15" x14ac:dyDescent="0.2">
      <c r="A718" s="85" t="s">
        <v>941</v>
      </c>
      <c r="B718" s="112" t="s">
        <v>942</v>
      </c>
    </row>
    <row r="719" spans="1:2" ht="57" x14ac:dyDescent="0.2">
      <c r="A719" s="85"/>
      <c r="B719" s="112" t="s">
        <v>943</v>
      </c>
    </row>
    <row r="720" spans="1:2" ht="15" x14ac:dyDescent="0.2">
      <c r="A720" s="85" t="s">
        <v>944</v>
      </c>
      <c r="B720" s="112" t="s">
        <v>945</v>
      </c>
    </row>
    <row r="721" spans="1:2" ht="171" x14ac:dyDescent="0.2">
      <c r="A721" s="85"/>
      <c r="B721" s="112" t="s">
        <v>946</v>
      </c>
    </row>
    <row r="722" spans="1:2" ht="15" x14ac:dyDescent="0.2">
      <c r="A722" s="85" t="s">
        <v>947</v>
      </c>
      <c r="B722" s="112" t="s">
        <v>948</v>
      </c>
    </row>
    <row r="723" spans="1:2" ht="15" x14ac:dyDescent="0.2">
      <c r="A723" s="85"/>
      <c r="B723" s="113" t="s">
        <v>949</v>
      </c>
    </row>
    <row r="724" spans="1:2" ht="15" x14ac:dyDescent="0.2">
      <c r="A724" s="85" t="s">
        <v>950</v>
      </c>
      <c r="B724" s="112" t="s">
        <v>951</v>
      </c>
    </row>
    <row r="725" spans="1:2" ht="15" x14ac:dyDescent="0.2">
      <c r="A725" s="85"/>
      <c r="B725" s="112" t="s">
        <v>952</v>
      </c>
    </row>
    <row r="726" spans="1:2" ht="15" x14ac:dyDescent="0.2">
      <c r="A726" s="85"/>
      <c r="B726" s="113" t="s">
        <v>893</v>
      </c>
    </row>
    <row r="727" spans="1:2" ht="15" x14ac:dyDescent="0.2">
      <c r="A727" s="85"/>
      <c r="B727" s="113" t="s">
        <v>894</v>
      </c>
    </row>
    <row r="728" spans="1:2" ht="15" x14ac:dyDescent="0.2">
      <c r="A728" s="85"/>
      <c r="B728" s="113" t="s">
        <v>953</v>
      </c>
    </row>
    <row r="729" spans="1:2" ht="15" x14ac:dyDescent="0.2">
      <c r="A729" s="85"/>
      <c r="B729" s="113" t="s">
        <v>954</v>
      </c>
    </row>
    <row r="730" spans="1:2" ht="15" x14ac:dyDescent="0.2">
      <c r="A730" s="85" t="s">
        <v>955</v>
      </c>
      <c r="B730" s="113" t="s">
        <v>956</v>
      </c>
    </row>
    <row r="731" spans="1:2" ht="15" x14ac:dyDescent="0.2">
      <c r="A731" s="85"/>
      <c r="B731" s="113" t="s">
        <v>957</v>
      </c>
    </row>
    <row r="732" spans="1:2" ht="15" x14ac:dyDescent="0.2">
      <c r="A732" s="85"/>
      <c r="B732" s="113" t="s">
        <v>958</v>
      </c>
    </row>
    <row r="733" spans="1:2" ht="15" x14ac:dyDescent="0.2">
      <c r="A733" s="85"/>
      <c r="B733" s="113" t="s">
        <v>959</v>
      </c>
    </row>
    <row r="734" spans="1:2" ht="15" x14ac:dyDescent="0.2">
      <c r="A734" s="85" t="s">
        <v>960</v>
      </c>
      <c r="B734" s="113" t="s">
        <v>961</v>
      </c>
    </row>
    <row r="735" spans="1:2" ht="15" x14ac:dyDescent="0.2">
      <c r="A735" s="85"/>
      <c r="B735" s="113" t="s">
        <v>962</v>
      </c>
    </row>
    <row r="736" spans="1:2" ht="15" x14ac:dyDescent="0.2">
      <c r="A736" s="85" t="s">
        <v>963</v>
      </c>
      <c r="B736" s="113" t="s">
        <v>964</v>
      </c>
    </row>
    <row r="737" spans="1:2" ht="15" x14ac:dyDescent="0.2">
      <c r="A737" s="85"/>
      <c r="B737" s="113" t="s">
        <v>965</v>
      </c>
    </row>
    <row r="738" spans="1:2" ht="15" x14ac:dyDescent="0.2">
      <c r="A738" s="85" t="s">
        <v>966</v>
      </c>
      <c r="B738" s="113" t="s">
        <v>967</v>
      </c>
    </row>
    <row r="739" spans="1:2" ht="15" x14ac:dyDescent="0.2">
      <c r="A739" s="85"/>
      <c r="B739" s="113" t="s">
        <v>968</v>
      </c>
    </row>
    <row r="740" spans="1:2" ht="15" x14ac:dyDescent="0.2">
      <c r="A740" s="85" t="s">
        <v>969</v>
      </c>
      <c r="B740" s="113" t="s">
        <v>970</v>
      </c>
    </row>
    <row r="741" spans="1:2" ht="15" x14ac:dyDescent="0.2">
      <c r="A741" s="85"/>
      <c r="B741" s="113" t="s">
        <v>971</v>
      </c>
    </row>
    <row r="742" spans="1:2" ht="15" x14ac:dyDescent="0.2">
      <c r="A742" s="85" t="s">
        <v>972</v>
      </c>
      <c r="B742" s="113" t="s">
        <v>973</v>
      </c>
    </row>
    <row r="743" spans="1:2" ht="15" x14ac:dyDescent="0.2">
      <c r="A743" s="85"/>
      <c r="B743" s="113" t="s">
        <v>974</v>
      </c>
    </row>
    <row r="744" spans="1:2" ht="15" x14ac:dyDescent="0.2">
      <c r="A744" s="85"/>
      <c r="B744" s="113" t="s">
        <v>975</v>
      </c>
    </row>
    <row r="745" spans="1:2" ht="15" x14ac:dyDescent="0.2">
      <c r="A745" s="85" t="s">
        <v>976</v>
      </c>
      <c r="B745" s="113" t="s">
        <v>977</v>
      </c>
    </row>
    <row r="746" spans="1:2" ht="15" x14ac:dyDescent="0.2">
      <c r="A746" s="85"/>
      <c r="B746" s="113" t="s">
        <v>978</v>
      </c>
    </row>
    <row r="747" spans="1:2" ht="15" x14ac:dyDescent="0.2">
      <c r="A747" s="85" t="s">
        <v>979</v>
      </c>
      <c r="B747" s="113" t="s">
        <v>980</v>
      </c>
    </row>
    <row r="748" spans="1:2" ht="15" x14ac:dyDescent="0.2">
      <c r="A748" s="85"/>
      <c r="B748" s="113" t="s">
        <v>981</v>
      </c>
    </row>
    <row r="749" spans="1:2" ht="15" x14ac:dyDescent="0.2">
      <c r="A749" s="85" t="s">
        <v>982</v>
      </c>
      <c r="B749" s="112" t="s">
        <v>876</v>
      </c>
    </row>
    <row r="750" spans="1:2" ht="15" x14ac:dyDescent="0.2">
      <c r="A750" s="85"/>
      <c r="B750" s="113" t="s">
        <v>877</v>
      </c>
    </row>
    <row r="751" spans="1:2" ht="15" x14ac:dyDescent="0.2">
      <c r="A751" s="85" t="s">
        <v>983</v>
      </c>
      <c r="B751" s="112" t="s">
        <v>873</v>
      </c>
    </row>
    <row r="752" spans="1:2" ht="15" x14ac:dyDescent="0.2">
      <c r="A752" s="85"/>
      <c r="B752" s="113" t="s">
        <v>874</v>
      </c>
    </row>
    <row r="753" spans="1:2" ht="15" x14ac:dyDescent="0.2">
      <c r="A753" s="85" t="s">
        <v>984</v>
      </c>
      <c r="B753" s="113" t="s">
        <v>985</v>
      </c>
    </row>
    <row r="754" spans="1:2" ht="15" x14ac:dyDescent="0.2">
      <c r="A754" s="85"/>
      <c r="B754" s="113" t="s">
        <v>986</v>
      </c>
    </row>
    <row r="755" spans="1:2" ht="15" x14ac:dyDescent="0.2">
      <c r="A755" s="152"/>
      <c r="B755" s="149" t="s">
        <v>987</v>
      </c>
    </row>
    <row r="756" spans="1:2" ht="42.75" x14ac:dyDescent="0.2">
      <c r="A756" s="85" t="s">
        <v>988</v>
      </c>
      <c r="B756" s="112" t="s">
        <v>989</v>
      </c>
    </row>
    <row r="757" spans="1:2" ht="15" x14ac:dyDescent="0.2">
      <c r="A757" s="152"/>
      <c r="B757" s="149" t="s">
        <v>990</v>
      </c>
    </row>
    <row r="758" spans="1:2" ht="15" x14ac:dyDescent="0.2">
      <c r="A758" s="85" t="s">
        <v>991</v>
      </c>
      <c r="B758" s="112" t="s">
        <v>992</v>
      </c>
    </row>
    <row r="759" spans="1:2" ht="15" x14ac:dyDescent="0.2">
      <c r="A759" s="85"/>
      <c r="B759" s="112" t="s">
        <v>945</v>
      </c>
    </row>
    <row r="760" spans="1:2" ht="15" x14ac:dyDescent="0.2">
      <c r="A760" s="85" t="s">
        <v>993</v>
      </c>
      <c r="B760" s="112" t="s">
        <v>948</v>
      </c>
    </row>
    <row r="761" spans="1:2" ht="15" x14ac:dyDescent="0.2">
      <c r="A761" s="85"/>
      <c r="B761" s="113" t="s">
        <v>949</v>
      </c>
    </row>
    <row r="762" spans="1:2" ht="15" x14ac:dyDescent="0.2">
      <c r="A762" s="85" t="s">
        <v>994</v>
      </c>
      <c r="B762" s="112" t="s">
        <v>951</v>
      </c>
    </row>
    <row r="763" spans="1:2" ht="15" x14ac:dyDescent="0.2">
      <c r="A763" s="85"/>
      <c r="B763" s="112" t="s">
        <v>952</v>
      </c>
    </row>
    <row r="764" spans="1:2" ht="15" x14ac:dyDescent="0.2">
      <c r="A764" s="85" t="s">
        <v>995</v>
      </c>
      <c r="B764" s="113" t="s">
        <v>893</v>
      </c>
    </row>
    <row r="765" spans="1:2" ht="15" x14ac:dyDescent="0.2">
      <c r="A765" s="85"/>
      <c r="B765" s="113" t="s">
        <v>894</v>
      </c>
    </row>
    <row r="766" spans="1:2" ht="15" x14ac:dyDescent="0.2">
      <c r="A766" s="85" t="s">
        <v>996</v>
      </c>
      <c r="B766" s="113" t="s">
        <v>953</v>
      </c>
    </row>
    <row r="767" spans="1:2" ht="15" x14ac:dyDescent="0.2">
      <c r="A767" s="85"/>
      <c r="B767" s="113" t="s">
        <v>954</v>
      </c>
    </row>
    <row r="768" spans="1:2" ht="15" x14ac:dyDescent="0.2">
      <c r="A768" s="85" t="s">
        <v>997</v>
      </c>
      <c r="B768" s="113" t="s">
        <v>956</v>
      </c>
    </row>
    <row r="769" spans="1:2" ht="15" x14ac:dyDescent="0.2">
      <c r="A769" s="85"/>
      <c r="B769" s="113" t="s">
        <v>957</v>
      </c>
    </row>
    <row r="770" spans="1:2" ht="15" x14ac:dyDescent="0.2">
      <c r="A770" s="85" t="s">
        <v>998</v>
      </c>
      <c r="B770" s="113" t="s">
        <v>999</v>
      </c>
    </row>
    <row r="771" spans="1:2" ht="15" x14ac:dyDescent="0.2">
      <c r="A771" s="85"/>
      <c r="B771" s="113" t="s">
        <v>1000</v>
      </c>
    </row>
    <row r="772" spans="1:2" ht="15" x14ac:dyDescent="0.2">
      <c r="A772" s="85"/>
      <c r="B772" s="113" t="s">
        <v>1001</v>
      </c>
    </row>
    <row r="773" spans="1:2" ht="15" x14ac:dyDescent="0.2">
      <c r="A773" s="85" t="s">
        <v>1002</v>
      </c>
      <c r="B773" s="113" t="s">
        <v>1003</v>
      </c>
    </row>
    <row r="774" spans="1:2" ht="15" x14ac:dyDescent="0.2">
      <c r="A774" s="85"/>
      <c r="B774" s="113" t="s">
        <v>959</v>
      </c>
    </row>
    <row r="775" spans="1:2" ht="15" x14ac:dyDescent="0.2">
      <c r="A775" s="85" t="s">
        <v>1004</v>
      </c>
      <c r="B775" s="113" t="s">
        <v>961</v>
      </c>
    </row>
    <row r="776" spans="1:2" ht="15" x14ac:dyDescent="0.2">
      <c r="A776" s="85"/>
      <c r="B776" s="113" t="s">
        <v>962</v>
      </c>
    </row>
    <row r="777" spans="1:2" ht="15" x14ac:dyDescent="0.2">
      <c r="A777" s="85" t="s">
        <v>1005</v>
      </c>
      <c r="B777" s="113" t="s">
        <v>964</v>
      </c>
    </row>
    <row r="778" spans="1:2" ht="15" x14ac:dyDescent="0.2">
      <c r="A778" s="85"/>
      <c r="B778" s="113" t="s">
        <v>965</v>
      </c>
    </row>
    <row r="779" spans="1:2" ht="15" x14ac:dyDescent="0.2">
      <c r="A779" s="85" t="s">
        <v>1006</v>
      </c>
      <c r="B779" s="113" t="s">
        <v>967</v>
      </c>
    </row>
    <row r="780" spans="1:2" ht="15" x14ac:dyDescent="0.2">
      <c r="A780" s="85"/>
      <c r="B780" s="113" t="s">
        <v>968</v>
      </c>
    </row>
    <row r="781" spans="1:2" ht="15" x14ac:dyDescent="0.2">
      <c r="A781" s="85" t="s">
        <v>1007</v>
      </c>
      <c r="B781" s="113" t="s">
        <v>970</v>
      </c>
    </row>
    <row r="782" spans="1:2" ht="15" x14ac:dyDescent="0.2">
      <c r="A782" s="85"/>
      <c r="B782" s="113" t="s">
        <v>971</v>
      </c>
    </row>
    <row r="783" spans="1:2" ht="15" x14ac:dyDescent="0.2">
      <c r="A783" s="85" t="s">
        <v>1008</v>
      </c>
      <c r="B783" s="113" t="s">
        <v>973</v>
      </c>
    </row>
    <row r="784" spans="1:2" ht="15" x14ac:dyDescent="0.2">
      <c r="A784" s="85"/>
      <c r="B784" s="113" t="s">
        <v>974</v>
      </c>
    </row>
    <row r="785" spans="1:2" ht="15" x14ac:dyDescent="0.2">
      <c r="A785" s="85"/>
      <c r="B785" s="113" t="s">
        <v>975</v>
      </c>
    </row>
    <row r="786" spans="1:2" ht="15" x14ac:dyDescent="0.2">
      <c r="A786" s="85" t="s">
        <v>1009</v>
      </c>
      <c r="B786" s="113" t="s">
        <v>977</v>
      </c>
    </row>
    <row r="787" spans="1:2" ht="15" x14ac:dyDescent="0.2">
      <c r="A787" s="85"/>
      <c r="B787" s="113" t="s">
        <v>978</v>
      </c>
    </row>
    <row r="788" spans="1:2" ht="15" x14ac:dyDescent="0.2">
      <c r="A788" s="85" t="s">
        <v>1010</v>
      </c>
      <c r="B788" s="113" t="s">
        <v>980</v>
      </c>
    </row>
    <row r="789" spans="1:2" ht="15" x14ac:dyDescent="0.2">
      <c r="A789" s="85"/>
      <c r="B789" s="113" t="s">
        <v>981</v>
      </c>
    </row>
    <row r="790" spans="1:2" ht="15" x14ac:dyDescent="0.2">
      <c r="A790" s="85" t="s">
        <v>1011</v>
      </c>
      <c r="B790" s="113" t="s">
        <v>876</v>
      </c>
    </row>
    <row r="791" spans="1:2" ht="15" x14ac:dyDescent="0.2">
      <c r="A791" s="85"/>
      <c r="B791" s="113" t="s">
        <v>877</v>
      </c>
    </row>
    <row r="792" spans="1:2" ht="15" x14ac:dyDescent="0.2">
      <c r="A792" s="85" t="s">
        <v>1012</v>
      </c>
      <c r="B792" s="113" t="s">
        <v>873</v>
      </c>
    </row>
    <row r="793" spans="1:2" ht="15" x14ac:dyDescent="0.2">
      <c r="A793" s="85"/>
      <c r="B793" s="113" t="s">
        <v>874</v>
      </c>
    </row>
    <row r="794" spans="1:2" ht="15" x14ac:dyDescent="0.2">
      <c r="A794" s="85" t="s">
        <v>1013</v>
      </c>
      <c r="B794" s="113" t="s">
        <v>985</v>
      </c>
    </row>
    <row r="795" spans="1:2" ht="15" x14ac:dyDescent="0.2">
      <c r="A795" s="85"/>
      <c r="B795" s="113" t="s">
        <v>986</v>
      </c>
    </row>
    <row r="796" spans="1:2" ht="15" x14ac:dyDescent="0.2">
      <c r="A796" s="85"/>
      <c r="B796" s="113"/>
    </row>
    <row r="797" spans="1:2" ht="15" x14ac:dyDescent="0.2">
      <c r="A797" s="152"/>
      <c r="B797" s="128" t="s">
        <v>1014</v>
      </c>
    </row>
    <row r="798" spans="1:2" ht="15" x14ac:dyDescent="0.2">
      <c r="A798" s="82" t="s">
        <v>13</v>
      </c>
      <c r="B798" s="121" t="s">
        <v>409</v>
      </c>
    </row>
    <row r="799" spans="1:2" ht="15" x14ac:dyDescent="0.2">
      <c r="A799" s="130" t="s">
        <v>242</v>
      </c>
      <c r="B799" s="121" t="s">
        <v>1015</v>
      </c>
    </row>
    <row r="800" spans="1:2" ht="15" x14ac:dyDescent="0.2">
      <c r="A800" s="130" t="s">
        <v>242</v>
      </c>
      <c r="B800" s="121" t="s">
        <v>1016</v>
      </c>
    </row>
    <row r="801" spans="1:2" ht="28.5" x14ac:dyDescent="0.2">
      <c r="A801" s="130" t="s">
        <v>242</v>
      </c>
      <c r="B801" s="121" t="s">
        <v>1017</v>
      </c>
    </row>
    <row r="802" spans="1:2" ht="15" x14ac:dyDescent="0.2">
      <c r="A802" s="82" t="s">
        <v>13</v>
      </c>
      <c r="B802" s="121" t="s">
        <v>1018</v>
      </c>
    </row>
    <row r="803" spans="1:2" ht="15" x14ac:dyDescent="0.2">
      <c r="A803" s="130" t="s">
        <v>242</v>
      </c>
      <c r="B803" s="121" t="s">
        <v>1019</v>
      </c>
    </row>
    <row r="804" spans="1:2" ht="15" x14ac:dyDescent="0.2">
      <c r="A804" s="130" t="s">
        <v>242</v>
      </c>
      <c r="B804" s="121" t="s">
        <v>1020</v>
      </c>
    </row>
    <row r="805" spans="1:2" ht="15" x14ac:dyDescent="0.2">
      <c r="A805" s="130" t="s">
        <v>242</v>
      </c>
      <c r="B805" s="121" t="s">
        <v>1021</v>
      </c>
    </row>
    <row r="806" spans="1:2" ht="15" x14ac:dyDescent="0.2">
      <c r="A806" s="82" t="s">
        <v>13</v>
      </c>
      <c r="B806" s="121" t="s">
        <v>1022</v>
      </c>
    </row>
    <row r="807" spans="1:2" ht="15" x14ac:dyDescent="0.2">
      <c r="A807" s="130" t="s">
        <v>242</v>
      </c>
      <c r="B807" s="121" t="s">
        <v>1023</v>
      </c>
    </row>
    <row r="808" spans="1:2" ht="15" x14ac:dyDescent="0.2">
      <c r="A808" s="130" t="s">
        <v>242</v>
      </c>
      <c r="B808" s="121" t="s">
        <v>1024</v>
      </c>
    </row>
    <row r="809" spans="1:2" ht="15" x14ac:dyDescent="0.2">
      <c r="A809" s="130" t="s">
        <v>242</v>
      </c>
      <c r="B809" s="121" t="s">
        <v>1025</v>
      </c>
    </row>
    <row r="810" spans="1:2" ht="15" x14ac:dyDescent="0.2">
      <c r="A810" s="130" t="s">
        <v>242</v>
      </c>
      <c r="B810" s="121" t="s">
        <v>1026</v>
      </c>
    </row>
    <row r="811" spans="1:2" ht="15" x14ac:dyDescent="0.2">
      <c r="A811" s="130" t="s">
        <v>242</v>
      </c>
      <c r="B811" s="121" t="s">
        <v>1027</v>
      </c>
    </row>
    <row r="812" spans="1:2" ht="15" x14ac:dyDescent="0.2">
      <c r="A812" s="130" t="s">
        <v>242</v>
      </c>
      <c r="B812" s="121" t="s">
        <v>1028</v>
      </c>
    </row>
    <row r="813" spans="1:2" ht="15" x14ac:dyDescent="0.2">
      <c r="A813" s="130" t="s">
        <v>242</v>
      </c>
      <c r="B813" s="121" t="s">
        <v>1029</v>
      </c>
    </row>
    <row r="814" spans="1:2" ht="15" x14ac:dyDescent="0.2">
      <c r="A814" s="130" t="s">
        <v>242</v>
      </c>
      <c r="B814" s="121" t="s">
        <v>1030</v>
      </c>
    </row>
    <row r="815" spans="1:2" ht="15" x14ac:dyDescent="0.2">
      <c r="A815" s="82" t="s">
        <v>13</v>
      </c>
      <c r="B815" s="121" t="s">
        <v>1031</v>
      </c>
    </row>
    <row r="816" spans="1:2" ht="28.5" x14ac:dyDescent="0.2">
      <c r="A816" s="130" t="s">
        <v>242</v>
      </c>
      <c r="B816" s="121" t="s">
        <v>1032</v>
      </c>
    </row>
    <row r="817" spans="1:2" ht="15" x14ac:dyDescent="0.2">
      <c r="A817" s="130" t="s">
        <v>242</v>
      </c>
      <c r="B817" s="121" t="s">
        <v>1033</v>
      </c>
    </row>
    <row r="818" spans="1:2" ht="15" x14ac:dyDescent="0.2">
      <c r="A818" s="130" t="s">
        <v>242</v>
      </c>
      <c r="B818" s="121" t="s">
        <v>1034</v>
      </c>
    </row>
    <row r="819" spans="1:2" ht="15" x14ac:dyDescent="0.2">
      <c r="A819" s="130" t="s">
        <v>242</v>
      </c>
      <c r="B819" s="121" t="s">
        <v>1035</v>
      </c>
    </row>
    <row r="820" spans="1:2" ht="15" x14ac:dyDescent="0.2">
      <c r="A820" s="82" t="s">
        <v>13</v>
      </c>
      <c r="B820" s="121" t="s">
        <v>1036</v>
      </c>
    </row>
    <row r="821" spans="1:2" ht="15" x14ac:dyDescent="0.2">
      <c r="A821" s="130" t="s">
        <v>242</v>
      </c>
      <c r="B821" s="121" t="s">
        <v>1037</v>
      </c>
    </row>
    <row r="822" spans="1:2" ht="15" x14ac:dyDescent="0.2">
      <c r="A822" s="130" t="s">
        <v>242</v>
      </c>
      <c r="B822" s="121" t="s">
        <v>1038</v>
      </c>
    </row>
    <row r="823" spans="1:2" ht="15" x14ac:dyDescent="0.2">
      <c r="A823" s="130" t="s">
        <v>242</v>
      </c>
      <c r="B823" s="121" t="s">
        <v>1039</v>
      </c>
    </row>
    <row r="824" spans="1:2" ht="15" x14ac:dyDescent="0.2">
      <c r="A824" s="130" t="s">
        <v>242</v>
      </c>
      <c r="B824" s="121" t="s">
        <v>1040</v>
      </c>
    </row>
    <row r="825" spans="1:2" ht="15" x14ac:dyDescent="0.2">
      <c r="A825" s="85"/>
      <c r="B825" s="87"/>
    </row>
    <row r="826" spans="1:2" ht="15" x14ac:dyDescent="0.2">
      <c r="A826" s="138" t="s">
        <v>1041</v>
      </c>
      <c r="B826" s="139" t="s">
        <v>1042</v>
      </c>
    </row>
    <row r="827" spans="1:2" ht="15" x14ac:dyDescent="0.2">
      <c r="A827" s="85"/>
      <c r="B827" s="153"/>
    </row>
    <row r="828" spans="1:2" ht="29.25" x14ac:dyDescent="0.2">
      <c r="A828" s="82" t="s">
        <v>13</v>
      </c>
      <c r="B828" s="120" t="s">
        <v>1043</v>
      </c>
    </row>
    <row r="829" spans="1:2" ht="28.5" x14ac:dyDescent="0.2">
      <c r="A829" s="82" t="s">
        <v>1044</v>
      </c>
      <c r="B829" s="87" t="s">
        <v>1045</v>
      </c>
    </row>
    <row r="830" spans="1:2" ht="15" x14ac:dyDescent="0.2">
      <c r="A830" s="82" t="s">
        <v>1046</v>
      </c>
      <c r="B830" s="87" t="s">
        <v>1047</v>
      </c>
    </row>
    <row r="831" spans="1:2" ht="42.75" x14ac:dyDescent="0.2">
      <c r="A831" s="82" t="s">
        <v>1048</v>
      </c>
      <c r="B831" s="87" t="s">
        <v>813</v>
      </c>
    </row>
    <row r="832" spans="1:2" ht="28.5" x14ac:dyDescent="0.2">
      <c r="A832" s="82" t="s">
        <v>1049</v>
      </c>
      <c r="B832" s="87" t="s">
        <v>1050</v>
      </c>
    </row>
    <row r="833" spans="1:2" ht="28.5" x14ac:dyDescent="0.2">
      <c r="A833" s="82" t="s">
        <v>1051</v>
      </c>
      <c r="B833" s="121" t="s">
        <v>1052</v>
      </c>
    </row>
    <row r="834" spans="1:2" ht="85.5" x14ac:dyDescent="0.2">
      <c r="A834" s="82" t="s">
        <v>1053</v>
      </c>
      <c r="B834" s="87" t="s">
        <v>1054</v>
      </c>
    </row>
    <row r="835" spans="1:2" ht="71.25" x14ac:dyDescent="0.2">
      <c r="A835" s="82" t="s">
        <v>1055</v>
      </c>
      <c r="B835" s="87" t="s">
        <v>1056</v>
      </c>
    </row>
    <row r="836" spans="1:2" ht="42.75" x14ac:dyDescent="0.2">
      <c r="A836" s="82" t="s">
        <v>1057</v>
      </c>
      <c r="B836" s="87" t="s">
        <v>1058</v>
      </c>
    </row>
    <row r="837" spans="1:2" ht="42.75" x14ac:dyDescent="0.2">
      <c r="A837" s="82" t="s">
        <v>1059</v>
      </c>
      <c r="B837" s="87" t="s">
        <v>1060</v>
      </c>
    </row>
    <row r="838" spans="1:2" ht="42.75" x14ac:dyDescent="0.2">
      <c r="A838" s="82" t="s">
        <v>1061</v>
      </c>
      <c r="B838" s="87" t="s">
        <v>1062</v>
      </c>
    </row>
    <row r="839" spans="1:2" ht="28.5" x14ac:dyDescent="0.2">
      <c r="A839" s="82" t="s">
        <v>1063</v>
      </c>
      <c r="B839" s="87" t="s">
        <v>1064</v>
      </c>
    </row>
    <row r="840" spans="1:2" ht="42.75" x14ac:dyDescent="0.2">
      <c r="A840" s="82" t="s">
        <v>1065</v>
      </c>
      <c r="B840" s="87" t="s">
        <v>1066</v>
      </c>
    </row>
    <row r="841" spans="1:2" ht="15" x14ac:dyDescent="0.2">
      <c r="A841" s="82" t="s">
        <v>1067</v>
      </c>
      <c r="B841" s="87" t="s">
        <v>1068</v>
      </c>
    </row>
    <row r="842" spans="1:2" ht="71.25" x14ac:dyDescent="0.2">
      <c r="A842" s="82" t="s">
        <v>1069</v>
      </c>
      <c r="B842" s="87" t="s">
        <v>1070</v>
      </c>
    </row>
    <row r="843" spans="1:2" ht="71.25" x14ac:dyDescent="0.2">
      <c r="A843" s="82" t="s">
        <v>1071</v>
      </c>
      <c r="B843" s="87" t="s">
        <v>1072</v>
      </c>
    </row>
    <row r="844" spans="1:2" ht="57" x14ac:dyDescent="0.2">
      <c r="A844" s="82" t="s">
        <v>1073</v>
      </c>
      <c r="B844" s="87" t="s">
        <v>1074</v>
      </c>
    </row>
    <row r="845" spans="1:2" ht="57" x14ac:dyDescent="0.2">
      <c r="A845" s="82" t="s">
        <v>1075</v>
      </c>
      <c r="B845" s="87" t="s">
        <v>1076</v>
      </c>
    </row>
    <row r="846" spans="1:2" ht="28.5" x14ac:dyDescent="0.2">
      <c r="A846" s="82" t="s">
        <v>1077</v>
      </c>
      <c r="B846" s="87" t="s">
        <v>1078</v>
      </c>
    </row>
    <row r="847" spans="1:2" ht="28.5" x14ac:dyDescent="0.2">
      <c r="A847" s="82" t="s">
        <v>1079</v>
      </c>
      <c r="B847" s="87" t="s">
        <v>1080</v>
      </c>
    </row>
    <row r="848" spans="1:2" ht="28.5" x14ac:dyDescent="0.2">
      <c r="A848" s="82" t="s">
        <v>1081</v>
      </c>
      <c r="B848" s="87" t="s">
        <v>1082</v>
      </c>
    </row>
    <row r="849" spans="1:2" ht="85.5" x14ac:dyDescent="0.2">
      <c r="A849" s="82" t="s">
        <v>1083</v>
      </c>
      <c r="B849" s="87" t="s">
        <v>1084</v>
      </c>
    </row>
    <row r="850" spans="1:2" ht="28.5" x14ac:dyDescent="0.2">
      <c r="A850" s="82" t="s">
        <v>1085</v>
      </c>
      <c r="B850" s="87" t="s">
        <v>1086</v>
      </c>
    </row>
    <row r="851" spans="1:2" ht="15" x14ac:dyDescent="0.2">
      <c r="A851" s="82" t="s">
        <v>1087</v>
      </c>
      <c r="B851" s="89" t="s">
        <v>1088</v>
      </c>
    </row>
    <row r="852" spans="1:2" ht="42.75" x14ac:dyDescent="0.2">
      <c r="A852" s="82" t="s">
        <v>1089</v>
      </c>
      <c r="B852" s="87" t="s">
        <v>1090</v>
      </c>
    </row>
    <row r="853" spans="1:2" ht="42.75" x14ac:dyDescent="0.2">
      <c r="A853" s="82" t="s">
        <v>1091</v>
      </c>
      <c r="B853" s="87" t="s">
        <v>1092</v>
      </c>
    </row>
    <row r="854" spans="1:2" ht="15" x14ac:dyDescent="0.2">
      <c r="A854" s="82" t="s">
        <v>1093</v>
      </c>
      <c r="B854" s="87" t="s">
        <v>1094</v>
      </c>
    </row>
    <row r="855" spans="1:2" ht="15" x14ac:dyDescent="0.2">
      <c r="A855" s="82"/>
      <c r="B855" s="87"/>
    </row>
    <row r="856" spans="1:2" ht="15" x14ac:dyDescent="0.25">
      <c r="A856" s="126"/>
      <c r="B856" s="154" t="s">
        <v>1095</v>
      </c>
    </row>
    <row r="857" spans="1:2" ht="15" x14ac:dyDescent="0.25">
      <c r="A857" s="147" t="s">
        <v>1096</v>
      </c>
      <c r="B857" s="155" t="s">
        <v>1097</v>
      </c>
    </row>
    <row r="858" spans="1:2" ht="28.5" x14ac:dyDescent="0.2">
      <c r="A858" s="147" t="s">
        <v>1098</v>
      </c>
      <c r="B858" s="156" t="s">
        <v>1099</v>
      </c>
    </row>
    <row r="859" spans="1:2" ht="15" x14ac:dyDescent="0.2">
      <c r="A859" s="147"/>
      <c r="B859" s="156" t="s">
        <v>1100</v>
      </c>
    </row>
    <row r="860" spans="1:2" ht="15" x14ac:dyDescent="0.25">
      <c r="A860" s="147"/>
      <c r="B860" s="155" t="s">
        <v>1101</v>
      </c>
    </row>
    <row r="861" spans="1:2" ht="15" x14ac:dyDescent="0.2">
      <c r="A861" s="147" t="s">
        <v>1102</v>
      </c>
      <c r="B861" s="156" t="s">
        <v>1103</v>
      </c>
    </row>
    <row r="862" spans="1:2" ht="15" x14ac:dyDescent="0.2">
      <c r="A862" s="147"/>
      <c r="B862" s="156" t="s">
        <v>1104</v>
      </c>
    </row>
    <row r="863" spans="1:2" ht="15" x14ac:dyDescent="0.25">
      <c r="A863" s="147"/>
      <c r="B863" s="155" t="s">
        <v>1105</v>
      </c>
    </row>
    <row r="864" spans="1:2" ht="15" x14ac:dyDescent="0.2">
      <c r="A864" s="147" t="s">
        <v>1106</v>
      </c>
      <c r="B864" s="157" t="s">
        <v>1107</v>
      </c>
    </row>
    <row r="865" spans="1:2" ht="15" x14ac:dyDescent="0.2">
      <c r="A865" s="147"/>
      <c r="B865" s="157" t="s">
        <v>1108</v>
      </c>
    </row>
    <row r="866" spans="1:2" ht="15" x14ac:dyDescent="0.2">
      <c r="A866" s="147" t="s">
        <v>1109</v>
      </c>
      <c r="B866" s="157" t="s">
        <v>1110</v>
      </c>
    </row>
    <row r="867" spans="1:2" ht="15" x14ac:dyDescent="0.2">
      <c r="A867" s="147"/>
      <c r="B867" s="157" t="s">
        <v>1111</v>
      </c>
    </row>
    <row r="868" spans="1:2" ht="15" x14ac:dyDescent="0.2">
      <c r="A868" s="147"/>
      <c r="B868" s="157" t="s">
        <v>1112</v>
      </c>
    </row>
    <row r="869" spans="1:2" ht="15" x14ac:dyDescent="0.2">
      <c r="A869" s="147"/>
      <c r="B869" s="157" t="s">
        <v>1113</v>
      </c>
    </row>
    <row r="870" spans="1:2" ht="15" x14ac:dyDescent="0.2">
      <c r="A870" s="147" t="s">
        <v>1114</v>
      </c>
      <c r="B870" s="157" t="s">
        <v>1115</v>
      </c>
    </row>
    <row r="871" spans="1:2" ht="15" x14ac:dyDescent="0.2">
      <c r="A871" s="147"/>
      <c r="B871" s="157" t="s">
        <v>1116</v>
      </c>
    </row>
    <row r="872" spans="1:2" ht="15" x14ac:dyDescent="0.2">
      <c r="A872" s="147"/>
      <c r="B872" s="157" t="s">
        <v>1117</v>
      </c>
    </row>
    <row r="873" spans="1:2" ht="15" x14ac:dyDescent="0.2">
      <c r="A873" s="147"/>
      <c r="B873" s="157" t="s">
        <v>1118</v>
      </c>
    </row>
    <row r="874" spans="1:2" ht="15" x14ac:dyDescent="0.2">
      <c r="A874" s="147" t="s">
        <v>1119</v>
      </c>
      <c r="B874" s="157" t="s">
        <v>1120</v>
      </c>
    </row>
    <row r="875" spans="1:2" ht="15" x14ac:dyDescent="0.2">
      <c r="A875" s="147"/>
      <c r="B875" s="157" t="s">
        <v>1121</v>
      </c>
    </row>
    <row r="876" spans="1:2" ht="15" x14ac:dyDescent="0.2">
      <c r="A876" s="147"/>
      <c r="B876" s="157" t="s">
        <v>1122</v>
      </c>
    </row>
    <row r="877" spans="1:2" ht="15" x14ac:dyDescent="0.2">
      <c r="A877" s="147"/>
      <c r="B877" s="157" t="s">
        <v>1123</v>
      </c>
    </row>
    <row r="878" spans="1:2" ht="15" x14ac:dyDescent="0.2">
      <c r="A878" s="147"/>
      <c r="B878" s="158" t="s">
        <v>1124</v>
      </c>
    </row>
    <row r="879" spans="1:2" ht="15" x14ac:dyDescent="0.2">
      <c r="A879" s="147" t="s">
        <v>1125</v>
      </c>
      <c r="B879" s="157" t="s">
        <v>1126</v>
      </c>
    </row>
    <row r="880" spans="1:2" ht="15" x14ac:dyDescent="0.2">
      <c r="A880" s="147"/>
      <c r="B880" s="157" t="s">
        <v>1127</v>
      </c>
    </row>
    <row r="881" spans="1:2" ht="15" x14ac:dyDescent="0.2">
      <c r="A881" s="147"/>
      <c r="B881" s="157" t="s">
        <v>1128</v>
      </c>
    </row>
    <row r="882" spans="1:2" ht="15" x14ac:dyDescent="0.2">
      <c r="A882" s="147" t="s">
        <v>1129</v>
      </c>
      <c r="B882" s="157" t="s">
        <v>1130</v>
      </c>
    </row>
    <row r="883" spans="1:2" ht="15" x14ac:dyDescent="0.2">
      <c r="A883" s="147"/>
      <c r="B883" s="157" t="s">
        <v>1131</v>
      </c>
    </row>
    <row r="884" spans="1:2" ht="15" x14ac:dyDescent="0.2">
      <c r="A884" s="147"/>
      <c r="B884" s="157" t="s">
        <v>1132</v>
      </c>
    </row>
    <row r="885" spans="1:2" ht="15" x14ac:dyDescent="0.2">
      <c r="A885" s="147" t="s">
        <v>1133</v>
      </c>
      <c r="B885" s="157" t="s">
        <v>1134</v>
      </c>
    </row>
    <row r="886" spans="1:2" ht="15" x14ac:dyDescent="0.2">
      <c r="A886" s="147"/>
      <c r="B886" s="157" t="s">
        <v>1135</v>
      </c>
    </row>
    <row r="887" spans="1:2" ht="15" x14ac:dyDescent="0.2">
      <c r="A887" s="147"/>
      <c r="B887" s="158" t="s">
        <v>1136</v>
      </c>
    </row>
    <row r="888" spans="1:2" ht="30" x14ac:dyDescent="0.2">
      <c r="A888" s="147" t="s">
        <v>1137</v>
      </c>
      <c r="B888" s="157" t="s">
        <v>1138</v>
      </c>
    </row>
    <row r="889" spans="1:2" ht="15" x14ac:dyDescent="0.2">
      <c r="A889" s="147"/>
      <c r="B889" s="157" t="s">
        <v>1139</v>
      </c>
    </row>
    <row r="890" spans="1:2" ht="15" x14ac:dyDescent="0.2">
      <c r="A890" s="147"/>
      <c r="B890" s="158" t="s">
        <v>1140</v>
      </c>
    </row>
    <row r="891" spans="1:2" ht="30" x14ac:dyDescent="0.2">
      <c r="A891" s="147" t="s">
        <v>1141</v>
      </c>
      <c r="B891" s="157" t="s">
        <v>1142</v>
      </c>
    </row>
    <row r="892" spans="1:2" ht="15" x14ac:dyDescent="0.2">
      <c r="A892" s="147"/>
      <c r="B892" s="157" t="s">
        <v>1143</v>
      </c>
    </row>
    <row r="893" spans="1:2" ht="30" x14ac:dyDescent="0.2">
      <c r="A893" s="147" t="s">
        <v>1144</v>
      </c>
      <c r="B893" s="157" t="s">
        <v>1145</v>
      </c>
    </row>
    <row r="894" spans="1:2" ht="15" x14ac:dyDescent="0.2">
      <c r="A894" s="147"/>
      <c r="B894" s="157" t="s">
        <v>1146</v>
      </c>
    </row>
    <row r="895" spans="1:2" ht="30" x14ac:dyDescent="0.2">
      <c r="A895" s="147" t="s">
        <v>1147</v>
      </c>
      <c r="B895" s="157" t="s">
        <v>1148</v>
      </c>
    </row>
    <row r="896" spans="1:2" ht="15" x14ac:dyDescent="0.2">
      <c r="A896" s="147"/>
      <c r="B896" s="157" t="s">
        <v>1149</v>
      </c>
    </row>
    <row r="897" spans="1:2" ht="30" x14ac:dyDescent="0.2">
      <c r="A897" s="147" t="s">
        <v>1150</v>
      </c>
      <c r="B897" s="157" t="s">
        <v>1151</v>
      </c>
    </row>
    <row r="898" spans="1:2" ht="15" x14ac:dyDescent="0.2">
      <c r="A898" s="147"/>
      <c r="B898" s="157" t="s">
        <v>1152</v>
      </c>
    </row>
    <row r="899" spans="1:2" ht="30" x14ac:dyDescent="0.2">
      <c r="A899" s="147" t="s">
        <v>1153</v>
      </c>
      <c r="B899" s="157" t="s">
        <v>1154</v>
      </c>
    </row>
    <row r="900" spans="1:2" ht="15" x14ac:dyDescent="0.2">
      <c r="A900" s="147"/>
      <c r="B900" s="157" t="s">
        <v>1155</v>
      </c>
    </row>
    <row r="901" spans="1:2" ht="30" x14ac:dyDescent="0.2">
      <c r="A901" s="147" t="s">
        <v>1156</v>
      </c>
      <c r="B901" s="157" t="s">
        <v>1157</v>
      </c>
    </row>
    <row r="902" spans="1:2" ht="15" x14ac:dyDescent="0.2">
      <c r="A902" s="147"/>
      <c r="B902" s="157" t="s">
        <v>1158</v>
      </c>
    </row>
    <row r="903" spans="1:2" ht="30" x14ac:dyDescent="0.2">
      <c r="A903" s="147" t="s">
        <v>1159</v>
      </c>
      <c r="B903" s="157" t="s">
        <v>1160</v>
      </c>
    </row>
    <row r="904" spans="1:2" ht="15" x14ac:dyDescent="0.2">
      <c r="A904" s="147"/>
      <c r="B904" s="157" t="s">
        <v>1161</v>
      </c>
    </row>
    <row r="905" spans="1:2" ht="30" x14ac:dyDescent="0.2">
      <c r="A905" s="147" t="s">
        <v>1162</v>
      </c>
      <c r="B905" s="157" t="s">
        <v>1163</v>
      </c>
    </row>
    <row r="906" spans="1:2" ht="15" x14ac:dyDescent="0.2">
      <c r="A906" s="147"/>
      <c r="B906" s="157" t="s">
        <v>1164</v>
      </c>
    </row>
    <row r="907" spans="1:2" ht="30" x14ac:dyDescent="0.2">
      <c r="A907" s="147" t="s">
        <v>1165</v>
      </c>
      <c r="B907" s="157" t="s">
        <v>1166</v>
      </c>
    </row>
    <row r="908" spans="1:2" ht="15" x14ac:dyDescent="0.2">
      <c r="A908" s="147"/>
      <c r="B908" s="157" t="s">
        <v>1167</v>
      </c>
    </row>
    <row r="909" spans="1:2" ht="30" x14ac:dyDescent="0.2">
      <c r="A909" s="147" t="s">
        <v>1168</v>
      </c>
      <c r="B909" s="157" t="s">
        <v>1169</v>
      </c>
    </row>
    <row r="910" spans="1:2" ht="15" x14ac:dyDescent="0.2">
      <c r="A910" s="147"/>
      <c r="B910" s="157" t="s">
        <v>1170</v>
      </c>
    </row>
    <row r="911" spans="1:2" ht="30" x14ac:dyDescent="0.2">
      <c r="A911" s="147" t="s">
        <v>1171</v>
      </c>
      <c r="B911" s="157" t="s">
        <v>1172</v>
      </c>
    </row>
    <row r="912" spans="1:2" ht="15" x14ac:dyDescent="0.2">
      <c r="A912" s="147"/>
      <c r="B912" s="157" t="s">
        <v>1173</v>
      </c>
    </row>
    <row r="913" spans="1:2" ht="30" x14ac:dyDescent="0.2">
      <c r="A913" s="147" t="s">
        <v>1174</v>
      </c>
      <c r="B913" s="157" t="s">
        <v>1175</v>
      </c>
    </row>
    <row r="914" spans="1:2" ht="15" x14ac:dyDescent="0.2">
      <c r="A914" s="147"/>
      <c r="B914" s="157" t="s">
        <v>1176</v>
      </c>
    </row>
    <row r="915" spans="1:2" ht="15" x14ac:dyDescent="0.2">
      <c r="A915" s="147"/>
      <c r="B915" s="157" t="s">
        <v>1177</v>
      </c>
    </row>
    <row r="916" spans="1:2" ht="30" x14ac:dyDescent="0.2">
      <c r="A916" s="147" t="s">
        <v>1178</v>
      </c>
      <c r="B916" s="157" t="s">
        <v>1179</v>
      </c>
    </row>
    <row r="917" spans="1:2" ht="15" x14ac:dyDescent="0.2">
      <c r="A917" s="147"/>
      <c r="B917" s="157" t="s">
        <v>1180</v>
      </c>
    </row>
    <row r="918" spans="1:2" ht="30" x14ac:dyDescent="0.2">
      <c r="A918" s="147" t="s">
        <v>1181</v>
      </c>
      <c r="B918" s="157" t="s">
        <v>1182</v>
      </c>
    </row>
    <row r="919" spans="1:2" ht="15" x14ac:dyDescent="0.2">
      <c r="A919" s="147"/>
      <c r="B919" s="158" t="s">
        <v>1183</v>
      </c>
    </row>
    <row r="920" spans="1:2" ht="30" x14ac:dyDescent="0.2">
      <c r="A920" s="147" t="s">
        <v>1184</v>
      </c>
      <c r="B920" s="157" t="s">
        <v>1185</v>
      </c>
    </row>
    <row r="921" spans="1:2" ht="15" x14ac:dyDescent="0.2">
      <c r="A921" s="147"/>
      <c r="B921" s="157" t="s">
        <v>1186</v>
      </c>
    </row>
    <row r="922" spans="1:2" ht="30" x14ac:dyDescent="0.2">
      <c r="A922" s="147" t="s">
        <v>1187</v>
      </c>
      <c r="B922" s="157" t="s">
        <v>1188</v>
      </c>
    </row>
    <row r="923" spans="1:2" ht="15" x14ac:dyDescent="0.2">
      <c r="A923" s="147"/>
      <c r="B923" s="157" t="s">
        <v>538</v>
      </c>
    </row>
    <row r="924" spans="1:2" ht="15" x14ac:dyDescent="0.2">
      <c r="A924" s="147"/>
      <c r="B924" s="158" t="s">
        <v>1189</v>
      </c>
    </row>
    <row r="925" spans="1:2" ht="30" x14ac:dyDescent="0.2">
      <c r="A925" s="147" t="s">
        <v>1190</v>
      </c>
      <c r="B925" s="157" t="s">
        <v>1191</v>
      </c>
    </row>
    <row r="926" spans="1:2" ht="15" x14ac:dyDescent="0.2">
      <c r="A926" s="147"/>
      <c r="B926" s="157" t="s">
        <v>1192</v>
      </c>
    </row>
    <row r="927" spans="1:2" ht="30" x14ac:dyDescent="0.2">
      <c r="A927" s="147" t="s">
        <v>1193</v>
      </c>
      <c r="B927" s="159" t="s">
        <v>1194</v>
      </c>
    </row>
    <row r="928" spans="1:2" ht="15" x14ac:dyDescent="0.2">
      <c r="A928" s="147"/>
      <c r="B928" s="159" t="s">
        <v>1195</v>
      </c>
    </row>
    <row r="929" spans="1:2" ht="30" x14ac:dyDescent="0.2">
      <c r="A929" s="147" t="s">
        <v>1196</v>
      </c>
      <c r="B929" s="159" t="s">
        <v>893</v>
      </c>
    </row>
    <row r="930" spans="1:2" ht="15" x14ac:dyDescent="0.2">
      <c r="A930" s="147"/>
      <c r="B930" s="159" t="s">
        <v>894</v>
      </c>
    </row>
    <row r="931" spans="1:2" ht="30" x14ac:dyDescent="0.2">
      <c r="A931" s="147" t="s">
        <v>1197</v>
      </c>
      <c r="B931" s="160" t="s">
        <v>1198</v>
      </c>
    </row>
    <row r="932" spans="1:2" ht="30" x14ac:dyDescent="0.2">
      <c r="A932" s="147" t="s">
        <v>1199</v>
      </c>
      <c r="B932" s="160" t="s">
        <v>1200</v>
      </c>
    </row>
    <row r="933" spans="1:2" ht="15" x14ac:dyDescent="0.2">
      <c r="A933" s="147" t="s">
        <v>1201</v>
      </c>
      <c r="B933" s="160" t="s">
        <v>1202</v>
      </c>
    </row>
    <row r="934" spans="1:2" ht="15" x14ac:dyDescent="0.2">
      <c r="A934" s="147" t="s">
        <v>1201</v>
      </c>
      <c r="B934" s="160" t="s">
        <v>1203</v>
      </c>
    </row>
    <row r="935" spans="1:2" ht="15" x14ac:dyDescent="0.2">
      <c r="A935" s="147" t="s">
        <v>1201</v>
      </c>
      <c r="B935" s="160" t="s">
        <v>1204</v>
      </c>
    </row>
    <row r="936" spans="1:2" ht="15" x14ac:dyDescent="0.2">
      <c r="A936" s="147" t="s">
        <v>1201</v>
      </c>
      <c r="B936" s="160" t="s">
        <v>1205</v>
      </c>
    </row>
    <row r="937" spans="1:2" ht="15" x14ac:dyDescent="0.2">
      <c r="A937" s="147"/>
      <c r="B937" s="160"/>
    </row>
    <row r="938" spans="1:2" ht="15" x14ac:dyDescent="0.2">
      <c r="A938" s="148"/>
      <c r="B938" s="161" t="s">
        <v>1206</v>
      </c>
    </row>
    <row r="939" spans="1:2" ht="28.5" x14ac:dyDescent="0.2">
      <c r="A939" s="147" t="s">
        <v>13</v>
      </c>
      <c r="B939" s="162" t="s">
        <v>1207</v>
      </c>
    </row>
    <row r="940" spans="1:2" ht="28.5" x14ac:dyDescent="0.2">
      <c r="A940" s="147" t="s">
        <v>1201</v>
      </c>
      <c r="B940" s="162" t="s">
        <v>1208</v>
      </c>
    </row>
    <row r="941" spans="1:2" ht="28.5" x14ac:dyDescent="0.2">
      <c r="A941" s="147" t="s">
        <v>1201</v>
      </c>
      <c r="B941" s="162" t="s">
        <v>1209</v>
      </c>
    </row>
    <row r="942" spans="1:2" ht="28.5" x14ac:dyDescent="0.2">
      <c r="A942" s="147" t="s">
        <v>1201</v>
      </c>
      <c r="B942" s="162" t="s">
        <v>1210</v>
      </c>
    </row>
    <row r="943" spans="1:2" ht="28.5" x14ac:dyDescent="0.2">
      <c r="A943" s="147" t="s">
        <v>1201</v>
      </c>
      <c r="B943" s="162" t="s">
        <v>1211</v>
      </c>
    </row>
    <row r="944" spans="1:2" ht="15" x14ac:dyDescent="0.2">
      <c r="A944" s="147" t="s">
        <v>1201</v>
      </c>
      <c r="B944" s="162" t="s">
        <v>1212</v>
      </c>
    </row>
    <row r="945" spans="1:2" ht="15" x14ac:dyDescent="0.2">
      <c r="A945" s="147" t="s">
        <v>13</v>
      </c>
      <c r="B945" s="162" t="s">
        <v>1213</v>
      </c>
    </row>
    <row r="946" spans="1:2" ht="28.5" x14ac:dyDescent="0.2">
      <c r="A946" s="147" t="s">
        <v>1201</v>
      </c>
      <c r="B946" s="162" t="s">
        <v>1214</v>
      </c>
    </row>
    <row r="947" spans="1:2" ht="15" x14ac:dyDescent="0.2">
      <c r="A947" s="147" t="s">
        <v>1201</v>
      </c>
      <c r="B947" s="162" t="s">
        <v>1215</v>
      </c>
    </row>
    <row r="948" spans="1:2" ht="15" x14ac:dyDescent="0.2">
      <c r="A948" s="147" t="s">
        <v>1201</v>
      </c>
      <c r="B948" s="162" t="s">
        <v>1216</v>
      </c>
    </row>
    <row r="949" spans="1:2" ht="28.5" x14ac:dyDescent="0.2">
      <c r="A949" s="147" t="s">
        <v>1201</v>
      </c>
      <c r="B949" s="162" t="s">
        <v>1217</v>
      </c>
    </row>
    <row r="950" spans="1:2" ht="15" x14ac:dyDescent="0.2">
      <c r="A950" s="147"/>
      <c r="B950" s="140"/>
    </row>
    <row r="951" spans="1:2" ht="15" x14ac:dyDescent="0.2">
      <c r="A951" s="138" t="s">
        <v>1218</v>
      </c>
      <c r="B951" s="139" t="s">
        <v>1219</v>
      </c>
    </row>
    <row r="952" spans="1:2" ht="15" x14ac:dyDescent="0.2">
      <c r="A952" s="85"/>
      <c r="B952" s="153"/>
    </row>
    <row r="953" spans="1:2" ht="29.25" x14ac:dyDescent="0.2">
      <c r="A953" s="82" t="s">
        <v>13</v>
      </c>
      <c r="B953" s="120" t="s">
        <v>1220</v>
      </c>
    </row>
    <row r="954" spans="1:2" ht="42.75" x14ac:dyDescent="0.2">
      <c r="A954" s="91" t="s">
        <v>1221</v>
      </c>
      <c r="B954" s="88" t="s">
        <v>1222</v>
      </c>
    </row>
    <row r="955" spans="1:2" ht="15" x14ac:dyDescent="0.2">
      <c r="A955" s="91" t="s">
        <v>1223</v>
      </c>
      <c r="B955" s="88" t="s">
        <v>1224</v>
      </c>
    </row>
    <row r="956" spans="1:2" ht="42.75" x14ac:dyDescent="0.2">
      <c r="A956" s="91" t="s">
        <v>1225</v>
      </c>
      <c r="B956" s="88" t="s">
        <v>1226</v>
      </c>
    </row>
    <row r="957" spans="1:2" ht="71.25" x14ac:dyDescent="0.2">
      <c r="A957" s="91" t="s">
        <v>1227</v>
      </c>
      <c r="B957" s="88" t="s">
        <v>1228</v>
      </c>
    </row>
    <row r="958" spans="1:2" ht="28.5" x14ac:dyDescent="0.2">
      <c r="A958" s="91" t="s">
        <v>1229</v>
      </c>
      <c r="B958" s="88" t="s">
        <v>1230</v>
      </c>
    </row>
    <row r="959" spans="1:2" ht="242.25" x14ac:dyDescent="0.2">
      <c r="A959" s="91" t="s">
        <v>1231</v>
      </c>
      <c r="B959" s="87" t="s">
        <v>1232</v>
      </c>
    </row>
    <row r="960" spans="1:2" ht="15" x14ac:dyDescent="0.2">
      <c r="A960" s="85"/>
      <c r="B960" s="153"/>
    </row>
    <row r="961" spans="1:2" ht="15" x14ac:dyDescent="0.25">
      <c r="A961" s="127"/>
      <c r="B961" s="128" t="s">
        <v>1233</v>
      </c>
    </row>
    <row r="962" spans="1:2" ht="15" x14ac:dyDescent="0.2">
      <c r="A962" s="85" t="s">
        <v>13</v>
      </c>
      <c r="B962" s="121" t="s">
        <v>409</v>
      </c>
    </row>
    <row r="963" spans="1:2" ht="15" x14ac:dyDescent="0.2">
      <c r="A963" s="85"/>
      <c r="B963" s="121" t="s">
        <v>1234</v>
      </c>
    </row>
    <row r="964" spans="1:2" ht="15" x14ac:dyDescent="0.2">
      <c r="A964" s="85"/>
      <c r="B964" s="121" t="s">
        <v>1235</v>
      </c>
    </row>
    <row r="965" spans="1:2" ht="15" x14ac:dyDescent="0.2">
      <c r="A965" s="85" t="s">
        <v>13</v>
      </c>
      <c r="B965" s="121" t="s">
        <v>1236</v>
      </c>
    </row>
    <row r="966" spans="1:2" ht="15" x14ac:dyDescent="0.2">
      <c r="A966" s="85"/>
      <c r="B966" s="121" t="s">
        <v>1237</v>
      </c>
    </row>
    <row r="967" spans="1:2" ht="15" x14ac:dyDescent="0.2">
      <c r="A967" s="85"/>
      <c r="B967" s="121" t="s">
        <v>1238</v>
      </c>
    </row>
    <row r="968" spans="1:2" ht="15" x14ac:dyDescent="0.2">
      <c r="A968" s="85"/>
      <c r="B968" s="121" t="s">
        <v>1239</v>
      </c>
    </row>
    <row r="969" spans="1:2" ht="15" x14ac:dyDescent="0.2">
      <c r="A969" s="85" t="s">
        <v>13</v>
      </c>
      <c r="B969" s="121" t="s">
        <v>1240</v>
      </c>
    </row>
    <row r="970" spans="1:2" ht="15" x14ac:dyDescent="0.2">
      <c r="A970" s="85" t="s">
        <v>242</v>
      </c>
      <c r="B970" s="121" t="s">
        <v>1241</v>
      </c>
    </row>
    <row r="971" spans="1:2" ht="15" x14ac:dyDescent="0.2">
      <c r="A971" s="85" t="s">
        <v>242</v>
      </c>
      <c r="B971" s="121" t="s">
        <v>1242</v>
      </c>
    </row>
    <row r="972" spans="1:2" ht="15" x14ac:dyDescent="0.2">
      <c r="A972" s="85" t="s">
        <v>242</v>
      </c>
      <c r="B972" s="121" t="s">
        <v>1243</v>
      </c>
    </row>
    <row r="973" spans="1:2" ht="15" x14ac:dyDescent="0.2">
      <c r="A973" s="85" t="s">
        <v>242</v>
      </c>
      <c r="B973" s="121" t="s">
        <v>1244</v>
      </c>
    </row>
    <row r="974" spans="1:2" ht="15" x14ac:dyDescent="0.2">
      <c r="A974" s="85" t="s">
        <v>242</v>
      </c>
      <c r="B974" s="121" t="s">
        <v>1245</v>
      </c>
    </row>
    <row r="975" spans="1:2" ht="28.5" x14ac:dyDescent="0.2">
      <c r="A975" s="85" t="s">
        <v>13</v>
      </c>
      <c r="B975" s="121" t="s">
        <v>1246</v>
      </c>
    </row>
    <row r="976" spans="1:2" ht="15" x14ac:dyDescent="0.2">
      <c r="A976" s="85"/>
      <c r="B976" s="153"/>
    </row>
    <row r="977" spans="1:2" ht="15" x14ac:dyDescent="0.2">
      <c r="A977" s="97" t="s">
        <v>1247</v>
      </c>
      <c r="B977" s="131" t="s">
        <v>1248</v>
      </c>
    </row>
    <row r="978" spans="1:2" ht="15" x14ac:dyDescent="0.2">
      <c r="A978" s="85"/>
      <c r="B978" s="102"/>
    </row>
    <row r="979" spans="1:2" ht="43.5" x14ac:dyDescent="0.2">
      <c r="A979" s="82" t="s">
        <v>13</v>
      </c>
      <c r="B979" s="120" t="s">
        <v>1249</v>
      </c>
    </row>
    <row r="980" spans="1:2" ht="42.75" x14ac:dyDescent="0.2">
      <c r="A980" s="91" t="s">
        <v>1250</v>
      </c>
      <c r="B980" s="88" t="s">
        <v>1251</v>
      </c>
    </row>
    <row r="981" spans="1:2" ht="15" x14ac:dyDescent="0.2">
      <c r="A981" s="91" t="s">
        <v>1252</v>
      </c>
      <c r="B981" s="88" t="s">
        <v>1253</v>
      </c>
    </row>
    <row r="982" spans="1:2" ht="28.5" x14ac:dyDescent="0.2">
      <c r="A982" s="91" t="s">
        <v>1254</v>
      </c>
      <c r="B982" s="88" t="s">
        <v>1255</v>
      </c>
    </row>
    <row r="983" spans="1:2" ht="270.75" x14ac:dyDescent="0.2">
      <c r="A983" s="91" t="s">
        <v>1256</v>
      </c>
      <c r="B983" s="88" t="s">
        <v>1257</v>
      </c>
    </row>
    <row r="984" spans="1:2" ht="15" x14ac:dyDescent="0.2">
      <c r="A984" s="91" t="s">
        <v>1256</v>
      </c>
      <c r="B984" s="157" t="s">
        <v>1258</v>
      </c>
    </row>
    <row r="985" spans="1:2" ht="15" x14ac:dyDescent="0.2">
      <c r="A985" s="163" t="s">
        <v>1259</v>
      </c>
      <c r="B985" s="157" t="s">
        <v>1260</v>
      </c>
    </row>
    <row r="986" spans="1:2" ht="15" x14ac:dyDescent="0.2">
      <c r="A986" s="163" t="s">
        <v>1259</v>
      </c>
      <c r="B986" s="157" t="s">
        <v>1261</v>
      </c>
    </row>
    <row r="987" spans="1:2" ht="15" x14ac:dyDescent="0.2">
      <c r="A987" s="163" t="s">
        <v>1259</v>
      </c>
      <c r="B987" s="157" t="s">
        <v>1262</v>
      </c>
    </row>
    <row r="988" spans="1:2" ht="15" x14ac:dyDescent="0.2">
      <c r="A988" s="163" t="s">
        <v>1259</v>
      </c>
      <c r="B988" s="157" t="s">
        <v>1263</v>
      </c>
    </row>
    <row r="989" spans="1:2" ht="15" x14ac:dyDescent="0.2">
      <c r="A989" s="163" t="s">
        <v>1259</v>
      </c>
      <c r="B989" s="157" t="s">
        <v>1264</v>
      </c>
    </row>
    <row r="990" spans="1:2" ht="15" x14ac:dyDescent="0.2">
      <c r="A990" s="163" t="s">
        <v>1259</v>
      </c>
      <c r="B990" s="157" t="s">
        <v>1265</v>
      </c>
    </row>
    <row r="991" spans="1:2" ht="15" x14ac:dyDescent="0.2">
      <c r="A991" s="163" t="s">
        <v>1259</v>
      </c>
      <c r="B991" s="157" t="s">
        <v>1266</v>
      </c>
    </row>
    <row r="992" spans="1:2" ht="15" x14ac:dyDescent="0.2">
      <c r="A992" s="163" t="s">
        <v>1259</v>
      </c>
      <c r="B992" s="157" t="s">
        <v>1267</v>
      </c>
    </row>
    <row r="993" spans="1:2" ht="15" x14ac:dyDescent="0.2">
      <c r="A993" s="163" t="s">
        <v>1259</v>
      </c>
      <c r="B993" s="157" t="s">
        <v>1268</v>
      </c>
    </row>
    <row r="994" spans="1:2" ht="15" x14ac:dyDescent="0.2">
      <c r="A994" s="163" t="s">
        <v>1259</v>
      </c>
      <c r="B994" s="157" t="s">
        <v>1269</v>
      </c>
    </row>
    <row r="995" spans="1:2" ht="15" x14ac:dyDescent="0.2">
      <c r="A995" s="163" t="s">
        <v>1259</v>
      </c>
      <c r="B995" s="157" t="s">
        <v>1270</v>
      </c>
    </row>
    <row r="996" spans="1:2" ht="15" x14ac:dyDescent="0.2">
      <c r="A996" s="163" t="s">
        <v>1259</v>
      </c>
      <c r="B996" s="157" t="s">
        <v>1271</v>
      </c>
    </row>
    <row r="997" spans="1:2" ht="15" x14ac:dyDescent="0.2">
      <c r="A997" s="163" t="s">
        <v>1259</v>
      </c>
      <c r="B997" s="157" t="s">
        <v>1272</v>
      </c>
    </row>
    <row r="998" spans="1:2" ht="15" x14ac:dyDescent="0.2">
      <c r="A998" s="163" t="s">
        <v>1259</v>
      </c>
      <c r="B998" s="157" t="s">
        <v>1273</v>
      </c>
    </row>
    <row r="999" spans="1:2" ht="15" x14ac:dyDescent="0.2">
      <c r="A999" s="163" t="s">
        <v>1259</v>
      </c>
      <c r="B999" s="157" t="s">
        <v>1274</v>
      </c>
    </row>
    <row r="1000" spans="1:2" ht="15" x14ac:dyDescent="0.2">
      <c r="A1000" s="91" t="s">
        <v>13</v>
      </c>
      <c r="B1000" s="157" t="s">
        <v>1275</v>
      </c>
    </row>
    <row r="1001" spans="1:2" ht="15" x14ac:dyDescent="0.2">
      <c r="A1001" s="163" t="s">
        <v>1259</v>
      </c>
      <c r="B1001" s="157" t="s">
        <v>1276</v>
      </c>
    </row>
    <row r="1002" spans="1:2" ht="15" x14ac:dyDescent="0.2">
      <c r="A1002" s="163" t="s">
        <v>1259</v>
      </c>
      <c r="B1002" s="157" t="s">
        <v>1277</v>
      </c>
    </row>
    <row r="1003" spans="1:2" ht="15" x14ac:dyDescent="0.2">
      <c r="A1003" s="163" t="s">
        <v>1259</v>
      </c>
      <c r="B1003" s="157" t="s">
        <v>1278</v>
      </c>
    </row>
    <row r="1004" spans="1:2" ht="15" x14ac:dyDescent="0.2">
      <c r="A1004" s="163" t="s">
        <v>1259</v>
      </c>
      <c r="B1004" s="157" t="s">
        <v>1279</v>
      </c>
    </row>
    <row r="1005" spans="1:2" ht="15" x14ac:dyDescent="0.2">
      <c r="A1005" s="163"/>
      <c r="B1005" s="157"/>
    </row>
    <row r="1006" spans="1:2" ht="15" x14ac:dyDescent="0.2">
      <c r="A1006" s="164"/>
      <c r="B1006" s="165" t="s">
        <v>1280</v>
      </c>
    </row>
    <row r="1007" spans="1:2" ht="15" x14ac:dyDescent="0.2">
      <c r="A1007" s="91" t="s">
        <v>1281</v>
      </c>
      <c r="B1007" s="157" t="s">
        <v>1282</v>
      </c>
    </row>
    <row r="1008" spans="1:2" ht="15" x14ac:dyDescent="0.2">
      <c r="A1008" s="91"/>
      <c r="B1008" s="157" t="s">
        <v>1283</v>
      </c>
    </row>
    <row r="1009" spans="1:2" ht="15" x14ac:dyDescent="0.2">
      <c r="A1009" s="91" t="s">
        <v>1284</v>
      </c>
      <c r="B1009" s="157" t="s">
        <v>1285</v>
      </c>
    </row>
    <row r="1010" spans="1:2" ht="15" x14ac:dyDescent="0.2">
      <c r="A1010" s="91"/>
      <c r="B1010" s="157" t="s">
        <v>1286</v>
      </c>
    </row>
    <row r="1011" spans="1:2" ht="15" x14ac:dyDescent="0.2">
      <c r="A1011" s="91"/>
      <c r="B1011" s="157" t="s">
        <v>1287</v>
      </c>
    </row>
    <row r="1012" spans="1:2" ht="15" x14ac:dyDescent="0.2">
      <c r="A1012" s="91" t="s">
        <v>1288</v>
      </c>
      <c r="B1012" s="157" t="s">
        <v>1289</v>
      </c>
    </row>
    <row r="1013" spans="1:2" ht="15" x14ac:dyDescent="0.2">
      <c r="A1013" s="91"/>
      <c r="B1013" s="157" t="s">
        <v>1290</v>
      </c>
    </row>
    <row r="1014" spans="1:2" ht="15" x14ac:dyDescent="0.2">
      <c r="A1014" s="91" t="s">
        <v>1291</v>
      </c>
      <c r="B1014" s="156" t="s">
        <v>1292</v>
      </c>
    </row>
    <row r="1015" spans="1:2" ht="15" x14ac:dyDescent="0.2">
      <c r="A1015" s="91"/>
      <c r="B1015" s="156" t="s">
        <v>1293</v>
      </c>
    </row>
    <row r="1016" spans="1:2" ht="15" x14ac:dyDescent="0.2">
      <c r="A1016" s="91" t="s">
        <v>1294</v>
      </c>
      <c r="B1016" s="156" t="s">
        <v>1295</v>
      </c>
    </row>
    <row r="1017" spans="1:2" ht="15" x14ac:dyDescent="0.2">
      <c r="A1017" s="91"/>
      <c r="B1017" s="156" t="s">
        <v>1296</v>
      </c>
    </row>
    <row r="1018" spans="1:2" ht="15" x14ac:dyDescent="0.2">
      <c r="A1018" s="91" t="s">
        <v>1297</v>
      </c>
      <c r="B1018" s="166" t="s">
        <v>893</v>
      </c>
    </row>
    <row r="1019" spans="1:2" ht="15" x14ac:dyDescent="0.2">
      <c r="A1019" s="91"/>
      <c r="B1019" s="166" t="s">
        <v>894</v>
      </c>
    </row>
    <row r="1020" spans="1:2" ht="15" x14ac:dyDescent="0.2">
      <c r="A1020" s="91" t="s">
        <v>1298</v>
      </c>
      <c r="B1020" s="166" t="s">
        <v>1299</v>
      </c>
    </row>
    <row r="1021" spans="1:2" ht="15" x14ac:dyDescent="0.2">
      <c r="A1021" s="91"/>
      <c r="B1021" s="166" t="s">
        <v>1300</v>
      </c>
    </row>
    <row r="1022" spans="1:2" ht="15" x14ac:dyDescent="0.2">
      <c r="A1022" s="91" t="s">
        <v>1301</v>
      </c>
      <c r="B1022" s="166" t="s">
        <v>1302</v>
      </c>
    </row>
    <row r="1023" spans="1:2" ht="15" x14ac:dyDescent="0.2">
      <c r="A1023" s="91"/>
      <c r="B1023" s="166" t="s">
        <v>1303</v>
      </c>
    </row>
    <row r="1024" spans="1:2" ht="15" x14ac:dyDescent="0.2">
      <c r="A1024" s="91" t="s">
        <v>1304</v>
      </c>
      <c r="B1024" s="166" t="s">
        <v>1305</v>
      </c>
    </row>
    <row r="1025" spans="1:2" ht="15" x14ac:dyDescent="0.2">
      <c r="A1025" s="85"/>
      <c r="B1025" s="166" t="s">
        <v>1306</v>
      </c>
    </row>
    <row r="1026" spans="1:2" ht="15" x14ac:dyDescent="0.2">
      <c r="A1026" s="85"/>
      <c r="B1026" s="166"/>
    </row>
    <row r="1027" spans="1:2" ht="15" x14ac:dyDescent="0.2">
      <c r="A1027" s="167"/>
      <c r="B1027" s="128" t="s">
        <v>1307</v>
      </c>
    </row>
    <row r="1028" spans="1:2" ht="15" x14ac:dyDescent="0.2">
      <c r="A1028" s="85" t="s">
        <v>13</v>
      </c>
      <c r="B1028" s="129" t="s">
        <v>409</v>
      </c>
    </row>
    <row r="1029" spans="1:2" ht="15" x14ac:dyDescent="0.2">
      <c r="A1029" s="130" t="s">
        <v>242</v>
      </c>
      <c r="B1029" s="129" t="s">
        <v>1308</v>
      </c>
    </row>
    <row r="1030" spans="1:2" ht="15" x14ac:dyDescent="0.2">
      <c r="A1030" s="85" t="s">
        <v>242</v>
      </c>
      <c r="B1030" s="129" t="s">
        <v>1309</v>
      </c>
    </row>
    <row r="1031" spans="1:2" ht="15" x14ac:dyDescent="0.2">
      <c r="A1031" s="130" t="s">
        <v>242</v>
      </c>
      <c r="B1031" s="129" t="s">
        <v>1310</v>
      </c>
    </row>
    <row r="1032" spans="1:2" ht="15" x14ac:dyDescent="0.2">
      <c r="A1032" s="85" t="s">
        <v>13</v>
      </c>
      <c r="B1032" s="129" t="s">
        <v>1311</v>
      </c>
    </row>
    <row r="1033" spans="1:2" ht="15" x14ac:dyDescent="0.2">
      <c r="A1033" s="85" t="s">
        <v>242</v>
      </c>
      <c r="B1033" s="129" t="s">
        <v>1312</v>
      </c>
    </row>
    <row r="1034" spans="1:2" ht="15" x14ac:dyDescent="0.2">
      <c r="A1034" s="85" t="s">
        <v>242</v>
      </c>
      <c r="B1034" s="129" t="s">
        <v>1313</v>
      </c>
    </row>
    <row r="1035" spans="1:2" ht="15" x14ac:dyDescent="0.2">
      <c r="A1035" s="85" t="s">
        <v>242</v>
      </c>
      <c r="B1035" s="129" t="s">
        <v>1314</v>
      </c>
    </row>
    <row r="1036" spans="1:2" ht="15" x14ac:dyDescent="0.2">
      <c r="A1036" s="85" t="s">
        <v>242</v>
      </c>
      <c r="B1036" s="129" t="s">
        <v>1022</v>
      </c>
    </row>
    <row r="1037" spans="1:2" ht="15" x14ac:dyDescent="0.2">
      <c r="A1037" s="85" t="s">
        <v>13</v>
      </c>
      <c r="B1037" s="129" t="s">
        <v>1315</v>
      </c>
    </row>
    <row r="1038" spans="1:2" ht="15" x14ac:dyDescent="0.2">
      <c r="A1038" s="85" t="s">
        <v>242</v>
      </c>
      <c r="B1038" s="129" t="s">
        <v>1316</v>
      </c>
    </row>
    <row r="1039" spans="1:2" ht="15" x14ac:dyDescent="0.2">
      <c r="A1039" s="85" t="s">
        <v>242</v>
      </c>
      <c r="B1039" s="129" t="s">
        <v>1317</v>
      </c>
    </row>
    <row r="1040" spans="1:2" ht="15" x14ac:dyDescent="0.2">
      <c r="A1040" s="85" t="s">
        <v>242</v>
      </c>
      <c r="B1040" s="129" t="s">
        <v>1318</v>
      </c>
    </row>
    <row r="1041" spans="1:2" ht="15" x14ac:dyDescent="0.2">
      <c r="A1041" s="85" t="s">
        <v>242</v>
      </c>
      <c r="B1041" s="129" t="s">
        <v>1319</v>
      </c>
    </row>
    <row r="1042" spans="1:2" ht="15" x14ac:dyDescent="0.2">
      <c r="A1042" s="85" t="s">
        <v>242</v>
      </c>
      <c r="B1042" s="129" t="s">
        <v>1320</v>
      </c>
    </row>
    <row r="1043" spans="1:2" ht="28.5" x14ac:dyDescent="0.2">
      <c r="A1043" s="85" t="s">
        <v>242</v>
      </c>
      <c r="B1043" s="129" t="s">
        <v>1321</v>
      </c>
    </row>
    <row r="1044" spans="1:2" ht="15" x14ac:dyDescent="0.2">
      <c r="A1044" s="85" t="s">
        <v>242</v>
      </c>
      <c r="B1044" s="129" t="s">
        <v>1322</v>
      </c>
    </row>
    <row r="1045" spans="1:2" ht="15" x14ac:dyDescent="0.2">
      <c r="A1045" s="85" t="s">
        <v>13</v>
      </c>
      <c r="B1045" s="129" t="s">
        <v>1323</v>
      </c>
    </row>
    <row r="1046" spans="1:2" ht="15" x14ac:dyDescent="0.2">
      <c r="A1046" s="85" t="s">
        <v>242</v>
      </c>
      <c r="B1046" s="129" t="s">
        <v>1324</v>
      </c>
    </row>
    <row r="1047" spans="1:2" ht="15" x14ac:dyDescent="0.2">
      <c r="A1047" s="85" t="s">
        <v>242</v>
      </c>
      <c r="B1047" s="129" t="s">
        <v>1325</v>
      </c>
    </row>
    <row r="1048" spans="1:2" ht="15" x14ac:dyDescent="0.2">
      <c r="A1048" s="85" t="s">
        <v>242</v>
      </c>
      <c r="B1048" s="129" t="s">
        <v>1326</v>
      </c>
    </row>
    <row r="1049" spans="1:2" ht="15" x14ac:dyDescent="0.2">
      <c r="A1049" s="85" t="s">
        <v>242</v>
      </c>
      <c r="B1049" s="129" t="s">
        <v>1327</v>
      </c>
    </row>
    <row r="1050" spans="1:2" ht="15" x14ac:dyDescent="0.2">
      <c r="A1050" s="85" t="s">
        <v>242</v>
      </c>
      <c r="B1050" s="129" t="s">
        <v>1328</v>
      </c>
    </row>
    <row r="1051" spans="1:2" ht="15" x14ac:dyDescent="0.2">
      <c r="A1051" s="85" t="s">
        <v>242</v>
      </c>
      <c r="B1051" s="129" t="s">
        <v>1329</v>
      </c>
    </row>
    <row r="1052" spans="1:2" ht="15" x14ac:dyDescent="0.2">
      <c r="A1052" s="85" t="s">
        <v>13</v>
      </c>
      <c r="B1052" s="129" t="s">
        <v>1330</v>
      </c>
    </row>
    <row r="1053" spans="1:2" ht="15" x14ac:dyDescent="0.2">
      <c r="A1053" s="85" t="s">
        <v>242</v>
      </c>
      <c r="B1053" s="129" t="s">
        <v>1331</v>
      </c>
    </row>
    <row r="1054" spans="1:2" ht="15" x14ac:dyDescent="0.2">
      <c r="A1054" s="85" t="s">
        <v>242</v>
      </c>
      <c r="B1054" s="129" t="s">
        <v>1332</v>
      </c>
    </row>
    <row r="1055" spans="1:2" ht="15" x14ac:dyDescent="0.2">
      <c r="A1055" s="85" t="s">
        <v>242</v>
      </c>
      <c r="B1055" s="129" t="s">
        <v>1333</v>
      </c>
    </row>
    <row r="1056" spans="1:2" ht="15" x14ac:dyDescent="0.2">
      <c r="A1056" s="85" t="s">
        <v>13</v>
      </c>
      <c r="B1056" s="129" t="s">
        <v>1334</v>
      </c>
    </row>
    <row r="1057" spans="1:2" ht="15" x14ac:dyDescent="0.2">
      <c r="A1057" s="85" t="s">
        <v>242</v>
      </c>
      <c r="B1057" s="129" t="s">
        <v>1335</v>
      </c>
    </row>
    <row r="1058" spans="1:2" ht="15" x14ac:dyDescent="0.2">
      <c r="A1058" s="85" t="s">
        <v>242</v>
      </c>
      <c r="B1058" s="129" t="s">
        <v>1336</v>
      </c>
    </row>
    <row r="1059" spans="1:2" ht="15" x14ac:dyDescent="0.2">
      <c r="A1059" s="85" t="s">
        <v>242</v>
      </c>
      <c r="B1059" s="129" t="s">
        <v>1337</v>
      </c>
    </row>
    <row r="1060" spans="1:2" ht="15" x14ac:dyDescent="0.2">
      <c r="A1060" s="85" t="s">
        <v>242</v>
      </c>
      <c r="B1060" s="129" t="s">
        <v>1338</v>
      </c>
    </row>
    <row r="1061" spans="1:2" ht="15" x14ac:dyDescent="0.2">
      <c r="A1061" s="85" t="s">
        <v>242</v>
      </c>
      <c r="B1061" s="129" t="s">
        <v>1339</v>
      </c>
    </row>
    <row r="1062" spans="1:2" ht="15" x14ac:dyDescent="0.2">
      <c r="A1062" s="85" t="s">
        <v>242</v>
      </c>
      <c r="B1062" s="129" t="s">
        <v>1340</v>
      </c>
    </row>
    <row r="1063" spans="1:2" ht="15" x14ac:dyDescent="0.2">
      <c r="A1063" s="85" t="s">
        <v>242</v>
      </c>
      <c r="B1063" s="129" t="s">
        <v>1341</v>
      </c>
    </row>
    <row r="1064" spans="1:2" ht="15" x14ac:dyDescent="0.2">
      <c r="A1064" s="85" t="s">
        <v>242</v>
      </c>
      <c r="B1064" s="129" t="s">
        <v>1342</v>
      </c>
    </row>
    <row r="1065" spans="1:2" ht="15" x14ac:dyDescent="0.2">
      <c r="A1065" s="85" t="s">
        <v>242</v>
      </c>
      <c r="B1065" s="129" t="s">
        <v>1343</v>
      </c>
    </row>
    <row r="1066" spans="1:2" ht="15" x14ac:dyDescent="0.2">
      <c r="A1066" s="147"/>
      <c r="B1066" s="140"/>
    </row>
    <row r="1067" spans="1:2" ht="15" x14ac:dyDescent="0.25">
      <c r="A1067" s="168" t="s">
        <v>1344</v>
      </c>
      <c r="B1067" s="119" t="s">
        <v>1345</v>
      </c>
    </row>
    <row r="1068" spans="1:2" ht="15" x14ac:dyDescent="0.2">
      <c r="A1068" s="85"/>
      <c r="B1068" s="102"/>
    </row>
    <row r="1069" spans="1:2" ht="29.25" x14ac:dyDescent="0.2">
      <c r="A1069" s="82" t="s">
        <v>13</v>
      </c>
      <c r="B1069" s="120" t="s">
        <v>1346</v>
      </c>
    </row>
    <row r="1070" spans="1:2" ht="100.5" x14ac:dyDescent="0.2">
      <c r="A1070" s="82" t="s">
        <v>13</v>
      </c>
      <c r="B1070" s="120" t="s">
        <v>1347</v>
      </c>
    </row>
    <row r="1071" spans="1:2" ht="15" x14ac:dyDescent="0.2">
      <c r="A1071" s="82" t="s">
        <v>1348</v>
      </c>
      <c r="B1071" s="87" t="s">
        <v>1349</v>
      </c>
    </row>
    <row r="1072" spans="1:2" ht="57" x14ac:dyDescent="0.2">
      <c r="A1072" s="82" t="s">
        <v>1350</v>
      </c>
      <c r="B1072" s="88" t="s">
        <v>1351</v>
      </c>
    </row>
    <row r="1073" spans="1:2" ht="28.5" x14ac:dyDescent="0.2">
      <c r="A1073" s="82" t="s">
        <v>1352</v>
      </c>
      <c r="B1073" s="88" t="s">
        <v>1353</v>
      </c>
    </row>
    <row r="1074" spans="1:2" ht="57" x14ac:dyDescent="0.2">
      <c r="A1074" s="82" t="s">
        <v>1354</v>
      </c>
      <c r="B1074" s="87" t="s">
        <v>1355</v>
      </c>
    </row>
    <row r="1075" spans="1:2" ht="28.5" x14ac:dyDescent="0.2">
      <c r="A1075" s="82" t="s">
        <v>1356</v>
      </c>
      <c r="B1075" s="87" t="s">
        <v>1357</v>
      </c>
    </row>
    <row r="1076" spans="1:2" ht="15" x14ac:dyDescent="0.2">
      <c r="A1076" s="82" t="s">
        <v>1358</v>
      </c>
      <c r="B1076" s="87" t="s">
        <v>1359</v>
      </c>
    </row>
    <row r="1077" spans="1:2" ht="71.25" x14ac:dyDescent="0.2">
      <c r="A1077" s="82" t="s">
        <v>1360</v>
      </c>
      <c r="B1077" s="87" t="s">
        <v>1361</v>
      </c>
    </row>
    <row r="1078" spans="1:2" ht="15" x14ac:dyDescent="0.2">
      <c r="A1078" s="82" t="s">
        <v>1362</v>
      </c>
      <c r="B1078" s="87" t="s">
        <v>1363</v>
      </c>
    </row>
    <row r="1079" spans="1:2" ht="28.5" x14ac:dyDescent="0.2">
      <c r="A1079" s="82" t="s">
        <v>1364</v>
      </c>
      <c r="B1079" s="87" t="s">
        <v>1365</v>
      </c>
    </row>
    <row r="1080" spans="1:2" ht="28.5" x14ac:dyDescent="0.2">
      <c r="A1080" s="82" t="s">
        <v>1366</v>
      </c>
      <c r="B1080" s="87" t="s">
        <v>1367</v>
      </c>
    </row>
    <row r="1081" spans="1:2" ht="42.75" x14ac:dyDescent="0.2">
      <c r="A1081" s="82" t="s">
        <v>1368</v>
      </c>
      <c r="B1081" s="87" t="s">
        <v>1369</v>
      </c>
    </row>
    <row r="1082" spans="1:2" ht="57" x14ac:dyDescent="0.2">
      <c r="A1082" s="82" t="s">
        <v>1370</v>
      </c>
      <c r="B1082" s="87" t="s">
        <v>1371</v>
      </c>
    </row>
    <row r="1083" spans="1:2" ht="15" x14ac:dyDescent="0.2">
      <c r="A1083" s="82" t="s">
        <v>1372</v>
      </c>
      <c r="B1083" s="87" t="s">
        <v>1373</v>
      </c>
    </row>
    <row r="1084" spans="1:2" ht="71.25" x14ac:dyDescent="0.2">
      <c r="A1084" s="82" t="s">
        <v>1374</v>
      </c>
      <c r="B1084" s="87" t="s">
        <v>1375</v>
      </c>
    </row>
    <row r="1085" spans="1:2" ht="71.25" x14ac:dyDescent="0.2">
      <c r="A1085" s="82" t="s">
        <v>1376</v>
      </c>
      <c r="B1085" s="87" t="s">
        <v>1377</v>
      </c>
    </row>
    <row r="1086" spans="1:2" ht="15" x14ac:dyDescent="0.2">
      <c r="A1086" s="82" t="s">
        <v>1378</v>
      </c>
      <c r="B1086" s="87" t="s">
        <v>1379</v>
      </c>
    </row>
    <row r="1087" spans="1:2" ht="85.5" x14ac:dyDescent="0.2">
      <c r="A1087" s="82" t="s">
        <v>1380</v>
      </c>
      <c r="B1087" s="87" t="s">
        <v>1381</v>
      </c>
    </row>
    <row r="1088" spans="1:2" ht="42.75" x14ac:dyDescent="0.2">
      <c r="A1088" s="82" t="s">
        <v>1382</v>
      </c>
      <c r="B1088" s="87" t="s">
        <v>1383</v>
      </c>
    </row>
    <row r="1089" spans="1:2" ht="57" x14ac:dyDescent="0.2">
      <c r="A1089" s="82" t="s">
        <v>1384</v>
      </c>
      <c r="B1089" s="87" t="s">
        <v>1385</v>
      </c>
    </row>
    <row r="1090" spans="1:2" ht="28.5" x14ac:dyDescent="0.2">
      <c r="A1090" s="82" t="s">
        <v>1386</v>
      </c>
      <c r="B1090" s="87" t="s">
        <v>1387</v>
      </c>
    </row>
    <row r="1091" spans="1:2" ht="42.75" x14ac:dyDescent="0.2">
      <c r="A1091" s="85" t="s">
        <v>1388</v>
      </c>
      <c r="B1091" s="140" t="s">
        <v>1389</v>
      </c>
    </row>
    <row r="1092" spans="1:2" ht="42.75" x14ac:dyDescent="0.2">
      <c r="A1092" s="85" t="s">
        <v>1388</v>
      </c>
      <c r="B1092" s="140" t="s">
        <v>1390</v>
      </c>
    </row>
    <row r="1093" spans="1:2" ht="99.75" x14ac:dyDescent="0.2">
      <c r="A1093" s="85" t="s">
        <v>1391</v>
      </c>
      <c r="B1093" s="140" t="s">
        <v>1392</v>
      </c>
    </row>
    <row r="1094" spans="1:2" ht="42.75" x14ac:dyDescent="0.2">
      <c r="A1094" s="85" t="s">
        <v>1393</v>
      </c>
      <c r="B1094" s="140" t="s">
        <v>1394</v>
      </c>
    </row>
    <row r="1095" spans="1:2" ht="15" x14ac:dyDescent="0.2">
      <c r="A1095" s="85"/>
      <c r="B1095" s="140"/>
    </row>
    <row r="1096" spans="1:2" ht="15" x14ac:dyDescent="0.2">
      <c r="A1096" s="169"/>
      <c r="B1096" s="170" t="s">
        <v>1395</v>
      </c>
    </row>
    <row r="1097" spans="1:2" ht="15" x14ac:dyDescent="0.2">
      <c r="A1097" s="85" t="s">
        <v>1396</v>
      </c>
      <c r="B1097" s="112" t="s">
        <v>1397</v>
      </c>
    </row>
    <row r="1098" spans="1:2" ht="15" x14ac:dyDescent="0.2">
      <c r="A1098" s="85"/>
      <c r="B1098" s="112" t="s">
        <v>1398</v>
      </c>
    </row>
    <row r="1099" spans="1:2" ht="15" x14ac:dyDescent="0.2">
      <c r="A1099" s="85" t="s">
        <v>1399</v>
      </c>
      <c r="B1099" s="112" t="s">
        <v>1400</v>
      </c>
    </row>
    <row r="1100" spans="1:2" ht="15" x14ac:dyDescent="0.2">
      <c r="A1100" s="85"/>
      <c r="B1100" s="112" t="s">
        <v>1401</v>
      </c>
    </row>
    <row r="1101" spans="1:2" ht="15" x14ac:dyDescent="0.2">
      <c r="A1101" s="85" t="s">
        <v>1402</v>
      </c>
      <c r="B1101" s="112" t="s">
        <v>1403</v>
      </c>
    </row>
    <row r="1102" spans="1:2" ht="15" x14ac:dyDescent="0.2">
      <c r="A1102" s="85"/>
      <c r="B1102" s="112" t="s">
        <v>1404</v>
      </c>
    </row>
    <row r="1103" spans="1:2" ht="15" x14ac:dyDescent="0.2">
      <c r="A1103" s="85" t="s">
        <v>1405</v>
      </c>
      <c r="B1103" s="112" t="s">
        <v>1406</v>
      </c>
    </row>
    <row r="1104" spans="1:2" ht="15" x14ac:dyDescent="0.2">
      <c r="A1104" s="85"/>
      <c r="B1104" s="112" t="s">
        <v>1407</v>
      </c>
    </row>
    <row r="1105" spans="1:2" ht="15" x14ac:dyDescent="0.2">
      <c r="A1105" s="85" t="s">
        <v>1408</v>
      </c>
      <c r="B1105" s="112" t="s">
        <v>1409</v>
      </c>
    </row>
    <row r="1106" spans="1:2" ht="15" x14ac:dyDescent="0.2">
      <c r="A1106" s="85"/>
      <c r="B1106" s="112" t="s">
        <v>1410</v>
      </c>
    </row>
    <row r="1107" spans="1:2" ht="15" x14ac:dyDescent="0.2">
      <c r="A1107" s="85" t="s">
        <v>1411</v>
      </c>
      <c r="B1107" s="112" t="s">
        <v>1412</v>
      </c>
    </row>
    <row r="1108" spans="1:2" ht="15" x14ac:dyDescent="0.2">
      <c r="A1108" s="85"/>
      <c r="B1108" s="112" t="s">
        <v>1413</v>
      </c>
    </row>
    <row r="1109" spans="1:2" ht="15" x14ac:dyDescent="0.2">
      <c r="A1109" s="85" t="s">
        <v>1414</v>
      </c>
      <c r="B1109" s="112" t="s">
        <v>1415</v>
      </c>
    </row>
    <row r="1110" spans="1:2" ht="15" x14ac:dyDescent="0.2">
      <c r="A1110" s="85"/>
      <c r="B1110" s="112" t="s">
        <v>1416</v>
      </c>
    </row>
    <row r="1111" spans="1:2" ht="15" x14ac:dyDescent="0.2">
      <c r="A1111" s="85"/>
      <c r="B1111" s="112" t="s">
        <v>1417</v>
      </c>
    </row>
    <row r="1112" spans="1:2" ht="15" x14ac:dyDescent="0.2">
      <c r="A1112" s="85" t="s">
        <v>1418</v>
      </c>
      <c r="B1112" s="112" t="s">
        <v>1419</v>
      </c>
    </row>
    <row r="1113" spans="1:2" ht="15" x14ac:dyDescent="0.2">
      <c r="A1113" s="85"/>
      <c r="B1113" s="112" t="s">
        <v>1420</v>
      </c>
    </row>
    <row r="1114" spans="1:2" ht="15" x14ac:dyDescent="0.2">
      <c r="A1114" s="85" t="s">
        <v>1421</v>
      </c>
      <c r="B1114" s="112" t="s">
        <v>1422</v>
      </c>
    </row>
    <row r="1115" spans="1:2" ht="15" x14ac:dyDescent="0.2">
      <c r="A1115" s="85"/>
      <c r="B1115" s="112" t="s">
        <v>1423</v>
      </c>
    </row>
    <row r="1116" spans="1:2" ht="15" x14ac:dyDescent="0.2">
      <c r="A1116" s="85"/>
      <c r="B1116" s="112" t="s">
        <v>1424</v>
      </c>
    </row>
    <row r="1117" spans="1:2" ht="15" x14ac:dyDescent="0.2">
      <c r="A1117" s="85" t="s">
        <v>1425</v>
      </c>
      <c r="B1117" s="112" t="s">
        <v>1426</v>
      </c>
    </row>
    <row r="1118" spans="1:2" ht="15" x14ac:dyDescent="0.2">
      <c r="A1118" s="85"/>
      <c r="B1118" s="112" t="s">
        <v>1427</v>
      </c>
    </row>
    <row r="1119" spans="1:2" ht="15" x14ac:dyDescent="0.2">
      <c r="A1119" s="85" t="s">
        <v>1428</v>
      </c>
      <c r="B1119" s="112" t="s">
        <v>1429</v>
      </c>
    </row>
    <row r="1120" spans="1:2" ht="15" x14ac:dyDescent="0.2">
      <c r="A1120" s="85"/>
      <c r="B1120" s="112" t="s">
        <v>1430</v>
      </c>
    </row>
    <row r="1121" spans="1:2" ht="15" x14ac:dyDescent="0.2">
      <c r="A1121" s="85"/>
      <c r="B1121" s="112" t="s">
        <v>1431</v>
      </c>
    </row>
    <row r="1122" spans="1:2" ht="15" x14ac:dyDescent="0.2">
      <c r="A1122" s="85" t="s">
        <v>1432</v>
      </c>
      <c r="B1122" s="112" t="s">
        <v>1433</v>
      </c>
    </row>
    <row r="1123" spans="1:2" ht="15" x14ac:dyDescent="0.2">
      <c r="A1123" s="85"/>
      <c r="B1123" s="112" t="s">
        <v>1434</v>
      </c>
    </row>
    <row r="1124" spans="1:2" ht="15" x14ac:dyDescent="0.2">
      <c r="A1124" s="85" t="s">
        <v>1435</v>
      </c>
      <c r="B1124" s="112" t="s">
        <v>1436</v>
      </c>
    </row>
    <row r="1125" spans="1:2" ht="15" x14ac:dyDescent="0.2">
      <c r="A1125" s="85"/>
      <c r="B1125" s="112" t="s">
        <v>1437</v>
      </c>
    </row>
    <row r="1126" spans="1:2" ht="15" x14ac:dyDescent="0.2">
      <c r="A1126" s="85" t="s">
        <v>1438</v>
      </c>
      <c r="B1126" s="171" t="s">
        <v>893</v>
      </c>
    </row>
    <row r="1127" spans="1:2" ht="15" x14ac:dyDescent="0.2">
      <c r="A1127" s="85"/>
      <c r="B1127" s="171" t="s">
        <v>894</v>
      </c>
    </row>
    <row r="1128" spans="1:2" ht="15" x14ac:dyDescent="0.2">
      <c r="A1128" s="85" t="s">
        <v>1439</v>
      </c>
      <c r="B1128" s="171" t="s">
        <v>1299</v>
      </c>
    </row>
    <row r="1129" spans="1:2" ht="15" x14ac:dyDescent="0.2">
      <c r="A1129" s="85"/>
      <c r="B1129" s="171" t="s">
        <v>1440</v>
      </c>
    </row>
    <row r="1130" spans="1:2" ht="15" x14ac:dyDescent="0.2">
      <c r="A1130" s="85" t="s">
        <v>1441</v>
      </c>
      <c r="B1130" s="171" t="s">
        <v>1302</v>
      </c>
    </row>
    <row r="1131" spans="1:2" ht="15" x14ac:dyDescent="0.2">
      <c r="A1131" s="85"/>
      <c r="B1131" s="171" t="s">
        <v>1303</v>
      </c>
    </row>
    <row r="1132" spans="1:2" ht="15" x14ac:dyDescent="0.2">
      <c r="A1132" s="85" t="s">
        <v>1442</v>
      </c>
      <c r="B1132" s="171" t="s">
        <v>1305</v>
      </c>
    </row>
    <row r="1133" spans="1:2" ht="15" x14ac:dyDescent="0.2">
      <c r="A1133" s="85"/>
      <c r="B1133" s="171" t="s">
        <v>1306</v>
      </c>
    </row>
    <row r="1134" spans="1:2" ht="15" x14ac:dyDescent="0.2">
      <c r="A1134" s="85"/>
      <c r="B1134" s="140"/>
    </row>
    <row r="1135" spans="1:2" ht="15" x14ac:dyDescent="0.2">
      <c r="A1135" s="167"/>
      <c r="B1135" s="128" t="s">
        <v>1443</v>
      </c>
    </row>
    <row r="1136" spans="1:2" ht="15" x14ac:dyDescent="0.2">
      <c r="A1136" s="85" t="s">
        <v>13</v>
      </c>
      <c r="B1136" s="94" t="s">
        <v>1444</v>
      </c>
    </row>
    <row r="1137" spans="1:2" ht="15" x14ac:dyDescent="0.2">
      <c r="A1137" s="85" t="s">
        <v>13</v>
      </c>
      <c r="B1137" s="94" t="s">
        <v>1445</v>
      </c>
    </row>
    <row r="1138" spans="1:2" ht="15" x14ac:dyDescent="0.2">
      <c r="A1138" s="85" t="s">
        <v>13</v>
      </c>
      <c r="B1138" s="94" t="s">
        <v>1258</v>
      </c>
    </row>
    <row r="1139" spans="1:2" ht="15" x14ac:dyDescent="0.2">
      <c r="A1139" s="85" t="s">
        <v>1201</v>
      </c>
      <c r="B1139" s="94" t="s">
        <v>1446</v>
      </c>
    </row>
    <row r="1140" spans="1:2" ht="15" x14ac:dyDescent="0.2">
      <c r="A1140" s="85" t="s">
        <v>1201</v>
      </c>
      <c r="B1140" s="94" t="s">
        <v>1447</v>
      </c>
    </row>
    <row r="1141" spans="1:2" ht="15" x14ac:dyDescent="0.2">
      <c r="A1141" s="85" t="s">
        <v>1201</v>
      </c>
      <c r="B1141" s="94" t="s">
        <v>1448</v>
      </c>
    </row>
    <row r="1142" spans="1:2" ht="15" x14ac:dyDescent="0.2">
      <c r="A1142" s="85" t="s">
        <v>1201</v>
      </c>
      <c r="B1142" s="94" t="s">
        <v>1449</v>
      </c>
    </row>
    <row r="1143" spans="1:2" ht="15" x14ac:dyDescent="0.2">
      <c r="A1143" s="85" t="s">
        <v>1201</v>
      </c>
      <c r="B1143" s="94" t="s">
        <v>1450</v>
      </c>
    </row>
    <row r="1144" spans="1:2" ht="15" x14ac:dyDescent="0.2">
      <c r="A1144" s="85" t="s">
        <v>1201</v>
      </c>
      <c r="B1144" s="94" t="s">
        <v>1451</v>
      </c>
    </row>
    <row r="1145" spans="1:2" ht="15" x14ac:dyDescent="0.2">
      <c r="A1145" s="85" t="s">
        <v>1201</v>
      </c>
      <c r="B1145" s="94" t="s">
        <v>1452</v>
      </c>
    </row>
    <row r="1146" spans="1:2" ht="28.5" x14ac:dyDescent="0.2">
      <c r="A1146" s="85" t="s">
        <v>1201</v>
      </c>
      <c r="B1146" s="94" t="s">
        <v>1453</v>
      </c>
    </row>
    <row r="1147" spans="1:2" ht="15" x14ac:dyDescent="0.2">
      <c r="A1147" s="85" t="s">
        <v>13</v>
      </c>
      <c r="B1147" s="94" t="s">
        <v>1454</v>
      </c>
    </row>
    <row r="1148" spans="1:2" ht="28.5" x14ac:dyDescent="0.2">
      <c r="A1148" s="85" t="s">
        <v>13</v>
      </c>
      <c r="B1148" s="94" t="s">
        <v>1455</v>
      </c>
    </row>
    <row r="1149" spans="1:2" ht="15" x14ac:dyDescent="0.2">
      <c r="A1149" s="85" t="s">
        <v>13</v>
      </c>
      <c r="B1149" s="94" t="s">
        <v>1456</v>
      </c>
    </row>
    <row r="1150" spans="1:2" ht="15" x14ac:dyDescent="0.2">
      <c r="A1150" s="85" t="s">
        <v>13</v>
      </c>
      <c r="B1150" s="94" t="s">
        <v>1457</v>
      </c>
    </row>
    <row r="1151" spans="1:2" ht="28.5" x14ac:dyDescent="0.2">
      <c r="A1151" s="85" t="s">
        <v>13</v>
      </c>
      <c r="B1151" s="94" t="s">
        <v>1458</v>
      </c>
    </row>
    <row r="1152" spans="1:2" ht="15" x14ac:dyDescent="0.2">
      <c r="A1152" s="85" t="s">
        <v>13</v>
      </c>
      <c r="B1152" s="94" t="s">
        <v>1459</v>
      </c>
    </row>
    <row r="1153" spans="1:2" ht="15" x14ac:dyDescent="0.2">
      <c r="A1153" s="85" t="s">
        <v>13</v>
      </c>
      <c r="B1153" s="94" t="s">
        <v>1279</v>
      </c>
    </row>
    <row r="1154" spans="1:2" ht="15" x14ac:dyDescent="0.2">
      <c r="A1154" s="85" t="s">
        <v>13</v>
      </c>
      <c r="B1154" s="94" t="s">
        <v>1460</v>
      </c>
    </row>
    <row r="1155" spans="1:2" ht="15" x14ac:dyDescent="0.2">
      <c r="A1155" s="147"/>
      <c r="B1155" s="140"/>
    </row>
    <row r="1156" spans="1:2" ht="15" x14ac:dyDescent="0.2">
      <c r="A1156" s="138" t="s">
        <v>1461</v>
      </c>
      <c r="B1156" s="139" t="s">
        <v>1462</v>
      </c>
    </row>
    <row r="1157" spans="1:2" ht="15" x14ac:dyDescent="0.2">
      <c r="A1157" s="85"/>
      <c r="B1157" s="150"/>
    </row>
    <row r="1158" spans="1:2" ht="29.25" x14ac:dyDescent="0.2">
      <c r="A1158" s="82" t="s">
        <v>13</v>
      </c>
      <c r="B1158" s="120" t="s">
        <v>1463</v>
      </c>
    </row>
    <row r="1159" spans="1:2" ht="42.75" x14ac:dyDescent="0.2">
      <c r="A1159" s="82" t="s">
        <v>1464</v>
      </c>
      <c r="B1159" s="87" t="s">
        <v>1465</v>
      </c>
    </row>
    <row r="1160" spans="1:2" ht="57" x14ac:dyDescent="0.2">
      <c r="A1160" s="82" t="s">
        <v>1466</v>
      </c>
      <c r="B1160" s="87" t="s">
        <v>1467</v>
      </c>
    </row>
    <row r="1161" spans="1:2" ht="15" x14ac:dyDescent="0.2">
      <c r="A1161" s="82" t="s">
        <v>1468</v>
      </c>
      <c r="B1161" s="88" t="s">
        <v>1469</v>
      </c>
    </row>
    <row r="1162" spans="1:2" ht="28.5" x14ac:dyDescent="0.2">
      <c r="A1162" s="82" t="s">
        <v>1470</v>
      </c>
      <c r="B1162" s="88" t="s">
        <v>1471</v>
      </c>
    </row>
    <row r="1163" spans="1:2" ht="28.5" x14ac:dyDescent="0.2">
      <c r="A1163" s="82" t="s">
        <v>1472</v>
      </c>
      <c r="B1163" s="88" t="s">
        <v>1473</v>
      </c>
    </row>
    <row r="1164" spans="1:2" ht="42.75" x14ac:dyDescent="0.2">
      <c r="A1164" s="82" t="s">
        <v>1474</v>
      </c>
      <c r="B1164" s="88" t="s">
        <v>1475</v>
      </c>
    </row>
    <row r="1165" spans="1:2" ht="85.5" x14ac:dyDescent="0.2">
      <c r="A1165" s="82" t="s">
        <v>1476</v>
      </c>
      <c r="B1165" s="88" t="s">
        <v>1477</v>
      </c>
    </row>
    <row r="1166" spans="1:2" ht="71.25" x14ac:dyDescent="0.2">
      <c r="A1166" s="82" t="s">
        <v>1478</v>
      </c>
      <c r="B1166" s="88" t="s">
        <v>1479</v>
      </c>
    </row>
    <row r="1167" spans="1:2" ht="99.75" x14ac:dyDescent="0.2">
      <c r="A1167" s="82" t="s">
        <v>1480</v>
      </c>
      <c r="B1167" s="88" t="s">
        <v>1481</v>
      </c>
    </row>
    <row r="1168" spans="1:2" ht="57" x14ac:dyDescent="0.2">
      <c r="A1168" s="82" t="s">
        <v>1482</v>
      </c>
      <c r="B1168" s="88" t="s">
        <v>1483</v>
      </c>
    </row>
    <row r="1169" spans="1:2" ht="15" x14ac:dyDescent="0.2">
      <c r="A1169" s="85"/>
      <c r="B1169" s="150"/>
    </row>
    <row r="1170" spans="1:2" ht="15" x14ac:dyDescent="0.2">
      <c r="A1170" s="172"/>
      <c r="B1170" s="111" t="s">
        <v>1484</v>
      </c>
    </row>
    <row r="1171" spans="1:2" ht="15" x14ac:dyDescent="0.25">
      <c r="A1171" s="101" t="s">
        <v>1485</v>
      </c>
      <c r="B1171" s="112" t="s">
        <v>1486</v>
      </c>
    </row>
    <row r="1172" spans="1:2" ht="15" x14ac:dyDescent="0.25">
      <c r="A1172" s="101"/>
      <c r="B1172" s="112" t="s">
        <v>1487</v>
      </c>
    </row>
    <row r="1173" spans="1:2" ht="15" x14ac:dyDescent="0.25">
      <c r="A1173" s="101" t="s">
        <v>1488</v>
      </c>
      <c r="B1173" s="171" t="s">
        <v>893</v>
      </c>
    </row>
    <row r="1174" spans="1:2" ht="15" x14ac:dyDescent="0.25">
      <c r="A1174" s="101"/>
      <c r="B1174" s="171" t="s">
        <v>894</v>
      </c>
    </row>
    <row r="1175" spans="1:2" ht="15" x14ac:dyDescent="0.25">
      <c r="A1175" s="101" t="s">
        <v>1489</v>
      </c>
      <c r="B1175" s="171" t="s">
        <v>1299</v>
      </c>
    </row>
    <row r="1176" spans="1:2" ht="15" x14ac:dyDescent="0.25">
      <c r="A1176" s="101"/>
      <c r="B1176" s="171" t="s">
        <v>1440</v>
      </c>
    </row>
    <row r="1177" spans="1:2" ht="15" x14ac:dyDescent="0.25">
      <c r="A1177" s="101" t="s">
        <v>1490</v>
      </c>
      <c r="B1177" s="171" t="s">
        <v>1302</v>
      </c>
    </row>
    <row r="1178" spans="1:2" ht="15" x14ac:dyDescent="0.25">
      <c r="A1178" s="101"/>
      <c r="B1178" s="171" t="s">
        <v>1303</v>
      </c>
    </row>
    <row r="1179" spans="1:2" ht="15" x14ac:dyDescent="0.25">
      <c r="A1179" s="101" t="s">
        <v>1491</v>
      </c>
      <c r="B1179" s="171" t="s">
        <v>1305</v>
      </c>
    </row>
    <row r="1180" spans="1:2" ht="15" x14ac:dyDescent="0.25">
      <c r="A1180" s="101"/>
      <c r="B1180" s="171" t="s">
        <v>1306</v>
      </c>
    </row>
    <row r="1181" spans="1:2" ht="15" x14ac:dyDescent="0.2">
      <c r="A1181" s="85"/>
      <c r="B1181" s="150"/>
    </row>
    <row r="1182" spans="1:2" ht="15" x14ac:dyDescent="0.25">
      <c r="A1182" s="127"/>
      <c r="B1182" s="128" t="s">
        <v>1492</v>
      </c>
    </row>
    <row r="1183" spans="1:2" ht="15" x14ac:dyDescent="0.25">
      <c r="A1183" s="101" t="s">
        <v>242</v>
      </c>
      <c r="B1183" s="121" t="s">
        <v>409</v>
      </c>
    </row>
    <row r="1184" spans="1:2" ht="15" x14ac:dyDescent="0.25">
      <c r="A1184" s="101"/>
      <c r="B1184" s="121" t="s">
        <v>1493</v>
      </c>
    </row>
    <row r="1185" spans="1:2" ht="15" x14ac:dyDescent="0.25">
      <c r="A1185" s="101"/>
      <c r="B1185" s="121" t="s">
        <v>1494</v>
      </c>
    </row>
    <row r="1186" spans="1:2" ht="15" x14ac:dyDescent="0.25">
      <c r="A1186" s="101" t="s">
        <v>242</v>
      </c>
      <c r="B1186" s="121" t="s">
        <v>1495</v>
      </c>
    </row>
    <row r="1187" spans="1:2" ht="15" x14ac:dyDescent="0.2">
      <c r="A1187" s="85"/>
      <c r="B1187" s="121" t="s">
        <v>1496</v>
      </c>
    </row>
    <row r="1188" spans="1:2" ht="15" x14ac:dyDescent="0.2">
      <c r="A1188" s="85"/>
      <c r="B1188" s="121" t="s">
        <v>1497</v>
      </c>
    </row>
    <row r="1189" spans="1:2" ht="15" x14ac:dyDescent="0.2">
      <c r="A1189" s="85"/>
      <c r="B1189" s="121" t="s">
        <v>1498</v>
      </c>
    </row>
    <row r="1190" spans="1:2" ht="15" x14ac:dyDescent="0.25">
      <c r="A1190" s="101" t="s">
        <v>242</v>
      </c>
      <c r="B1190" s="121" t="s">
        <v>1499</v>
      </c>
    </row>
    <row r="1191" spans="1:2" ht="15" x14ac:dyDescent="0.2">
      <c r="A1191" s="85"/>
      <c r="B1191" s="121" t="s">
        <v>1500</v>
      </c>
    </row>
    <row r="1192" spans="1:2" ht="15" x14ac:dyDescent="0.2">
      <c r="A1192" s="85"/>
      <c r="B1192" s="121" t="s">
        <v>1501</v>
      </c>
    </row>
    <row r="1193" spans="1:2" ht="15" x14ac:dyDescent="0.2">
      <c r="A1193" s="85"/>
      <c r="B1193" s="121" t="s">
        <v>1502</v>
      </c>
    </row>
    <row r="1194" spans="1:2" ht="15" x14ac:dyDescent="0.2">
      <c r="A1194" s="85" t="s">
        <v>242</v>
      </c>
      <c r="B1194" s="121" t="s">
        <v>1503</v>
      </c>
    </row>
    <row r="1195" spans="1:2" ht="15" x14ac:dyDescent="0.25">
      <c r="A1195" s="101" t="s">
        <v>242</v>
      </c>
      <c r="B1195" s="121" t="s">
        <v>1504</v>
      </c>
    </row>
    <row r="1196" spans="1:2" ht="15" x14ac:dyDescent="0.25">
      <c r="A1196" s="101"/>
      <c r="B1196" s="121" t="s">
        <v>1505</v>
      </c>
    </row>
    <row r="1197" spans="1:2" ht="15" x14ac:dyDescent="0.2">
      <c r="A1197" s="85"/>
      <c r="B1197" s="121" t="s">
        <v>1506</v>
      </c>
    </row>
    <row r="1198" spans="1:2" ht="15" x14ac:dyDescent="0.2">
      <c r="A1198" s="85"/>
      <c r="B1198" s="121" t="s">
        <v>1507</v>
      </c>
    </row>
    <row r="1199" spans="1:2" ht="15" x14ac:dyDescent="0.2">
      <c r="A1199" s="85"/>
      <c r="B1199" s="121" t="s">
        <v>1508</v>
      </c>
    </row>
    <row r="1200" spans="1:2" ht="15" x14ac:dyDescent="0.2">
      <c r="A1200" s="85"/>
      <c r="B1200" s="121" t="s">
        <v>1509</v>
      </c>
    </row>
    <row r="1201" spans="1:2" ht="15" x14ac:dyDescent="0.2">
      <c r="A1201" s="85"/>
      <c r="B1201" s="121" t="s">
        <v>1510</v>
      </c>
    </row>
    <row r="1202" spans="1:2" ht="15" x14ac:dyDescent="0.2">
      <c r="A1202" s="85"/>
      <c r="B1202" s="121" t="s">
        <v>1511</v>
      </c>
    </row>
    <row r="1203" spans="1:2" ht="15" x14ac:dyDescent="0.2">
      <c r="A1203" s="85"/>
      <c r="B1203" s="121" t="s">
        <v>1512</v>
      </c>
    </row>
    <row r="1204" spans="1:2" ht="15" x14ac:dyDescent="0.25">
      <c r="A1204" s="101" t="s">
        <v>242</v>
      </c>
      <c r="B1204" s="121" t="s">
        <v>1513</v>
      </c>
    </row>
    <row r="1205" spans="1:2" ht="15" x14ac:dyDescent="0.2">
      <c r="A1205" s="85"/>
      <c r="B1205" s="121" t="s">
        <v>1514</v>
      </c>
    </row>
    <row r="1206" spans="1:2" ht="15" x14ac:dyDescent="0.2">
      <c r="A1206" s="85"/>
      <c r="B1206" s="121" t="s">
        <v>1515</v>
      </c>
    </row>
    <row r="1207" spans="1:2" ht="15" x14ac:dyDescent="0.25">
      <c r="A1207" s="101" t="s">
        <v>242</v>
      </c>
      <c r="B1207" s="121" t="s">
        <v>1334</v>
      </c>
    </row>
    <row r="1208" spans="1:2" ht="15" x14ac:dyDescent="0.2">
      <c r="A1208" s="85"/>
      <c r="B1208" s="121" t="s">
        <v>1516</v>
      </c>
    </row>
    <row r="1209" spans="1:2" ht="15" x14ac:dyDescent="0.2">
      <c r="A1209" s="85"/>
      <c r="B1209" s="121" t="s">
        <v>1517</v>
      </c>
    </row>
    <row r="1210" spans="1:2" ht="15" x14ac:dyDescent="0.2">
      <c r="A1210" s="85"/>
      <c r="B1210" s="121" t="s">
        <v>1518</v>
      </c>
    </row>
    <row r="1211" spans="1:2" ht="15" x14ac:dyDescent="0.2">
      <c r="A1211" s="85"/>
      <c r="B1211" s="121" t="s">
        <v>1519</v>
      </c>
    </row>
    <row r="1212" spans="1:2" ht="15" x14ac:dyDescent="0.2">
      <c r="A1212" s="85"/>
      <c r="B1212" s="121" t="s">
        <v>1520</v>
      </c>
    </row>
    <row r="1213" spans="1:2" ht="15" x14ac:dyDescent="0.2">
      <c r="A1213" s="85"/>
      <c r="B1213" s="121" t="s">
        <v>1521</v>
      </c>
    </row>
    <row r="1214" spans="1:2" ht="15" x14ac:dyDescent="0.2">
      <c r="A1214" s="85"/>
      <c r="B1214" s="121" t="s">
        <v>1522</v>
      </c>
    </row>
    <row r="1215" spans="1:2" ht="15" x14ac:dyDescent="0.2">
      <c r="A1215" s="85"/>
      <c r="B1215" s="121" t="s">
        <v>1523</v>
      </c>
    </row>
    <row r="1216" spans="1:2" ht="15" x14ac:dyDescent="0.25">
      <c r="A1216" s="101"/>
      <c r="B1216" s="121" t="s">
        <v>1524</v>
      </c>
    </row>
    <row r="1217" spans="1:2" ht="15" x14ac:dyDescent="0.25">
      <c r="A1217" s="101"/>
      <c r="B1217" s="121" t="s">
        <v>1525</v>
      </c>
    </row>
    <row r="1218" spans="1:2" ht="15" x14ac:dyDescent="0.25">
      <c r="A1218" s="101"/>
      <c r="B1218" s="121" t="s">
        <v>1526</v>
      </c>
    </row>
    <row r="1219" spans="1:2" ht="15" x14ac:dyDescent="0.2">
      <c r="A1219" s="85"/>
      <c r="B1219" s="121" t="s">
        <v>1527</v>
      </c>
    </row>
    <row r="1220" spans="1:2" ht="15" x14ac:dyDescent="0.2">
      <c r="A1220" s="85"/>
      <c r="B1220" s="121" t="s">
        <v>1528</v>
      </c>
    </row>
    <row r="1221" spans="1:2" ht="15" x14ac:dyDescent="0.25">
      <c r="A1221" s="101"/>
      <c r="B1221" s="121" t="s">
        <v>1529</v>
      </c>
    </row>
    <row r="1222" spans="1:2" ht="15" x14ac:dyDescent="0.25">
      <c r="A1222" s="101"/>
      <c r="B1222" s="121" t="s">
        <v>1530</v>
      </c>
    </row>
    <row r="1223" spans="1:2" ht="15" x14ac:dyDescent="0.25">
      <c r="A1223" s="101"/>
      <c r="B1223" s="121" t="s">
        <v>1531</v>
      </c>
    </row>
    <row r="1224" spans="1:2" ht="14.25" x14ac:dyDescent="0.2">
      <c r="A1224" s="173"/>
      <c r="B1224" s="102"/>
    </row>
    <row r="1225" spans="1:2" ht="15" x14ac:dyDescent="0.2">
      <c r="A1225" s="147"/>
      <c r="B1225" s="140"/>
    </row>
    <row r="1226" spans="1:2" ht="15" x14ac:dyDescent="0.2">
      <c r="A1226" s="138" t="s">
        <v>1532</v>
      </c>
      <c r="B1226" s="139" t="s">
        <v>1533</v>
      </c>
    </row>
    <row r="1227" spans="1:2" ht="15" x14ac:dyDescent="0.2">
      <c r="A1227" s="85"/>
      <c r="B1227" s="87"/>
    </row>
    <row r="1228" spans="1:2" ht="43.5" x14ac:dyDescent="0.2">
      <c r="A1228" s="82" t="s">
        <v>13</v>
      </c>
      <c r="B1228" s="120" t="s">
        <v>1534</v>
      </c>
    </row>
    <row r="1229" spans="1:2" ht="28.5" x14ac:dyDescent="0.2">
      <c r="A1229" s="82" t="s">
        <v>1535</v>
      </c>
      <c r="B1229" s="87" t="s">
        <v>1536</v>
      </c>
    </row>
    <row r="1230" spans="1:2" ht="28.5" x14ac:dyDescent="0.2">
      <c r="A1230" s="82" t="s">
        <v>1537</v>
      </c>
      <c r="B1230" s="87" t="s">
        <v>1538</v>
      </c>
    </row>
    <row r="1231" spans="1:2" ht="57" x14ac:dyDescent="0.2">
      <c r="A1231" s="82" t="s">
        <v>1539</v>
      </c>
      <c r="B1231" s="87" t="s">
        <v>1540</v>
      </c>
    </row>
    <row r="1232" spans="1:2" ht="28.5" x14ac:dyDescent="0.2">
      <c r="A1232" s="82" t="s">
        <v>1541</v>
      </c>
      <c r="B1232" s="87" t="s">
        <v>1542</v>
      </c>
    </row>
    <row r="1233" spans="1:2" ht="42.75" x14ac:dyDescent="0.2">
      <c r="A1233" s="82" t="s">
        <v>1543</v>
      </c>
      <c r="B1233" s="87" t="s">
        <v>1544</v>
      </c>
    </row>
    <row r="1234" spans="1:2" ht="28.5" x14ac:dyDescent="0.2">
      <c r="A1234" s="82" t="s">
        <v>1545</v>
      </c>
      <c r="B1234" s="87" t="s">
        <v>1546</v>
      </c>
    </row>
    <row r="1235" spans="1:2" ht="28.5" x14ac:dyDescent="0.2">
      <c r="A1235" s="82" t="s">
        <v>1547</v>
      </c>
      <c r="B1235" s="87" t="s">
        <v>1548</v>
      </c>
    </row>
    <row r="1236" spans="1:2" ht="72" x14ac:dyDescent="0.2">
      <c r="A1236" s="85" t="s">
        <v>1549</v>
      </c>
      <c r="B1236" s="87" t="s">
        <v>1550</v>
      </c>
    </row>
    <row r="1237" spans="1:2" ht="99.75" x14ac:dyDescent="0.2">
      <c r="A1237" s="85" t="s">
        <v>1551</v>
      </c>
      <c r="B1237" s="87" t="s">
        <v>1552</v>
      </c>
    </row>
    <row r="1238" spans="1:2" ht="15" x14ac:dyDescent="0.2">
      <c r="A1238" s="130"/>
      <c r="B1238" s="129"/>
    </row>
    <row r="1239" spans="1:2" ht="15" x14ac:dyDescent="0.2">
      <c r="A1239" s="167"/>
      <c r="B1239" s="111" t="s">
        <v>1553</v>
      </c>
    </row>
    <row r="1240" spans="1:2" ht="28.5" x14ac:dyDescent="0.2">
      <c r="A1240" s="130"/>
      <c r="B1240" s="112" t="s">
        <v>1554</v>
      </c>
    </row>
    <row r="1241" spans="1:2" ht="15" x14ac:dyDescent="0.2">
      <c r="A1241" s="130" t="s">
        <v>1555</v>
      </c>
      <c r="B1241" s="112" t="s">
        <v>502</v>
      </c>
    </row>
    <row r="1242" spans="1:2" ht="15" x14ac:dyDescent="0.2">
      <c r="A1242" s="130"/>
      <c r="B1242" s="112" t="s">
        <v>503</v>
      </c>
    </row>
    <row r="1243" spans="1:2" ht="15" x14ac:dyDescent="0.2">
      <c r="A1243" s="130"/>
      <c r="B1243" s="112" t="s">
        <v>527</v>
      </c>
    </row>
    <row r="1244" spans="1:2" ht="15" x14ac:dyDescent="0.2">
      <c r="A1244" s="130"/>
      <c r="B1244" s="112" t="s">
        <v>528</v>
      </c>
    </row>
    <row r="1245" spans="1:2" ht="15" x14ac:dyDescent="0.2">
      <c r="A1245" s="130" t="s">
        <v>1556</v>
      </c>
      <c r="B1245" s="113" t="s">
        <v>893</v>
      </c>
    </row>
    <row r="1246" spans="1:2" ht="15" x14ac:dyDescent="0.2">
      <c r="A1246" s="130"/>
      <c r="B1246" s="113" t="s">
        <v>894</v>
      </c>
    </row>
    <row r="1247" spans="1:2" ht="15" x14ac:dyDescent="0.2">
      <c r="A1247" s="130" t="s">
        <v>1557</v>
      </c>
      <c r="B1247" s="112" t="s">
        <v>1436</v>
      </c>
    </row>
    <row r="1248" spans="1:2" ht="15" x14ac:dyDescent="0.2">
      <c r="A1248" s="130"/>
      <c r="B1248" s="112" t="s">
        <v>1437</v>
      </c>
    </row>
    <row r="1249" spans="1:2" ht="15" x14ac:dyDescent="0.2">
      <c r="A1249" s="130" t="s">
        <v>1558</v>
      </c>
      <c r="B1249" s="112" t="s">
        <v>873</v>
      </c>
    </row>
    <row r="1250" spans="1:2" ht="15" x14ac:dyDescent="0.2">
      <c r="A1250" s="130"/>
      <c r="B1250" s="112" t="s">
        <v>874</v>
      </c>
    </row>
    <row r="1251" spans="1:2" ht="15" x14ac:dyDescent="0.2">
      <c r="A1251" s="130" t="s">
        <v>1559</v>
      </c>
      <c r="B1251" s="112" t="s">
        <v>876</v>
      </c>
    </row>
    <row r="1252" spans="1:2" ht="15" x14ac:dyDescent="0.2">
      <c r="A1252" s="130"/>
      <c r="B1252" s="112" t="s">
        <v>877</v>
      </c>
    </row>
    <row r="1253" spans="1:2" ht="15" x14ac:dyDescent="0.2">
      <c r="A1253" s="130" t="s">
        <v>1560</v>
      </c>
      <c r="B1253" s="113" t="s">
        <v>1561</v>
      </c>
    </row>
    <row r="1254" spans="1:2" ht="15" x14ac:dyDescent="0.2">
      <c r="A1254" s="130"/>
      <c r="B1254" s="113" t="s">
        <v>1562</v>
      </c>
    </row>
    <row r="1255" spans="1:2" ht="15" x14ac:dyDescent="0.2">
      <c r="A1255" s="130" t="s">
        <v>1563</v>
      </c>
      <c r="B1255" s="113" t="s">
        <v>980</v>
      </c>
    </row>
    <row r="1256" spans="1:2" ht="15" x14ac:dyDescent="0.2">
      <c r="A1256" s="130"/>
      <c r="B1256" s="113" t="s">
        <v>981</v>
      </c>
    </row>
    <row r="1257" spans="1:2" ht="15" x14ac:dyDescent="0.2">
      <c r="A1257" s="130" t="s">
        <v>1564</v>
      </c>
      <c r="B1257" s="112" t="s">
        <v>1565</v>
      </c>
    </row>
    <row r="1258" spans="1:2" ht="15" x14ac:dyDescent="0.2">
      <c r="A1258" s="130"/>
      <c r="B1258" s="113" t="s">
        <v>1566</v>
      </c>
    </row>
    <row r="1259" spans="1:2" ht="15" x14ac:dyDescent="0.2">
      <c r="A1259" s="130" t="s">
        <v>1567</v>
      </c>
      <c r="B1259" s="112" t="s">
        <v>1568</v>
      </c>
    </row>
    <row r="1260" spans="1:2" ht="15" x14ac:dyDescent="0.2">
      <c r="A1260" s="130"/>
      <c r="B1260" s="113" t="s">
        <v>1569</v>
      </c>
    </row>
    <row r="1261" spans="1:2" ht="15" x14ac:dyDescent="0.2">
      <c r="A1261" s="130"/>
      <c r="B1261" s="113" t="s">
        <v>1570</v>
      </c>
    </row>
    <row r="1262" spans="1:2" ht="28.5" x14ac:dyDescent="0.2">
      <c r="A1262" s="130" t="s">
        <v>1571</v>
      </c>
      <c r="B1262" s="113" t="s">
        <v>1572</v>
      </c>
    </row>
    <row r="1263" spans="1:2" ht="15" x14ac:dyDescent="0.2">
      <c r="A1263" s="130"/>
      <c r="B1263" s="113" t="s">
        <v>1573</v>
      </c>
    </row>
    <row r="1264" spans="1:2" ht="15" x14ac:dyDescent="0.2">
      <c r="A1264" s="130" t="s">
        <v>1574</v>
      </c>
      <c r="B1264" s="113" t="s">
        <v>1575</v>
      </c>
    </row>
    <row r="1265" spans="1:2" ht="15" x14ac:dyDescent="0.2">
      <c r="A1265" s="130"/>
      <c r="B1265" s="113" t="s">
        <v>1576</v>
      </c>
    </row>
    <row r="1266" spans="1:2" ht="15" x14ac:dyDescent="0.2">
      <c r="A1266" s="130" t="s">
        <v>1577</v>
      </c>
      <c r="B1266" s="113" t="s">
        <v>1578</v>
      </c>
    </row>
    <row r="1267" spans="1:2" ht="15" x14ac:dyDescent="0.2">
      <c r="A1267" s="130"/>
      <c r="B1267" s="113" t="s">
        <v>1579</v>
      </c>
    </row>
    <row r="1268" spans="1:2" ht="15" x14ac:dyDescent="0.2">
      <c r="A1268" s="130" t="s">
        <v>1580</v>
      </c>
      <c r="B1268" s="113" t="s">
        <v>1581</v>
      </c>
    </row>
    <row r="1269" spans="1:2" ht="15" x14ac:dyDescent="0.2">
      <c r="A1269" s="130"/>
      <c r="B1269" s="113" t="s">
        <v>493</v>
      </c>
    </row>
    <row r="1270" spans="1:2" ht="15" x14ac:dyDescent="0.2">
      <c r="A1270" s="130" t="s">
        <v>1582</v>
      </c>
      <c r="B1270" s="113" t="s">
        <v>1583</v>
      </c>
    </row>
    <row r="1271" spans="1:2" ht="15" x14ac:dyDescent="0.2">
      <c r="A1271" s="130"/>
      <c r="B1271" s="113" t="s">
        <v>1584</v>
      </c>
    </row>
    <row r="1272" spans="1:2" ht="15" x14ac:dyDescent="0.2">
      <c r="A1272" s="85"/>
      <c r="B1272" s="87"/>
    </row>
    <row r="1273" spans="1:2" ht="15" x14ac:dyDescent="0.25">
      <c r="A1273" s="127"/>
      <c r="B1273" s="135" t="s">
        <v>1585</v>
      </c>
    </row>
    <row r="1274" spans="1:2" ht="15" x14ac:dyDescent="0.2">
      <c r="A1274" s="130" t="s">
        <v>242</v>
      </c>
      <c r="B1274" s="129" t="s">
        <v>1586</v>
      </c>
    </row>
    <row r="1275" spans="1:2" ht="28.5" x14ac:dyDescent="0.25">
      <c r="A1275" s="136"/>
      <c r="B1275" s="129" t="s">
        <v>1587</v>
      </c>
    </row>
    <row r="1276" spans="1:2" ht="28.5" x14ac:dyDescent="0.25">
      <c r="A1276" s="136"/>
      <c r="B1276" s="129" t="s">
        <v>1588</v>
      </c>
    </row>
    <row r="1277" spans="1:2" ht="15" x14ac:dyDescent="0.2">
      <c r="A1277" s="130" t="s">
        <v>242</v>
      </c>
      <c r="B1277" s="174" t="s">
        <v>409</v>
      </c>
    </row>
    <row r="1278" spans="1:2" ht="15" x14ac:dyDescent="0.25">
      <c r="A1278" s="136"/>
      <c r="B1278" s="129" t="s">
        <v>696</v>
      </c>
    </row>
    <row r="1279" spans="1:2" ht="15" x14ac:dyDescent="0.25">
      <c r="A1279" s="136"/>
      <c r="B1279" s="129" t="s">
        <v>1589</v>
      </c>
    </row>
    <row r="1280" spans="1:2" ht="15" x14ac:dyDescent="0.25">
      <c r="A1280" s="136"/>
      <c r="B1280" s="129" t="s">
        <v>698</v>
      </c>
    </row>
    <row r="1281" spans="1:2" ht="15" x14ac:dyDescent="0.25">
      <c r="A1281" s="136"/>
      <c r="B1281" s="129" t="s">
        <v>699</v>
      </c>
    </row>
    <row r="1282" spans="1:2" ht="15" x14ac:dyDescent="0.25">
      <c r="A1282" s="136"/>
      <c r="B1282" s="129" t="s">
        <v>700</v>
      </c>
    </row>
    <row r="1283" spans="1:2" ht="15" x14ac:dyDescent="0.2">
      <c r="A1283" s="130" t="s">
        <v>242</v>
      </c>
      <c r="B1283" s="174" t="s">
        <v>1590</v>
      </c>
    </row>
    <row r="1284" spans="1:2" ht="99.75" x14ac:dyDescent="0.25">
      <c r="A1284" s="136"/>
      <c r="B1284" s="137" t="s">
        <v>1591</v>
      </c>
    </row>
    <row r="1285" spans="1:2" ht="15" x14ac:dyDescent="0.2">
      <c r="A1285" s="130" t="s">
        <v>242</v>
      </c>
      <c r="B1285" s="174" t="s">
        <v>1592</v>
      </c>
    </row>
    <row r="1286" spans="1:2" ht="15" x14ac:dyDescent="0.2">
      <c r="A1286" s="130" t="s">
        <v>242</v>
      </c>
      <c r="B1286" s="174" t="s">
        <v>1593</v>
      </c>
    </row>
    <row r="1287" spans="1:2" ht="42.75" x14ac:dyDescent="0.25">
      <c r="A1287" s="136"/>
      <c r="B1287" s="129" t="s">
        <v>1594</v>
      </c>
    </row>
    <row r="1288" spans="1:2" ht="29.25" x14ac:dyDescent="0.25">
      <c r="A1288" s="136"/>
      <c r="B1288" s="129" t="s">
        <v>1595</v>
      </c>
    </row>
    <row r="1289" spans="1:2" ht="42.75" x14ac:dyDescent="0.25">
      <c r="A1289" s="136"/>
      <c r="B1289" s="129" t="s">
        <v>1596</v>
      </c>
    </row>
    <row r="1290" spans="1:2" ht="42.75" x14ac:dyDescent="0.25">
      <c r="A1290" s="136"/>
      <c r="B1290" s="137" t="s">
        <v>1597</v>
      </c>
    </row>
    <row r="1291" spans="1:2" ht="15" x14ac:dyDescent="0.2">
      <c r="A1291" s="130" t="s">
        <v>242</v>
      </c>
      <c r="B1291" s="175" t="s">
        <v>1598</v>
      </c>
    </row>
    <row r="1292" spans="1:2" ht="72.75" x14ac:dyDescent="0.25">
      <c r="A1292" s="136"/>
      <c r="B1292" s="137" t="s">
        <v>1599</v>
      </c>
    </row>
    <row r="1293" spans="1:2" ht="15" x14ac:dyDescent="0.25">
      <c r="A1293" s="136"/>
      <c r="B1293" s="137" t="s">
        <v>1600</v>
      </c>
    </row>
    <row r="1294" spans="1:2" ht="86.25" x14ac:dyDescent="0.25">
      <c r="A1294" s="136"/>
      <c r="B1294" s="137" t="s">
        <v>1601</v>
      </c>
    </row>
    <row r="1295" spans="1:2" ht="129" x14ac:dyDescent="0.2">
      <c r="A1295" s="130"/>
      <c r="B1295" s="175" t="s">
        <v>1602</v>
      </c>
    </row>
    <row r="1296" spans="1:2" ht="15" x14ac:dyDescent="0.2">
      <c r="A1296" s="130" t="s">
        <v>242</v>
      </c>
      <c r="B1296" s="175" t="s">
        <v>1603</v>
      </c>
    </row>
    <row r="1297" spans="1:2" ht="57.75" x14ac:dyDescent="0.25">
      <c r="A1297" s="136"/>
      <c r="B1297" s="137" t="s">
        <v>1604</v>
      </c>
    </row>
    <row r="1298" spans="1:2" ht="43.5" x14ac:dyDescent="0.25">
      <c r="A1298" s="136"/>
      <c r="B1298" s="137" t="s">
        <v>1605</v>
      </c>
    </row>
    <row r="1299" spans="1:2" ht="57.75" x14ac:dyDescent="0.25">
      <c r="A1299" s="136"/>
      <c r="B1299" s="137" t="s">
        <v>1606</v>
      </c>
    </row>
    <row r="1300" spans="1:2" ht="157.5" x14ac:dyDescent="0.25">
      <c r="A1300" s="136"/>
      <c r="B1300" s="137" t="s">
        <v>1607</v>
      </c>
    </row>
    <row r="1301" spans="1:2" ht="28.5" x14ac:dyDescent="0.2">
      <c r="A1301" s="130" t="s">
        <v>242</v>
      </c>
      <c r="B1301" s="137" t="s">
        <v>1608</v>
      </c>
    </row>
    <row r="1302" spans="1:2" ht="15" x14ac:dyDescent="0.25">
      <c r="A1302" s="136"/>
      <c r="B1302" s="129" t="s">
        <v>681</v>
      </c>
    </row>
    <row r="1303" spans="1:2" ht="15" x14ac:dyDescent="0.25">
      <c r="A1303" s="136"/>
      <c r="B1303" s="129" t="s">
        <v>1609</v>
      </c>
    </row>
    <row r="1304" spans="1:2" ht="15" x14ac:dyDescent="0.25">
      <c r="A1304" s="136"/>
      <c r="B1304" s="129" t="s">
        <v>691</v>
      </c>
    </row>
    <row r="1305" spans="1:2" ht="15" x14ac:dyDescent="0.25">
      <c r="A1305" s="136"/>
      <c r="B1305" s="129" t="s">
        <v>1610</v>
      </c>
    </row>
    <row r="1306" spans="1:2" ht="15" x14ac:dyDescent="0.25">
      <c r="A1306" s="136"/>
      <c r="B1306" s="129" t="s">
        <v>693</v>
      </c>
    </row>
    <row r="1307" spans="1:2" ht="15" x14ac:dyDescent="0.2">
      <c r="A1307" s="130" t="s">
        <v>242</v>
      </c>
      <c r="B1307" s="129" t="s">
        <v>694</v>
      </c>
    </row>
    <row r="1308" spans="1:2" ht="15" x14ac:dyDescent="0.25">
      <c r="A1308" s="101"/>
      <c r="B1308" s="102"/>
    </row>
    <row r="1309" spans="1:2" ht="15" x14ac:dyDescent="0.2">
      <c r="A1309" s="138"/>
      <c r="B1309" s="139" t="s">
        <v>1611</v>
      </c>
    </row>
    <row r="1310" spans="1:2" ht="15" x14ac:dyDescent="0.2">
      <c r="A1310" s="85"/>
      <c r="B1310" s="153"/>
    </row>
    <row r="1311" spans="1:2" ht="29.25" x14ac:dyDescent="0.2">
      <c r="A1311" s="82" t="s">
        <v>13</v>
      </c>
      <c r="B1311" s="120" t="s">
        <v>1612</v>
      </c>
    </row>
    <row r="1312" spans="1:2" ht="42.75" x14ac:dyDescent="0.2">
      <c r="A1312" s="82" t="s">
        <v>13</v>
      </c>
      <c r="B1312" s="88" t="s">
        <v>1613</v>
      </c>
    </row>
    <row r="1313" spans="1:2" ht="15" x14ac:dyDescent="0.2">
      <c r="A1313" s="82" t="s">
        <v>13</v>
      </c>
      <c r="B1313" s="88" t="s">
        <v>1614</v>
      </c>
    </row>
    <row r="1314" spans="1:2" ht="42.75" x14ac:dyDescent="0.2">
      <c r="A1314" s="82" t="s">
        <v>13</v>
      </c>
      <c r="B1314" s="88" t="s">
        <v>1615</v>
      </c>
    </row>
    <row r="1315" spans="1:2" ht="57" x14ac:dyDescent="0.2">
      <c r="A1315" s="82" t="s">
        <v>13</v>
      </c>
      <c r="B1315" s="88" t="s">
        <v>1616</v>
      </c>
    </row>
    <row r="1316" spans="1:2" ht="28.5" x14ac:dyDescent="0.2">
      <c r="A1316" s="82" t="s">
        <v>13</v>
      </c>
      <c r="B1316" s="88" t="s">
        <v>1617</v>
      </c>
    </row>
    <row r="1317" spans="1:2" ht="242.25" x14ac:dyDescent="0.2">
      <c r="A1317" s="82" t="s">
        <v>13</v>
      </c>
      <c r="B1317" s="87" t="s">
        <v>1618</v>
      </c>
    </row>
    <row r="1318" spans="1:2" ht="15" x14ac:dyDescent="0.2">
      <c r="A1318" s="85"/>
      <c r="B1318" s="153"/>
    </row>
    <row r="1319" spans="1:2" ht="15" x14ac:dyDescent="0.25">
      <c r="A1319" s="132"/>
      <c r="B1319" s="176" t="s">
        <v>1619</v>
      </c>
    </row>
    <row r="1320" spans="1:2" ht="15" x14ac:dyDescent="0.25">
      <c r="A1320" s="101" t="s">
        <v>242</v>
      </c>
      <c r="B1320" s="177" t="s">
        <v>1620</v>
      </c>
    </row>
    <row r="1321" spans="1:2" ht="15" x14ac:dyDescent="0.25">
      <c r="A1321" s="101"/>
      <c r="B1321" s="177" t="s">
        <v>1621</v>
      </c>
    </row>
    <row r="1322" spans="1:2" ht="15" x14ac:dyDescent="0.25">
      <c r="A1322" s="101"/>
      <c r="B1322" s="177" t="s">
        <v>1622</v>
      </c>
    </row>
    <row r="1323" spans="1:2" ht="15" x14ac:dyDescent="0.25">
      <c r="A1323" s="101"/>
      <c r="B1323" s="177" t="s">
        <v>1623</v>
      </c>
    </row>
    <row r="1324" spans="1:2" ht="15" x14ac:dyDescent="0.25">
      <c r="A1324" s="101"/>
      <c r="B1324" s="177" t="s">
        <v>1624</v>
      </c>
    </row>
    <row r="1325" spans="1:2" ht="15" x14ac:dyDescent="0.25">
      <c r="A1325" s="101"/>
      <c r="B1325" s="177" t="s">
        <v>1625</v>
      </c>
    </row>
    <row r="1326" spans="1:2" ht="15" x14ac:dyDescent="0.25">
      <c r="A1326" s="101"/>
      <c r="B1326" s="177" t="s">
        <v>1626</v>
      </c>
    </row>
    <row r="1327" spans="1:2" ht="15" x14ac:dyDescent="0.25">
      <c r="A1327" s="101"/>
      <c r="B1327" s="177" t="s">
        <v>1627</v>
      </c>
    </row>
    <row r="1328" spans="1:2" ht="15" x14ac:dyDescent="0.25">
      <c r="A1328" s="101"/>
      <c r="B1328" s="177" t="s">
        <v>1628</v>
      </c>
    </row>
    <row r="1329" spans="1:2" ht="15" x14ac:dyDescent="0.25">
      <c r="A1329" s="101"/>
      <c r="B1329" s="177" t="s">
        <v>1629</v>
      </c>
    </row>
    <row r="1330" spans="1:2" ht="15" x14ac:dyDescent="0.25">
      <c r="A1330" s="101" t="s">
        <v>242</v>
      </c>
      <c r="B1330" s="177" t="s">
        <v>1630</v>
      </c>
    </row>
    <row r="1331" spans="1:2" ht="15" x14ac:dyDescent="0.25">
      <c r="A1331" s="101"/>
      <c r="B1331" s="177" t="s">
        <v>1631</v>
      </c>
    </row>
    <row r="1332" spans="1:2" ht="15" x14ac:dyDescent="0.25">
      <c r="A1332" s="101"/>
      <c r="B1332" s="177" t="s">
        <v>1632</v>
      </c>
    </row>
    <row r="1333" spans="1:2" ht="15" x14ac:dyDescent="0.25">
      <c r="A1333" s="101"/>
      <c r="B1333" s="177" t="s">
        <v>1633</v>
      </c>
    </row>
    <row r="1334" spans="1:2" ht="15" x14ac:dyDescent="0.25">
      <c r="A1334" s="101"/>
      <c r="B1334" s="177" t="s">
        <v>1634</v>
      </c>
    </row>
    <row r="1335" spans="1:2" ht="15" x14ac:dyDescent="0.25">
      <c r="A1335" s="101"/>
      <c r="B1335" s="177" t="s">
        <v>1635</v>
      </c>
    </row>
    <row r="1336" spans="1:2" ht="15" x14ac:dyDescent="0.25">
      <c r="A1336" s="101"/>
      <c r="B1336" s="177" t="s">
        <v>1636</v>
      </c>
    </row>
    <row r="1337" spans="1:2" ht="15" x14ac:dyDescent="0.25">
      <c r="A1337" s="101"/>
      <c r="B1337" s="177" t="s">
        <v>1637</v>
      </c>
    </row>
    <row r="1338" spans="1:2" ht="15" x14ac:dyDescent="0.25">
      <c r="A1338" s="101"/>
      <c r="B1338" s="177" t="s">
        <v>1638</v>
      </c>
    </row>
    <row r="1339" spans="1:2" ht="15" x14ac:dyDescent="0.25">
      <c r="A1339" s="101"/>
      <c r="B1339" s="177" t="s">
        <v>1639</v>
      </c>
    </row>
    <row r="1340" spans="1:2" ht="15" x14ac:dyDescent="0.25">
      <c r="A1340" s="101" t="s">
        <v>242</v>
      </c>
      <c r="B1340" s="177" t="s">
        <v>1031</v>
      </c>
    </row>
    <row r="1341" spans="1:2" ht="15" x14ac:dyDescent="0.25">
      <c r="A1341" s="101"/>
      <c r="B1341" s="177" t="s">
        <v>1640</v>
      </c>
    </row>
    <row r="1342" spans="1:2" ht="15" x14ac:dyDescent="0.25">
      <c r="A1342" s="101"/>
      <c r="B1342" s="177" t="s">
        <v>1641</v>
      </c>
    </row>
    <row r="1343" spans="1:2" ht="15" x14ac:dyDescent="0.25">
      <c r="A1343" s="101"/>
      <c r="B1343" s="177" t="s">
        <v>1642</v>
      </c>
    </row>
    <row r="1344" spans="1:2" ht="15" x14ac:dyDescent="0.25">
      <c r="A1344" s="101"/>
      <c r="B1344" s="177" t="s">
        <v>1643</v>
      </c>
    </row>
    <row r="1345" spans="1:2" ht="15" x14ac:dyDescent="0.25">
      <c r="A1345" s="101" t="s">
        <v>242</v>
      </c>
      <c r="B1345" s="177" t="s">
        <v>420</v>
      </c>
    </row>
    <row r="1346" spans="1:2" ht="15" x14ac:dyDescent="0.25">
      <c r="A1346" s="101"/>
      <c r="B1346" s="177" t="s">
        <v>1644</v>
      </c>
    </row>
    <row r="1347" spans="1:2" ht="15" x14ac:dyDescent="0.25">
      <c r="A1347" s="101"/>
      <c r="B1347" s="177" t="s">
        <v>1645</v>
      </c>
    </row>
    <row r="1348" spans="1:2" ht="15" x14ac:dyDescent="0.25">
      <c r="A1348" s="101"/>
      <c r="B1348" s="177" t="s">
        <v>1646</v>
      </c>
    </row>
    <row r="1349" spans="1:2" ht="15" x14ac:dyDescent="0.25">
      <c r="A1349" s="101"/>
      <c r="B1349" s="177" t="s">
        <v>1647</v>
      </c>
    </row>
    <row r="1350" spans="1:2" ht="15" x14ac:dyDescent="0.2">
      <c r="A1350" s="85"/>
      <c r="B1350" s="153"/>
    </row>
    <row r="1351" spans="1:2" ht="15" x14ac:dyDescent="0.2">
      <c r="A1351" s="97"/>
      <c r="B1351" s="98" t="s">
        <v>1648</v>
      </c>
    </row>
    <row r="1352" spans="1:2" ht="15" x14ac:dyDescent="0.25">
      <c r="A1352" s="101"/>
      <c r="B1352" s="102"/>
    </row>
    <row r="1353" spans="1:2" ht="29.25" x14ac:dyDescent="0.2">
      <c r="A1353" s="82" t="s">
        <v>13</v>
      </c>
      <c r="B1353" s="120" t="s">
        <v>1649</v>
      </c>
    </row>
    <row r="1354" spans="1:2" ht="71.25" x14ac:dyDescent="0.2">
      <c r="A1354" s="82" t="s">
        <v>13</v>
      </c>
      <c r="B1354" s="87" t="s">
        <v>1650</v>
      </c>
    </row>
    <row r="1355" spans="1:2" ht="28.5" x14ac:dyDescent="0.2">
      <c r="A1355" s="82" t="s">
        <v>13</v>
      </c>
      <c r="B1355" s="87" t="s">
        <v>1651</v>
      </c>
    </row>
    <row r="1356" spans="1:2" ht="42.75" x14ac:dyDescent="0.2">
      <c r="A1356" s="82" t="s">
        <v>13</v>
      </c>
      <c r="B1356" s="87" t="s">
        <v>813</v>
      </c>
    </row>
    <row r="1357" spans="1:2" ht="28.5" x14ac:dyDescent="0.2">
      <c r="A1357" s="82" t="s">
        <v>13</v>
      </c>
      <c r="B1357" s="87" t="s">
        <v>1050</v>
      </c>
    </row>
    <row r="1358" spans="1:2" ht="28.5" x14ac:dyDescent="0.2">
      <c r="A1358" s="82" t="s">
        <v>13</v>
      </c>
      <c r="B1358" s="87" t="s">
        <v>1652</v>
      </c>
    </row>
    <row r="1359" spans="1:2" ht="57" x14ac:dyDescent="0.2">
      <c r="A1359" s="82" t="s">
        <v>13</v>
      </c>
      <c r="B1359" s="88" t="s">
        <v>1653</v>
      </c>
    </row>
    <row r="1360" spans="1:2" ht="42.75" x14ac:dyDescent="0.2">
      <c r="A1360" s="82" t="s">
        <v>13</v>
      </c>
      <c r="B1360" s="87" t="s">
        <v>1654</v>
      </c>
    </row>
    <row r="1361" spans="1:2" ht="28.5" x14ac:dyDescent="0.2">
      <c r="A1361" s="82" t="s">
        <v>13</v>
      </c>
      <c r="B1361" s="87" t="s">
        <v>1655</v>
      </c>
    </row>
    <row r="1362" spans="1:2" ht="15" x14ac:dyDescent="0.25">
      <c r="A1362" s="101"/>
      <c r="B1362" s="102"/>
    </row>
    <row r="1363" spans="1:2" ht="15" x14ac:dyDescent="0.25">
      <c r="A1363" s="127"/>
      <c r="B1363" s="128" t="s">
        <v>1656</v>
      </c>
    </row>
    <row r="1364" spans="1:2" ht="15" x14ac:dyDescent="0.25">
      <c r="A1364" s="101" t="s">
        <v>242</v>
      </c>
      <c r="B1364" s="121" t="s">
        <v>409</v>
      </c>
    </row>
    <row r="1365" spans="1:2" ht="15" x14ac:dyDescent="0.25">
      <c r="A1365" s="101"/>
      <c r="B1365" s="121" t="s">
        <v>1657</v>
      </c>
    </row>
    <row r="1366" spans="1:2" ht="15" x14ac:dyDescent="0.25">
      <c r="A1366" s="101"/>
      <c r="B1366" s="121" t="s">
        <v>1658</v>
      </c>
    </row>
    <row r="1367" spans="1:2" ht="15" x14ac:dyDescent="0.25">
      <c r="A1367" s="101" t="s">
        <v>242</v>
      </c>
      <c r="B1367" s="121" t="s">
        <v>1659</v>
      </c>
    </row>
    <row r="1368" spans="1:2" ht="15" x14ac:dyDescent="0.2">
      <c r="A1368" s="85"/>
      <c r="B1368" s="121" t="s">
        <v>1312</v>
      </c>
    </row>
    <row r="1369" spans="1:2" ht="15" x14ac:dyDescent="0.2">
      <c r="A1369" s="85"/>
      <c r="B1369" s="121" t="s">
        <v>1660</v>
      </c>
    </row>
    <row r="1370" spans="1:2" ht="15" x14ac:dyDescent="0.2">
      <c r="A1370" s="85"/>
      <c r="B1370" s="121" t="s">
        <v>1314</v>
      </c>
    </row>
    <row r="1371" spans="1:2" ht="28.5" x14ac:dyDescent="0.2">
      <c r="A1371" s="85" t="s">
        <v>242</v>
      </c>
      <c r="B1371" s="87" t="s">
        <v>1661</v>
      </c>
    </row>
    <row r="1372" spans="1:2" ht="15" x14ac:dyDescent="0.25">
      <c r="A1372" s="101" t="s">
        <v>242</v>
      </c>
      <c r="B1372" s="121" t="s">
        <v>1630</v>
      </c>
    </row>
    <row r="1373" spans="1:2" ht="15" x14ac:dyDescent="0.25">
      <c r="A1373" s="101"/>
      <c r="B1373" s="121" t="s">
        <v>1662</v>
      </c>
    </row>
    <row r="1374" spans="1:2" ht="15" x14ac:dyDescent="0.2">
      <c r="A1374" s="85"/>
      <c r="B1374" s="121" t="s">
        <v>1024</v>
      </c>
    </row>
    <row r="1375" spans="1:2" ht="15" x14ac:dyDescent="0.2">
      <c r="A1375" s="85"/>
      <c r="B1375" s="121" t="s">
        <v>1663</v>
      </c>
    </row>
    <row r="1376" spans="1:2" ht="15" x14ac:dyDescent="0.2">
      <c r="A1376" s="85"/>
      <c r="B1376" s="121" t="s">
        <v>1664</v>
      </c>
    </row>
    <row r="1377" spans="1:2" ht="15" x14ac:dyDescent="0.2">
      <c r="A1377" s="85"/>
      <c r="B1377" s="121" t="s">
        <v>1665</v>
      </c>
    </row>
    <row r="1378" spans="1:2" ht="15" x14ac:dyDescent="0.2">
      <c r="A1378" s="85"/>
      <c r="B1378" s="121" t="s">
        <v>1666</v>
      </c>
    </row>
    <row r="1379" spans="1:2" ht="15" x14ac:dyDescent="0.2">
      <c r="A1379" s="85"/>
      <c r="B1379" s="121" t="s">
        <v>1667</v>
      </c>
    </row>
    <row r="1380" spans="1:2" ht="15" x14ac:dyDescent="0.2">
      <c r="A1380" s="85"/>
      <c r="B1380" s="121" t="s">
        <v>1668</v>
      </c>
    </row>
    <row r="1381" spans="1:2" ht="15" x14ac:dyDescent="0.25">
      <c r="A1381" s="101" t="s">
        <v>242</v>
      </c>
      <c r="B1381" s="121" t="s">
        <v>1669</v>
      </c>
    </row>
    <row r="1382" spans="1:2" ht="15" x14ac:dyDescent="0.2">
      <c r="A1382" s="85"/>
      <c r="B1382" s="121" t="s">
        <v>1670</v>
      </c>
    </row>
    <row r="1383" spans="1:2" ht="15" x14ac:dyDescent="0.2">
      <c r="A1383" s="85"/>
      <c r="B1383" s="121" t="s">
        <v>1671</v>
      </c>
    </row>
    <row r="1384" spans="1:2" ht="15" x14ac:dyDescent="0.2">
      <c r="A1384" s="85"/>
      <c r="B1384" s="121" t="s">
        <v>1672</v>
      </c>
    </row>
    <row r="1385" spans="1:2" ht="15" x14ac:dyDescent="0.2">
      <c r="A1385" s="85"/>
      <c r="B1385" s="121" t="s">
        <v>1673</v>
      </c>
    </row>
    <row r="1386" spans="1:2" ht="15" x14ac:dyDescent="0.2">
      <c r="A1386" s="85"/>
      <c r="B1386" s="121" t="s">
        <v>1674</v>
      </c>
    </row>
    <row r="1387" spans="1:2" ht="15" x14ac:dyDescent="0.25">
      <c r="A1387" s="101" t="s">
        <v>242</v>
      </c>
      <c r="B1387" s="121" t="s">
        <v>1675</v>
      </c>
    </row>
    <row r="1388" spans="1:2" ht="28.5" x14ac:dyDescent="0.2">
      <c r="A1388" s="85"/>
      <c r="B1388" s="121" t="s">
        <v>1676</v>
      </c>
    </row>
    <row r="1389" spans="1:2" ht="28.5" x14ac:dyDescent="0.2">
      <c r="A1389" s="85"/>
      <c r="B1389" s="121" t="s">
        <v>1677</v>
      </c>
    </row>
    <row r="1390" spans="1:2" ht="15" x14ac:dyDescent="0.2">
      <c r="A1390" s="85"/>
      <c r="B1390" s="121" t="s">
        <v>1678</v>
      </c>
    </row>
    <row r="1391" spans="1:2" ht="15" x14ac:dyDescent="0.2">
      <c r="A1391" s="85"/>
      <c r="B1391" s="121"/>
    </row>
    <row r="1392" spans="1:2" ht="15" x14ac:dyDescent="0.2">
      <c r="A1392" s="152"/>
      <c r="B1392" s="111" t="s">
        <v>1679</v>
      </c>
    </row>
    <row r="1393" spans="1:2" ht="15" x14ac:dyDescent="0.2">
      <c r="A1393" s="85"/>
      <c r="B1393" s="178" t="s">
        <v>1565</v>
      </c>
    </row>
    <row r="1394" spans="1:2" ht="15" x14ac:dyDescent="0.2">
      <c r="A1394" s="85"/>
      <c r="B1394" s="171" t="s">
        <v>1566</v>
      </c>
    </row>
    <row r="1395" spans="1:2" ht="15" x14ac:dyDescent="0.2">
      <c r="A1395" s="85"/>
      <c r="B1395" s="178" t="s">
        <v>1568</v>
      </c>
    </row>
    <row r="1396" spans="1:2" ht="15" x14ac:dyDescent="0.2">
      <c r="A1396" s="85"/>
      <c r="B1396" s="171" t="s">
        <v>1569</v>
      </c>
    </row>
    <row r="1397" spans="1:2" ht="15" x14ac:dyDescent="0.2">
      <c r="A1397" s="85"/>
      <c r="B1397" s="171" t="s">
        <v>1680</v>
      </c>
    </row>
    <row r="1398" spans="1:2" ht="28.5" x14ac:dyDescent="0.2">
      <c r="A1398" s="85"/>
      <c r="B1398" s="171" t="s">
        <v>1572</v>
      </c>
    </row>
    <row r="1399" spans="1:2" ht="15" x14ac:dyDescent="0.2">
      <c r="A1399" s="85"/>
      <c r="B1399" s="171" t="s">
        <v>1573</v>
      </c>
    </row>
    <row r="1400" spans="1:2" ht="15" x14ac:dyDescent="0.2">
      <c r="A1400" s="85"/>
      <c r="B1400" s="171" t="s">
        <v>893</v>
      </c>
    </row>
    <row r="1401" spans="1:2" ht="15" x14ac:dyDescent="0.2">
      <c r="A1401" s="85"/>
      <c r="B1401" s="171" t="s">
        <v>894</v>
      </c>
    </row>
    <row r="1402" spans="1:2" ht="15" x14ac:dyDescent="0.2">
      <c r="A1402" s="85"/>
      <c r="B1402" s="153"/>
    </row>
    <row r="1403" spans="1:2" ht="15" x14ac:dyDescent="0.2">
      <c r="A1403" s="138"/>
      <c r="B1403" s="139" t="s">
        <v>1681</v>
      </c>
    </row>
    <row r="1404" spans="1:2" ht="15" x14ac:dyDescent="0.2">
      <c r="A1404" s="85"/>
      <c r="B1404" s="140"/>
    </row>
    <row r="1405" spans="1:2" ht="29.25" x14ac:dyDescent="0.2">
      <c r="A1405" s="82" t="s">
        <v>13</v>
      </c>
      <c r="B1405" s="120" t="s">
        <v>1682</v>
      </c>
    </row>
    <row r="1406" spans="1:2" ht="71.25" x14ac:dyDescent="0.2">
      <c r="A1406" s="82" t="s">
        <v>13</v>
      </c>
      <c r="B1406" s="87" t="s">
        <v>1683</v>
      </c>
    </row>
    <row r="1407" spans="1:2" ht="28.5" x14ac:dyDescent="0.2">
      <c r="A1407" s="82" t="s">
        <v>13</v>
      </c>
      <c r="B1407" s="87" t="s">
        <v>1684</v>
      </c>
    </row>
    <row r="1408" spans="1:2" ht="42.75" x14ac:dyDescent="0.2">
      <c r="A1408" s="82" t="s">
        <v>13</v>
      </c>
      <c r="B1408" s="87" t="s">
        <v>813</v>
      </c>
    </row>
    <row r="1409" spans="1:2" ht="28.5" x14ac:dyDescent="0.2">
      <c r="A1409" s="82" t="s">
        <v>13</v>
      </c>
      <c r="B1409" s="87" t="s">
        <v>1050</v>
      </c>
    </row>
    <row r="1410" spans="1:2" ht="28.5" x14ac:dyDescent="0.2">
      <c r="A1410" s="82" t="s">
        <v>13</v>
      </c>
      <c r="B1410" s="87" t="s">
        <v>1652</v>
      </c>
    </row>
    <row r="1411" spans="1:2" ht="28.5" x14ac:dyDescent="0.2">
      <c r="A1411" s="82" t="s">
        <v>13</v>
      </c>
      <c r="B1411" s="87" t="s">
        <v>1685</v>
      </c>
    </row>
    <row r="1412" spans="1:2" ht="28.5" x14ac:dyDescent="0.2">
      <c r="A1412" s="82" t="s">
        <v>13</v>
      </c>
      <c r="B1412" s="87" t="s">
        <v>1686</v>
      </c>
    </row>
    <row r="1413" spans="1:2" ht="28.5" x14ac:dyDescent="0.2">
      <c r="A1413" s="82" t="s">
        <v>13</v>
      </c>
      <c r="B1413" s="87" t="s">
        <v>1687</v>
      </c>
    </row>
    <row r="1414" spans="1:2" ht="28.5" x14ac:dyDescent="0.2">
      <c r="A1414" s="82" t="s">
        <v>13</v>
      </c>
      <c r="B1414" s="87" t="s">
        <v>1688</v>
      </c>
    </row>
    <row r="1415" spans="1:2" ht="28.5" x14ac:dyDescent="0.2">
      <c r="A1415" s="82" t="s">
        <v>13</v>
      </c>
      <c r="B1415" s="87" t="s">
        <v>1689</v>
      </c>
    </row>
    <row r="1416" spans="1:2" ht="15" x14ac:dyDescent="0.2">
      <c r="A1416" s="85"/>
      <c r="B1416" s="102"/>
    </row>
    <row r="1417" spans="1:2" ht="15" x14ac:dyDescent="0.2">
      <c r="A1417" s="167"/>
      <c r="B1417" s="128" t="s">
        <v>1690</v>
      </c>
    </row>
    <row r="1418" spans="1:2" ht="15" x14ac:dyDescent="0.25">
      <c r="A1418" s="101" t="s">
        <v>242</v>
      </c>
      <c r="B1418" s="87" t="s">
        <v>423</v>
      </c>
    </row>
    <row r="1419" spans="1:2" ht="15" x14ac:dyDescent="0.2">
      <c r="A1419" s="85"/>
      <c r="B1419" s="87" t="s">
        <v>1691</v>
      </c>
    </row>
    <row r="1420" spans="1:2" ht="15" x14ac:dyDescent="0.2">
      <c r="A1420" s="85"/>
      <c r="B1420" s="87" t="s">
        <v>1692</v>
      </c>
    </row>
    <row r="1421" spans="1:2" ht="28.5" x14ac:dyDescent="0.2">
      <c r="A1421" s="85" t="s">
        <v>242</v>
      </c>
      <c r="B1421" s="87" t="s">
        <v>1693</v>
      </c>
    </row>
    <row r="1422" spans="1:2" ht="15" x14ac:dyDescent="0.25">
      <c r="A1422" s="101" t="s">
        <v>242</v>
      </c>
      <c r="B1422" s="87" t="s">
        <v>1694</v>
      </c>
    </row>
    <row r="1423" spans="1:2" ht="15" x14ac:dyDescent="0.2">
      <c r="A1423" s="85"/>
      <c r="B1423" s="87" t="s">
        <v>1695</v>
      </c>
    </row>
    <row r="1424" spans="1:2" ht="15" x14ac:dyDescent="0.2">
      <c r="A1424" s="85"/>
      <c r="B1424" s="87" t="s">
        <v>1696</v>
      </c>
    </row>
    <row r="1425" spans="1:2" ht="15" x14ac:dyDescent="0.2">
      <c r="A1425" s="85"/>
      <c r="B1425" s="87" t="s">
        <v>1697</v>
      </c>
    </row>
    <row r="1426" spans="1:2" ht="15" x14ac:dyDescent="0.25">
      <c r="A1426" s="101" t="s">
        <v>242</v>
      </c>
      <c r="B1426" s="87" t="s">
        <v>1698</v>
      </c>
    </row>
    <row r="1427" spans="1:2" ht="15" x14ac:dyDescent="0.2">
      <c r="A1427" s="85"/>
      <c r="B1427" s="87" t="s">
        <v>1699</v>
      </c>
    </row>
    <row r="1428" spans="1:2" ht="15" x14ac:dyDescent="0.2">
      <c r="A1428" s="85"/>
      <c r="B1428" s="87" t="s">
        <v>1700</v>
      </c>
    </row>
    <row r="1429" spans="1:2" ht="15" x14ac:dyDescent="0.2">
      <c r="A1429" s="85"/>
      <c r="B1429" s="87" t="s">
        <v>1701</v>
      </c>
    </row>
    <row r="1430" spans="1:2" ht="15" x14ac:dyDescent="0.2">
      <c r="A1430" s="85"/>
      <c r="B1430" s="87" t="s">
        <v>1702</v>
      </c>
    </row>
    <row r="1431" spans="1:2" ht="15" x14ac:dyDescent="0.2">
      <c r="A1431" s="85"/>
      <c r="B1431" s="87" t="s">
        <v>1703</v>
      </c>
    </row>
    <row r="1432" spans="1:2" ht="15" x14ac:dyDescent="0.2">
      <c r="A1432" s="85"/>
      <c r="B1432" s="87" t="s">
        <v>1704</v>
      </c>
    </row>
    <row r="1433" spans="1:2" ht="15" x14ac:dyDescent="0.2">
      <c r="A1433" s="85"/>
      <c r="B1433" s="87" t="s">
        <v>1705</v>
      </c>
    </row>
    <row r="1434" spans="1:2" ht="15" x14ac:dyDescent="0.2">
      <c r="A1434" s="85"/>
      <c r="B1434" s="87" t="s">
        <v>1706</v>
      </c>
    </row>
    <row r="1435" spans="1:2" ht="15" x14ac:dyDescent="0.2">
      <c r="A1435" s="85"/>
      <c r="B1435" s="87" t="s">
        <v>1707</v>
      </c>
    </row>
    <row r="1436" spans="1:2" ht="15" x14ac:dyDescent="0.2">
      <c r="A1436" s="85"/>
      <c r="B1436" s="87" t="s">
        <v>1708</v>
      </c>
    </row>
    <row r="1437" spans="1:2" ht="15" x14ac:dyDescent="0.25">
      <c r="A1437" s="101" t="s">
        <v>242</v>
      </c>
      <c r="B1437" s="87" t="s">
        <v>1330</v>
      </c>
    </row>
    <row r="1438" spans="1:2" ht="15" x14ac:dyDescent="0.2">
      <c r="A1438" s="85"/>
      <c r="B1438" s="87" t="s">
        <v>1709</v>
      </c>
    </row>
    <row r="1439" spans="1:2" ht="15" x14ac:dyDescent="0.2">
      <c r="A1439" s="85"/>
      <c r="B1439" s="102"/>
    </row>
    <row r="1440" spans="1:2" ht="15" x14ac:dyDescent="0.2">
      <c r="A1440" s="138" t="s">
        <v>1710</v>
      </c>
      <c r="B1440" s="139" t="s">
        <v>1711</v>
      </c>
    </row>
    <row r="1441" spans="1:2" ht="15" x14ac:dyDescent="0.2">
      <c r="A1441" s="85"/>
      <c r="B1441" s="150"/>
    </row>
    <row r="1442" spans="1:2" ht="71.25" x14ac:dyDescent="0.2">
      <c r="A1442" s="85" t="s">
        <v>1712</v>
      </c>
      <c r="B1442" s="87" t="s">
        <v>1713</v>
      </c>
    </row>
    <row r="1443" spans="1:2" ht="57" x14ac:dyDescent="0.2">
      <c r="A1443" s="85" t="s">
        <v>1714</v>
      </c>
      <c r="B1443" s="87" t="s">
        <v>1715</v>
      </c>
    </row>
    <row r="1444" spans="1:2" ht="57" x14ac:dyDescent="0.2">
      <c r="A1444" s="85" t="s">
        <v>1716</v>
      </c>
      <c r="B1444" s="87" t="s">
        <v>1717</v>
      </c>
    </row>
    <row r="1445" spans="1:2" ht="15" x14ac:dyDescent="0.2">
      <c r="A1445" s="85"/>
      <c r="B1445" s="102"/>
    </row>
    <row r="1446" spans="1:2" ht="15" x14ac:dyDescent="0.2">
      <c r="A1446" s="138" t="s">
        <v>1718</v>
      </c>
      <c r="B1446" s="139" t="s">
        <v>1719</v>
      </c>
    </row>
    <row r="1447" spans="1:2" ht="15" x14ac:dyDescent="0.2">
      <c r="A1447" s="85"/>
      <c r="B1447" s="150"/>
    </row>
    <row r="1448" spans="1:2" ht="43.5" x14ac:dyDescent="0.2">
      <c r="A1448" s="85" t="s">
        <v>1720</v>
      </c>
      <c r="B1448" s="140" t="s">
        <v>1721</v>
      </c>
    </row>
    <row r="1449" spans="1:2" ht="15" x14ac:dyDescent="0.2">
      <c r="A1449" s="85"/>
      <c r="B1449" s="102"/>
    </row>
    <row r="1450" spans="1:2" ht="15" x14ac:dyDescent="0.2">
      <c r="A1450" s="138" t="s">
        <v>1722</v>
      </c>
      <c r="B1450" s="139" t="s">
        <v>1723</v>
      </c>
    </row>
    <row r="1451" spans="1:2" ht="15" x14ac:dyDescent="0.2">
      <c r="A1451" s="85"/>
      <c r="B1451" s="102"/>
    </row>
    <row r="1452" spans="1:2" ht="42.75" x14ac:dyDescent="0.2">
      <c r="A1452" s="85" t="s">
        <v>34</v>
      </c>
      <c r="B1452" s="87" t="s">
        <v>1724</v>
      </c>
    </row>
    <row r="1453" spans="1:2" ht="71.25" x14ac:dyDescent="0.2">
      <c r="A1453" s="85" t="s">
        <v>1725</v>
      </c>
      <c r="B1453" s="87" t="s">
        <v>1726</v>
      </c>
    </row>
    <row r="1454" spans="1:2" ht="15" x14ac:dyDescent="0.2">
      <c r="A1454" s="85"/>
      <c r="B1454" s="87"/>
    </row>
    <row r="1455" spans="1:2" ht="57" x14ac:dyDescent="0.2">
      <c r="A1455" s="85" t="s">
        <v>36</v>
      </c>
      <c r="B1455" s="87" t="s">
        <v>1727</v>
      </c>
    </row>
    <row r="1456" spans="1:2" ht="85.5" x14ac:dyDescent="0.2">
      <c r="A1456" s="85" t="s">
        <v>1728</v>
      </c>
      <c r="B1456" s="87" t="s">
        <v>1729</v>
      </c>
    </row>
    <row r="1457" spans="1:2" ht="15" x14ac:dyDescent="0.2">
      <c r="A1457" s="85"/>
      <c r="B1457" s="102"/>
    </row>
    <row r="1458" spans="1:2" ht="15" x14ac:dyDescent="0.2">
      <c r="A1458" s="138" t="s">
        <v>1730</v>
      </c>
      <c r="B1458" s="139" t="s">
        <v>1731</v>
      </c>
    </row>
    <row r="1459" spans="1:2" ht="15" x14ac:dyDescent="0.2">
      <c r="A1459" s="85"/>
      <c r="B1459" s="102"/>
    </row>
    <row r="1460" spans="1:2" ht="43.5" x14ac:dyDescent="0.2">
      <c r="A1460" s="85" t="s">
        <v>13</v>
      </c>
      <c r="B1460" s="87" t="s">
        <v>1732</v>
      </c>
    </row>
    <row r="1461" spans="1:2" ht="15" x14ac:dyDescent="0.2">
      <c r="A1461" s="85"/>
      <c r="B1461" s="102"/>
    </row>
    <row r="1462" spans="1:2" ht="15" x14ac:dyDescent="0.2">
      <c r="A1462" s="138" t="s">
        <v>1733</v>
      </c>
      <c r="B1462" s="139" t="s">
        <v>1734</v>
      </c>
    </row>
    <row r="1463" spans="1:2" ht="15" x14ac:dyDescent="0.2">
      <c r="A1463" s="85"/>
      <c r="B1463" s="102"/>
    </row>
    <row r="1464" spans="1:2" ht="142.5" x14ac:dyDescent="0.2">
      <c r="A1464" s="85" t="s">
        <v>1735</v>
      </c>
      <c r="B1464" s="87" t="s">
        <v>1736</v>
      </c>
    </row>
    <row r="1465" spans="1:2" ht="42.75" x14ac:dyDescent="0.2">
      <c r="A1465" s="85" t="s">
        <v>1737</v>
      </c>
      <c r="B1465" s="87" t="s">
        <v>1738</v>
      </c>
    </row>
    <row r="1466" spans="1:2" ht="85.5" x14ac:dyDescent="0.2">
      <c r="A1466" s="85" t="s">
        <v>1739</v>
      </c>
      <c r="B1466" s="87" t="s">
        <v>1740</v>
      </c>
    </row>
    <row r="1467" spans="1:2" ht="15.75" x14ac:dyDescent="0.25">
      <c r="A1467" s="327"/>
      <c r="B1467" s="327"/>
    </row>
    <row r="1468" spans="1:2" x14ac:dyDescent="0.2">
      <c r="A1468" s="78"/>
    </row>
    <row r="1469" spans="1:2" x14ac:dyDescent="0.2">
      <c r="A1469" s="78"/>
    </row>
    <row r="1470" spans="1:2" x14ac:dyDescent="0.2">
      <c r="A1470" s="78"/>
    </row>
    <row r="1471" spans="1:2" x14ac:dyDescent="0.2">
      <c r="A1471" s="78"/>
    </row>
    <row r="1472" spans="1:2" x14ac:dyDescent="0.2">
      <c r="A1472" s="78"/>
    </row>
    <row r="1473" spans="1:1" x14ac:dyDescent="0.2">
      <c r="A1473" s="78"/>
    </row>
    <row r="1474" spans="1:1" x14ac:dyDescent="0.2">
      <c r="A1474" s="78"/>
    </row>
    <row r="1475" spans="1:1" x14ac:dyDescent="0.2">
      <c r="A1475" s="78"/>
    </row>
    <row r="1476" spans="1:1" x14ac:dyDescent="0.2">
      <c r="A1476" s="78"/>
    </row>
    <row r="1477" spans="1:1" x14ac:dyDescent="0.2">
      <c r="A1477" s="78"/>
    </row>
    <row r="1478" spans="1:1" x14ac:dyDescent="0.2">
      <c r="A1478" s="78"/>
    </row>
    <row r="1479" spans="1:1" x14ac:dyDescent="0.2">
      <c r="A1479" s="78"/>
    </row>
    <row r="1480" spans="1:1" x14ac:dyDescent="0.2">
      <c r="A1480" s="78"/>
    </row>
    <row r="1481" spans="1:1" x14ac:dyDescent="0.2">
      <c r="A1481" s="78"/>
    </row>
    <row r="1482" spans="1:1" x14ac:dyDescent="0.2">
      <c r="A1482" s="78"/>
    </row>
    <row r="1483" spans="1:1" x14ac:dyDescent="0.2">
      <c r="A1483" s="78"/>
    </row>
    <row r="1484" spans="1:1" x14ac:dyDescent="0.2">
      <c r="A1484" s="78"/>
    </row>
    <row r="1485" spans="1:1" x14ac:dyDescent="0.2">
      <c r="A1485" s="78"/>
    </row>
    <row r="1486" spans="1:1" x14ac:dyDescent="0.2">
      <c r="A1486" s="78"/>
    </row>
    <row r="1487" spans="1:1" x14ac:dyDescent="0.2">
      <c r="A1487" s="78"/>
    </row>
    <row r="1488" spans="1:1" x14ac:dyDescent="0.2">
      <c r="A1488" s="78"/>
    </row>
    <row r="1489" spans="1:1" x14ac:dyDescent="0.2">
      <c r="A1489" s="78"/>
    </row>
    <row r="1490" spans="1:1" x14ac:dyDescent="0.2">
      <c r="A1490" s="78"/>
    </row>
    <row r="1491" spans="1:1" x14ac:dyDescent="0.2">
      <c r="A1491" s="78"/>
    </row>
    <row r="1492" spans="1:1" x14ac:dyDescent="0.2">
      <c r="A1492" s="78"/>
    </row>
    <row r="1493" spans="1:1" x14ac:dyDescent="0.2">
      <c r="A1493" s="78"/>
    </row>
    <row r="1494" spans="1:1" x14ac:dyDescent="0.2">
      <c r="A1494" s="78"/>
    </row>
    <row r="1495" spans="1:1" x14ac:dyDescent="0.2">
      <c r="A1495" s="78"/>
    </row>
    <row r="1496" spans="1:1" x14ac:dyDescent="0.2">
      <c r="A1496" s="78"/>
    </row>
    <row r="1497" spans="1:1" x14ac:dyDescent="0.2">
      <c r="A1497" s="78"/>
    </row>
    <row r="1498" spans="1:1" x14ac:dyDescent="0.2">
      <c r="A1498" s="78"/>
    </row>
    <row r="1499" spans="1:1" x14ac:dyDescent="0.2">
      <c r="A1499" s="78"/>
    </row>
    <row r="1500" spans="1:1" x14ac:dyDescent="0.2">
      <c r="A1500" s="78"/>
    </row>
    <row r="1501" spans="1:1" x14ac:dyDescent="0.2">
      <c r="A1501" s="78"/>
    </row>
    <row r="1502" spans="1:1" x14ac:dyDescent="0.2">
      <c r="A1502" s="78"/>
    </row>
    <row r="1503" spans="1:1" x14ac:dyDescent="0.2">
      <c r="A1503" s="78"/>
    </row>
    <row r="1504" spans="1:1" x14ac:dyDescent="0.2">
      <c r="A1504" s="78"/>
    </row>
    <row r="1505" spans="1:1" x14ac:dyDescent="0.2">
      <c r="A1505" s="78"/>
    </row>
    <row r="1506" spans="1:1" x14ac:dyDescent="0.2">
      <c r="A1506" s="78"/>
    </row>
    <row r="1507" spans="1:1" x14ac:dyDescent="0.2">
      <c r="A1507" s="78"/>
    </row>
    <row r="1508" spans="1:1" x14ac:dyDescent="0.2">
      <c r="A1508" s="78"/>
    </row>
    <row r="1509" spans="1:1" x14ac:dyDescent="0.2">
      <c r="A1509" s="78"/>
    </row>
    <row r="1510" spans="1:1" x14ac:dyDescent="0.2">
      <c r="A1510" s="78"/>
    </row>
    <row r="1511" spans="1:1" x14ac:dyDescent="0.2">
      <c r="A1511" s="78"/>
    </row>
    <row r="1512" spans="1:1" x14ac:dyDescent="0.2">
      <c r="A1512" s="78"/>
    </row>
    <row r="1513" spans="1:1" x14ac:dyDescent="0.2">
      <c r="A1513" s="78"/>
    </row>
    <row r="1514" spans="1:1" x14ac:dyDescent="0.2">
      <c r="A1514" s="78"/>
    </row>
    <row r="1515" spans="1:1" x14ac:dyDescent="0.2">
      <c r="A1515" s="78"/>
    </row>
    <row r="1516" spans="1:1" x14ac:dyDescent="0.2">
      <c r="A1516" s="78"/>
    </row>
    <row r="1517" spans="1:1" x14ac:dyDescent="0.2">
      <c r="A1517" s="78"/>
    </row>
    <row r="1518" spans="1:1" x14ac:dyDescent="0.2">
      <c r="A1518" s="78"/>
    </row>
    <row r="1519" spans="1:1" x14ac:dyDescent="0.2">
      <c r="A1519" s="78"/>
    </row>
    <row r="1520" spans="1:1" x14ac:dyDescent="0.2">
      <c r="A1520" s="78"/>
    </row>
    <row r="1521" spans="1:1" x14ac:dyDescent="0.2">
      <c r="A1521" s="78"/>
    </row>
    <row r="1522" spans="1:1" x14ac:dyDescent="0.2">
      <c r="A1522" s="78"/>
    </row>
    <row r="1523" spans="1:1" x14ac:dyDescent="0.2">
      <c r="A1523" s="78"/>
    </row>
    <row r="1524" spans="1:1" x14ac:dyDescent="0.2">
      <c r="A1524" s="78"/>
    </row>
    <row r="1525" spans="1:1" x14ac:dyDescent="0.2">
      <c r="A1525" s="78"/>
    </row>
    <row r="1526" spans="1:1" x14ac:dyDescent="0.2">
      <c r="A1526" s="78"/>
    </row>
    <row r="1527" spans="1:1" x14ac:dyDescent="0.2">
      <c r="A1527" s="78"/>
    </row>
    <row r="1528" spans="1:1" x14ac:dyDescent="0.2">
      <c r="A1528" s="78"/>
    </row>
    <row r="1529" spans="1:1" x14ac:dyDescent="0.2">
      <c r="A1529" s="78"/>
    </row>
    <row r="1530" spans="1:1" x14ac:dyDescent="0.2">
      <c r="A1530" s="78"/>
    </row>
    <row r="1531" spans="1:1" x14ac:dyDescent="0.2">
      <c r="A1531" s="78"/>
    </row>
    <row r="1532" spans="1:1" x14ac:dyDescent="0.2">
      <c r="A1532" s="78"/>
    </row>
    <row r="1533" spans="1:1" x14ac:dyDescent="0.2">
      <c r="A1533" s="78"/>
    </row>
    <row r="1534" spans="1:1" x14ac:dyDescent="0.2">
      <c r="A1534" s="78"/>
    </row>
    <row r="1535" spans="1:1" x14ac:dyDescent="0.2">
      <c r="A1535" s="78"/>
    </row>
    <row r="1536" spans="1:1" x14ac:dyDescent="0.2">
      <c r="A1536" s="78"/>
    </row>
    <row r="1537" spans="1:1" x14ac:dyDescent="0.2">
      <c r="A1537" s="78"/>
    </row>
    <row r="1538" spans="1:1" x14ac:dyDescent="0.2">
      <c r="A1538" s="78"/>
    </row>
    <row r="1539" spans="1:1" x14ac:dyDescent="0.2">
      <c r="A1539" s="78"/>
    </row>
    <row r="1540" spans="1:1" x14ac:dyDescent="0.2">
      <c r="A1540" s="78"/>
    </row>
    <row r="1541" spans="1:1" x14ac:dyDescent="0.2">
      <c r="A1541" s="78"/>
    </row>
    <row r="1542" spans="1:1" x14ac:dyDescent="0.2">
      <c r="A1542" s="78"/>
    </row>
    <row r="1543" spans="1:1" x14ac:dyDescent="0.2">
      <c r="A1543" s="78"/>
    </row>
    <row r="1544" spans="1:1" x14ac:dyDescent="0.2">
      <c r="A1544" s="78"/>
    </row>
    <row r="1545" spans="1:1" x14ac:dyDescent="0.2">
      <c r="A1545" s="78"/>
    </row>
    <row r="1546" spans="1:1" x14ac:dyDescent="0.2">
      <c r="A1546" s="78"/>
    </row>
    <row r="1547" spans="1:1" x14ac:dyDescent="0.2">
      <c r="A1547" s="78"/>
    </row>
    <row r="1548" spans="1:1" x14ac:dyDescent="0.2">
      <c r="A1548" s="78"/>
    </row>
    <row r="1549" spans="1:1" x14ac:dyDescent="0.2">
      <c r="A1549" s="78"/>
    </row>
    <row r="1550" spans="1:1" x14ac:dyDescent="0.2">
      <c r="A1550" s="78"/>
    </row>
    <row r="1551" spans="1:1" x14ac:dyDescent="0.2">
      <c r="A1551" s="78"/>
    </row>
    <row r="1552" spans="1:1" x14ac:dyDescent="0.2">
      <c r="A1552" s="78"/>
    </row>
    <row r="1553" spans="1:1" x14ac:dyDescent="0.2">
      <c r="A1553" s="78"/>
    </row>
    <row r="1554" spans="1:1" x14ac:dyDescent="0.2">
      <c r="A1554" s="78"/>
    </row>
    <row r="1555" spans="1:1" x14ac:dyDescent="0.2">
      <c r="A1555" s="78"/>
    </row>
    <row r="1556" spans="1:1" x14ac:dyDescent="0.2">
      <c r="A1556" s="78"/>
    </row>
    <row r="1557" spans="1:1" x14ac:dyDescent="0.2">
      <c r="A1557" s="78"/>
    </row>
    <row r="1558" spans="1:1" x14ac:dyDescent="0.2">
      <c r="A1558" s="78"/>
    </row>
    <row r="1559" spans="1:1" x14ac:dyDescent="0.2">
      <c r="A1559" s="78"/>
    </row>
    <row r="1560" spans="1:1" x14ac:dyDescent="0.2">
      <c r="A1560" s="78"/>
    </row>
    <row r="1561" spans="1:1" x14ac:dyDescent="0.2">
      <c r="A1561" s="78"/>
    </row>
    <row r="1562" spans="1:1" x14ac:dyDescent="0.2">
      <c r="A1562" s="78"/>
    </row>
    <row r="1563" spans="1:1" x14ac:dyDescent="0.2">
      <c r="A1563" s="78"/>
    </row>
    <row r="1564" spans="1:1" x14ac:dyDescent="0.2">
      <c r="A1564" s="78"/>
    </row>
    <row r="1565" spans="1:1" x14ac:dyDescent="0.2">
      <c r="A1565" s="78"/>
    </row>
    <row r="1566" spans="1:1" x14ac:dyDescent="0.2">
      <c r="A1566" s="78"/>
    </row>
    <row r="1567" spans="1:1" x14ac:dyDescent="0.2">
      <c r="A1567" s="78"/>
    </row>
    <row r="1568" spans="1:1" x14ac:dyDescent="0.2">
      <c r="A1568" s="78"/>
    </row>
    <row r="1569" spans="1:1" x14ac:dyDescent="0.2">
      <c r="A1569" s="78"/>
    </row>
    <row r="1570" spans="1:1" x14ac:dyDescent="0.2">
      <c r="A1570" s="78"/>
    </row>
    <row r="1571" spans="1:1" x14ac:dyDescent="0.2">
      <c r="A1571" s="78"/>
    </row>
    <row r="1572" spans="1:1" x14ac:dyDescent="0.2">
      <c r="A1572" s="78"/>
    </row>
    <row r="1573" spans="1:1" x14ac:dyDescent="0.2">
      <c r="A1573" s="78"/>
    </row>
    <row r="1574" spans="1:1" x14ac:dyDescent="0.2">
      <c r="A1574" s="78"/>
    </row>
    <row r="1575" spans="1:1" x14ac:dyDescent="0.2">
      <c r="A1575" s="78"/>
    </row>
    <row r="1576" spans="1:1" x14ac:dyDescent="0.2">
      <c r="A1576" s="78"/>
    </row>
    <row r="1577" spans="1:1" x14ac:dyDescent="0.2">
      <c r="A1577" s="78"/>
    </row>
    <row r="1578" spans="1:1" x14ac:dyDescent="0.2">
      <c r="A1578" s="78"/>
    </row>
    <row r="1579" spans="1:1" x14ac:dyDescent="0.2">
      <c r="A1579" s="78"/>
    </row>
    <row r="1580" spans="1:1" x14ac:dyDescent="0.2">
      <c r="A1580" s="78"/>
    </row>
    <row r="1581" spans="1:1" x14ac:dyDescent="0.2">
      <c r="A1581" s="78"/>
    </row>
    <row r="1582" spans="1:1" x14ac:dyDescent="0.2">
      <c r="A1582" s="78"/>
    </row>
    <row r="1583" spans="1:1" x14ac:dyDescent="0.2">
      <c r="A1583" s="78"/>
    </row>
    <row r="1584" spans="1:1" x14ac:dyDescent="0.2">
      <c r="A1584" s="78"/>
    </row>
    <row r="1585" spans="1:1" x14ac:dyDescent="0.2">
      <c r="A1585" s="78"/>
    </row>
    <row r="1586" spans="1:1" x14ac:dyDescent="0.2">
      <c r="A1586" s="78"/>
    </row>
    <row r="1587" spans="1:1" x14ac:dyDescent="0.2">
      <c r="A1587" s="78"/>
    </row>
    <row r="1588" spans="1:1" x14ac:dyDescent="0.2">
      <c r="A1588" s="78"/>
    </row>
    <row r="1589" spans="1:1" x14ac:dyDescent="0.2">
      <c r="A1589" s="78"/>
    </row>
    <row r="1590" spans="1:1" x14ac:dyDescent="0.2">
      <c r="A1590" s="78"/>
    </row>
    <row r="1591" spans="1:1" x14ac:dyDescent="0.2">
      <c r="A1591" s="78"/>
    </row>
    <row r="1592" spans="1:1" x14ac:dyDescent="0.2">
      <c r="A1592" s="78"/>
    </row>
    <row r="1593" spans="1:1" x14ac:dyDescent="0.2">
      <c r="A1593" s="78"/>
    </row>
    <row r="1594" spans="1:1" x14ac:dyDescent="0.2">
      <c r="A1594" s="78"/>
    </row>
    <row r="1595" spans="1:1" x14ac:dyDescent="0.2">
      <c r="A1595" s="78"/>
    </row>
    <row r="1596" spans="1:1" x14ac:dyDescent="0.2">
      <c r="A1596" s="78"/>
    </row>
    <row r="1597" spans="1:1" x14ac:dyDescent="0.2">
      <c r="A1597" s="78"/>
    </row>
    <row r="1598" spans="1:1" x14ac:dyDescent="0.2">
      <c r="A1598" s="78"/>
    </row>
    <row r="1599" spans="1:1" x14ac:dyDescent="0.2">
      <c r="A1599" s="78"/>
    </row>
    <row r="1600" spans="1:1" x14ac:dyDescent="0.2">
      <c r="A1600" s="78"/>
    </row>
    <row r="1601" spans="1:1" x14ac:dyDescent="0.2">
      <c r="A1601" s="78"/>
    </row>
    <row r="1602" spans="1:1" x14ac:dyDescent="0.2">
      <c r="A1602" s="78"/>
    </row>
    <row r="1603" spans="1:1" x14ac:dyDescent="0.2">
      <c r="A1603" s="78"/>
    </row>
    <row r="1604" spans="1:1" x14ac:dyDescent="0.2">
      <c r="A1604" s="78"/>
    </row>
    <row r="1605" spans="1:1" x14ac:dyDescent="0.2">
      <c r="A1605" s="78"/>
    </row>
    <row r="1606" spans="1:1" x14ac:dyDescent="0.2">
      <c r="A1606" s="78"/>
    </row>
    <row r="1607" spans="1:1" x14ac:dyDescent="0.2">
      <c r="A1607" s="78"/>
    </row>
    <row r="1608" spans="1:1" x14ac:dyDescent="0.2">
      <c r="A1608" s="78"/>
    </row>
    <row r="1609" spans="1:1" x14ac:dyDescent="0.2">
      <c r="A1609" s="78"/>
    </row>
    <row r="1610" spans="1:1" x14ac:dyDescent="0.2">
      <c r="A1610" s="78"/>
    </row>
    <row r="1611" spans="1:1" x14ac:dyDescent="0.2">
      <c r="A1611" s="78"/>
    </row>
    <row r="1612" spans="1:1" x14ac:dyDescent="0.2">
      <c r="A1612" s="78"/>
    </row>
    <row r="1613" spans="1:1" x14ac:dyDescent="0.2">
      <c r="A1613" s="78"/>
    </row>
    <row r="1614" spans="1:1" x14ac:dyDescent="0.2">
      <c r="A1614" s="78"/>
    </row>
    <row r="1615" spans="1:1" x14ac:dyDescent="0.2">
      <c r="A1615" s="78"/>
    </row>
    <row r="1616" spans="1:1" x14ac:dyDescent="0.2">
      <c r="A1616" s="78"/>
    </row>
    <row r="1617" spans="1:1" x14ac:dyDescent="0.2">
      <c r="A1617" s="78"/>
    </row>
    <row r="1618" spans="1:1" x14ac:dyDescent="0.2">
      <c r="A1618" s="78"/>
    </row>
    <row r="1619" spans="1:1" x14ac:dyDescent="0.2">
      <c r="A1619" s="78"/>
    </row>
    <row r="1620" spans="1:1" x14ac:dyDescent="0.2">
      <c r="A1620" s="78"/>
    </row>
    <row r="1621" spans="1:1" x14ac:dyDescent="0.2">
      <c r="A1621" s="78"/>
    </row>
    <row r="1622" spans="1:1" x14ac:dyDescent="0.2">
      <c r="A1622" s="78"/>
    </row>
    <row r="1623" spans="1:1" x14ac:dyDescent="0.2">
      <c r="A1623" s="78"/>
    </row>
    <row r="1624" spans="1:1" x14ac:dyDescent="0.2">
      <c r="A1624" s="78"/>
    </row>
    <row r="1625" spans="1:1" x14ac:dyDescent="0.2">
      <c r="A1625" s="78"/>
    </row>
    <row r="1626" spans="1:1" x14ac:dyDescent="0.2">
      <c r="A1626" s="78"/>
    </row>
    <row r="1627" spans="1:1" x14ac:dyDescent="0.2">
      <c r="A1627" s="78"/>
    </row>
    <row r="1628" spans="1:1" x14ac:dyDescent="0.2">
      <c r="A1628" s="78"/>
    </row>
    <row r="1629" spans="1:1" x14ac:dyDescent="0.2">
      <c r="A1629" s="78"/>
    </row>
    <row r="1630" spans="1:1" x14ac:dyDescent="0.2">
      <c r="A1630" s="78"/>
    </row>
    <row r="1631" spans="1:1" x14ac:dyDescent="0.2">
      <c r="A1631" s="78"/>
    </row>
    <row r="1632" spans="1:1" x14ac:dyDescent="0.2">
      <c r="A1632" s="78"/>
    </row>
    <row r="1633" spans="1:1" x14ac:dyDescent="0.2">
      <c r="A1633" s="78"/>
    </row>
    <row r="1634" spans="1:1" x14ac:dyDescent="0.2">
      <c r="A1634" s="78"/>
    </row>
    <row r="1635" spans="1:1" x14ac:dyDescent="0.2">
      <c r="A1635" s="78"/>
    </row>
    <row r="1636" spans="1:1" x14ac:dyDescent="0.2">
      <c r="A1636" s="78"/>
    </row>
    <row r="1637" spans="1:1" x14ac:dyDescent="0.2">
      <c r="A1637" s="78"/>
    </row>
    <row r="1638" spans="1:1" x14ac:dyDescent="0.2">
      <c r="A1638" s="78"/>
    </row>
    <row r="1639" spans="1:1" x14ac:dyDescent="0.2">
      <c r="A1639" s="78"/>
    </row>
    <row r="1640" spans="1:1" x14ac:dyDescent="0.2">
      <c r="A1640" s="78"/>
    </row>
    <row r="1641" spans="1:1" x14ac:dyDescent="0.2">
      <c r="A1641" s="78"/>
    </row>
    <row r="1642" spans="1:1" x14ac:dyDescent="0.2">
      <c r="A1642" s="78"/>
    </row>
    <row r="1643" spans="1:1" x14ac:dyDescent="0.2">
      <c r="A1643" s="78"/>
    </row>
    <row r="1644" spans="1:1" x14ac:dyDescent="0.2">
      <c r="A1644" s="78"/>
    </row>
    <row r="1645" spans="1:1" x14ac:dyDescent="0.2">
      <c r="A1645" s="78"/>
    </row>
    <row r="1646" spans="1:1" x14ac:dyDescent="0.2">
      <c r="A1646" s="78"/>
    </row>
    <row r="1647" spans="1:1" x14ac:dyDescent="0.2">
      <c r="A1647" s="78"/>
    </row>
    <row r="1648" spans="1:1" x14ac:dyDescent="0.2">
      <c r="A1648" s="78"/>
    </row>
    <row r="1649" spans="1:1" x14ac:dyDescent="0.2">
      <c r="A1649" s="78"/>
    </row>
    <row r="1650" spans="1:1" x14ac:dyDescent="0.2">
      <c r="A1650" s="78"/>
    </row>
    <row r="1651" spans="1:1" x14ac:dyDescent="0.2">
      <c r="A1651" s="78"/>
    </row>
    <row r="1652" spans="1:1" x14ac:dyDescent="0.2">
      <c r="A1652" s="78"/>
    </row>
    <row r="1653" spans="1:1" x14ac:dyDescent="0.2">
      <c r="A1653" s="78"/>
    </row>
    <row r="1654" spans="1:1" x14ac:dyDescent="0.2">
      <c r="A1654" s="78"/>
    </row>
    <row r="1655" spans="1:1" x14ac:dyDescent="0.2">
      <c r="A1655" s="78"/>
    </row>
    <row r="1656" spans="1:1" x14ac:dyDescent="0.2">
      <c r="A1656" s="78"/>
    </row>
    <row r="1657" spans="1:1" x14ac:dyDescent="0.2">
      <c r="A1657" s="78"/>
    </row>
    <row r="1658" spans="1:1" x14ac:dyDescent="0.2">
      <c r="A1658" s="78"/>
    </row>
    <row r="1659" spans="1:1" x14ac:dyDescent="0.2">
      <c r="A1659" s="78"/>
    </row>
    <row r="1660" spans="1:1" x14ac:dyDescent="0.2">
      <c r="A1660" s="78"/>
    </row>
    <row r="1661" spans="1:1" x14ac:dyDescent="0.2">
      <c r="A1661" s="78"/>
    </row>
    <row r="1662" spans="1:1" x14ac:dyDescent="0.2">
      <c r="A1662" s="78"/>
    </row>
    <row r="1663" spans="1:1" x14ac:dyDescent="0.2">
      <c r="A1663" s="78"/>
    </row>
    <row r="1664" spans="1:1" x14ac:dyDescent="0.2">
      <c r="A1664" s="78"/>
    </row>
    <row r="1665" spans="1:1" x14ac:dyDescent="0.2">
      <c r="A1665" s="78"/>
    </row>
    <row r="1666" spans="1:1" x14ac:dyDescent="0.2">
      <c r="A1666" s="78"/>
    </row>
    <row r="1667" spans="1:1" x14ac:dyDescent="0.2">
      <c r="A1667" s="78"/>
    </row>
    <row r="1668" spans="1:1" x14ac:dyDescent="0.2">
      <c r="A1668" s="78"/>
    </row>
    <row r="1669" spans="1:1" x14ac:dyDescent="0.2">
      <c r="A1669" s="78"/>
    </row>
    <row r="1670" spans="1:1" x14ac:dyDescent="0.2">
      <c r="A1670" s="78"/>
    </row>
    <row r="1671" spans="1:1" x14ac:dyDescent="0.2">
      <c r="A1671" s="78"/>
    </row>
    <row r="1672" spans="1:1" x14ac:dyDescent="0.2">
      <c r="A1672" s="78"/>
    </row>
    <row r="1673" spans="1:1" x14ac:dyDescent="0.2">
      <c r="A1673" s="78"/>
    </row>
    <row r="1674" spans="1:1" x14ac:dyDescent="0.2">
      <c r="A1674" s="78"/>
    </row>
    <row r="1675" spans="1:1" x14ac:dyDescent="0.2">
      <c r="A1675" s="78"/>
    </row>
    <row r="1676" spans="1:1" x14ac:dyDescent="0.2">
      <c r="A1676" s="78"/>
    </row>
    <row r="1677" spans="1:1" x14ac:dyDescent="0.2">
      <c r="A1677" s="78"/>
    </row>
    <row r="1678" spans="1:1" x14ac:dyDescent="0.2">
      <c r="A1678" s="78"/>
    </row>
    <row r="1679" spans="1:1" x14ac:dyDescent="0.2">
      <c r="A1679" s="78"/>
    </row>
    <row r="1680" spans="1:1" x14ac:dyDescent="0.2">
      <c r="A1680" s="78"/>
    </row>
    <row r="1681" spans="1:1" x14ac:dyDescent="0.2">
      <c r="A1681" s="78"/>
    </row>
    <row r="1682" spans="1:1" x14ac:dyDescent="0.2">
      <c r="A1682" s="78"/>
    </row>
    <row r="1683" spans="1:1" x14ac:dyDescent="0.2">
      <c r="A1683" s="78"/>
    </row>
    <row r="1684" spans="1:1" x14ac:dyDescent="0.2">
      <c r="A1684" s="78"/>
    </row>
    <row r="1685" spans="1:1" x14ac:dyDescent="0.2">
      <c r="A1685" s="78"/>
    </row>
    <row r="1686" spans="1:1" x14ac:dyDescent="0.2">
      <c r="A1686" s="78"/>
    </row>
    <row r="1687" spans="1:1" x14ac:dyDescent="0.2">
      <c r="A1687" s="78"/>
    </row>
    <row r="1688" spans="1:1" x14ac:dyDescent="0.2">
      <c r="A1688" s="78"/>
    </row>
    <row r="1689" spans="1:1" x14ac:dyDescent="0.2">
      <c r="A1689" s="78"/>
    </row>
    <row r="1690" spans="1:1" x14ac:dyDescent="0.2">
      <c r="A1690" s="78"/>
    </row>
    <row r="1691" spans="1:1" x14ac:dyDescent="0.2">
      <c r="A1691" s="78"/>
    </row>
    <row r="1692" spans="1:1" x14ac:dyDescent="0.2">
      <c r="A1692" s="78"/>
    </row>
    <row r="1693" spans="1:1" x14ac:dyDescent="0.2">
      <c r="A1693" s="78"/>
    </row>
    <row r="1694" spans="1:1" x14ac:dyDescent="0.2">
      <c r="A1694" s="78"/>
    </row>
    <row r="1695" spans="1:1" x14ac:dyDescent="0.2">
      <c r="A1695" s="78"/>
    </row>
    <row r="1696" spans="1:1" x14ac:dyDescent="0.2">
      <c r="A1696" s="78"/>
    </row>
    <row r="1697" spans="1:1" x14ac:dyDescent="0.2">
      <c r="A1697" s="78"/>
    </row>
    <row r="1698" spans="1:1" x14ac:dyDescent="0.2">
      <c r="A1698" s="78"/>
    </row>
    <row r="1699" spans="1:1" x14ac:dyDescent="0.2">
      <c r="A1699" s="78"/>
    </row>
    <row r="1700" spans="1:1" x14ac:dyDescent="0.2">
      <c r="A1700" s="78"/>
    </row>
    <row r="1701" spans="1:1" x14ac:dyDescent="0.2">
      <c r="A1701" s="78"/>
    </row>
    <row r="1702" spans="1:1" x14ac:dyDescent="0.2">
      <c r="A1702" s="78"/>
    </row>
    <row r="1703" spans="1:1" x14ac:dyDescent="0.2">
      <c r="A1703" s="78"/>
    </row>
    <row r="1704" spans="1:1" x14ac:dyDescent="0.2">
      <c r="A1704" s="78"/>
    </row>
    <row r="1705" spans="1:1" x14ac:dyDescent="0.2">
      <c r="A1705" s="78"/>
    </row>
    <row r="1706" spans="1:1" x14ac:dyDescent="0.2">
      <c r="A1706" s="78"/>
    </row>
    <row r="1707" spans="1:1" x14ac:dyDescent="0.2">
      <c r="A1707" s="78"/>
    </row>
    <row r="1708" spans="1:1" x14ac:dyDescent="0.2">
      <c r="A1708" s="78"/>
    </row>
    <row r="1709" spans="1:1" x14ac:dyDescent="0.2">
      <c r="A1709" s="78"/>
    </row>
    <row r="1710" spans="1:1" x14ac:dyDescent="0.2">
      <c r="A1710" s="78"/>
    </row>
    <row r="1711" spans="1:1" x14ac:dyDescent="0.2">
      <c r="A1711" s="78"/>
    </row>
    <row r="1712" spans="1:1" x14ac:dyDescent="0.2">
      <c r="A1712" s="78"/>
    </row>
    <row r="1713" spans="1:1" x14ac:dyDescent="0.2">
      <c r="A1713" s="78"/>
    </row>
    <row r="1714" spans="1:1" x14ac:dyDescent="0.2">
      <c r="A1714" s="78"/>
    </row>
    <row r="1715" spans="1:1" x14ac:dyDescent="0.2">
      <c r="A1715" s="78"/>
    </row>
    <row r="1716" spans="1:1" x14ac:dyDescent="0.2">
      <c r="A1716" s="78"/>
    </row>
    <row r="1717" spans="1:1" x14ac:dyDescent="0.2">
      <c r="A1717" s="78"/>
    </row>
    <row r="1718" spans="1:1" x14ac:dyDescent="0.2">
      <c r="A1718" s="78"/>
    </row>
    <row r="1719" spans="1:1" x14ac:dyDescent="0.2">
      <c r="A1719" s="78"/>
    </row>
    <row r="1720" spans="1:1" x14ac:dyDescent="0.2">
      <c r="A1720" s="78"/>
    </row>
    <row r="1721" spans="1:1" x14ac:dyDescent="0.2">
      <c r="A1721" s="78"/>
    </row>
    <row r="1722" spans="1:1" x14ac:dyDescent="0.2">
      <c r="A1722" s="78"/>
    </row>
    <row r="1723" spans="1:1" x14ac:dyDescent="0.2">
      <c r="A1723" s="78"/>
    </row>
    <row r="1724" spans="1:1" x14ac:dyDescent="0.2">
      <c r="A1724" s="78"/>
    </row>
    <row r="1725" spans="1:1" x14ac:dyDescent="0.2">
      <c r="A1725" s="78"/>
    </row>
    <row r="1726" spans="1:1" x14ac:dyDescent="0.2">
      <c r="A1726" s="78"/>
    </row>
    <row r="1727" spans="1:1" x14ac:dyDescent="0.2">
      <c r="A1727" s="78"/>
    </row>
    <row r="1728" spans="1:1" x14ac:dyDescent="0.2">
      <c r="A1728" s="78"/>
    </row>
    <row r="1729" spans="1:1" x14ac:dyDescent="0.2">
      <c r="A1729" s="78"/>
    </row>
    <row r="1730" spans="1:1" x14ac:dyDescent="0.2">
      <c r="A1730" s="78"/>
    </row>
    <row r="1731" spans="1:1" x14ac:dyDescent="0.2">
      <c r="A1731" s="78"/>
    </row>
    <row r="1732" spans="1:1" x14ac:dyDescent="0.2">
      <c r="A1732" s="78"/>
    </row>
    <row r="1733" spans="1:1" x14ac:dyDescent="0.2">
      <c r="A1733" s="78"/>
    </row>
    <row r="1734" spans="1:1" x14ac:dyDescent="0.2">
      <c r="A1734" s="78"/>
    </row>
    <row r="1735" spans="1:1" x14ac:dyDescent="0.2">
      <c r="A1735" s="78"/>
    </row>
    <row r="1736" spans="1:1" x14ac:dyDescent="0.2">
      <c r="A1736" s="78"/>
    </row>
    <row r="1737" spans="1:1" x14ac:dyDescent="0.2">
      <c r="A1737" s="78"/>
    </row>
    <row r="1738" spans="1:1" x14ac:dyDescent="0.2">
      <c r="A1738" s="78"/>
    </row>
    <row r="1739" spans="1:1" x14ac:dyDescent="0.2">
      <c r="A1739" s="78"/>
    </row>
    <row r="1740" spans="1:1" x14ac:dyDescent="0.2">
      <c r="A1740" s="78"/>
    </row>
    <row r="1741" spans="1:1" x14ac:dyDescent="0.2">
      <c r="A1741" s="78"/>
    </row>
    <row r="1742" spans="1:1" x14ac:dyDescent="0.2">
      <c r="A1742" s="78"/>
    </row>
    <row r="1743" spans="1:1" x14ac:dyDescent="0.2">
      <c r="A1743" s="78"/>
    </row>
    <row r="1744" spans="1:1" x14ac:dyDescent="0.2">
      <c r="A1744" s="78"/>
    </row>
    <row r="1745" spans="1:1" x14ac:dyDescent="0.2">
      <c r="A1745" s="78"/>
    </row>
    <row r="1746" spans="1:1" x14ac:dyDescent="0.2">
      <c r="A1746" s="78"/>
    </row>
    <row r="1747" spans="1:1" x14ac:dyDescent="0.2">
      <c r="A1747" s="78"/>
    </row>
    <row r="1748" spans="1:1" x14ac:dyDescent="0.2">
      <c r="A1748" s="78"/>
    </row>
    <row r="1749" spans="1:1" x14ac:dyDescent="0.2">
      <c r="A1749" s="78"/>
    </row>
    <row r="1750" spans="1:1" x14ac:dyDescent="0.2">
      <c r="A1750" s="78"/>
    </row>
    <row r="1751" spans="1:1" x14ac:dyDescent="0.2">
      <c r="A1751" s="78"/>
    </row>
    <row r="1752" spans="1:1" x14ac:dyDescent="0.2">
      <c r="A1752" s="78"/>
    </row>
    <row r="1753" spans="1:1" x14ac:dyDescent="0.2">
      <c r="A1753" s="78"/>
    </row>
    <row r="1754" spans="1:1" x14ac:dyDescent="0.2">
      <c r="A1754" s="78"/>
    </row>
    <row r="1755" spans="1:1" x14ac:dyDescent="0.2">
      <c r="A1755" s="78"/>
    </row>
    <row r="1756" spans="1:1" x14ac:dyDescent="0.2">
      <c r="A1756" s="78"/>
    </row>
    <row r="1757" spans="1:1" x14ac:dyDescent="0.2">
      <c r="A1757" s="78"/>
    </row>
    <row r="1758" spans="1:1" x14ac:dyDescent="0.2">
      <c r="A1758" s="78"/>
    </row>
    <row r="1759" spans="1:1" x14ac:dyDescent="0.2">
      <c r="A1759" s="78"/>
    </row>
    <row r="1760" spans="1:1" x14ac:dyDescent="0.2">
      <c r="A1760" s="78"/>
    </row>
    <row r="1761" spans="1:1" x14ac:dyDescent="0.2">
      <c r="A1761" s="78"/>
    </row>
    <row r="1762" spans="1:1" x14ac:dyDescent="0.2">
      <c r="A1762" s="78"/>
    </row>
    <row r="1763" spans="1:1" x14ac:dyDescent="0.2">
      <c r="A1763" s="78"/>
    </row>
    <row r="1764" spans="1:1" x14ac:dyDescent="0.2">
      <c r="A1764" s="78"/>
    </row>
    <row r="1765" spans="1:1" x14ac:dyDescent="0.2">
      <c r="A1765" s="78"/>
    </row>
    <row r="1766" spans="1:1" x14ac:dyDescent="0.2">
      <c r="A1766" s="78"/>
    </row>
    <row r="1767" spans="1:1" x14ac:dyDescent="0.2">
      <c r="A1767" s="78"/>
    </row>
    <row r="1768" spans="1:1" x14ac:dyDescent="0.2">
      <c r="A1768" s="78"/>
    </row>
    <row r="1769" spans="1:1" x14ac:dyDescent="0.2">
      <c r="A1769" s="78"/>
    </row>
    <row r="1770" spans="1:1" x14ac:dyDescent="0.2">
      <c r="A1770" s="78"/>
    </row>
    <row r="1771" spans="1:1" x14ac:dyDescent="0.2">
      <c r="A1771" s="78"/>
    </row>
    <row r="1772" spans="1:1" x14ac:dyDescent="0.2">
      <c r="A1772" s="78"/>
    </row>
    <row r="1773" spans="1:1" x14ac:dyDescent="0.2">
      <c r="A1773" s="78"/>
    </row>
    <row r="1774" spans="1:1" x14ac:dyDescent="0.2">
      <c r="A1774" s="78"/>
    </row>
    <row r="1775" spans="1:1" x14ac:dyDescent="0.2">
      <c r="A1775" s="78"/>
    </row>
    <row r="1776" spans="1:1" x14ac:dyDescent="0.2">
      <c r="A1776" s="78"/>
    </row>
    <row r="1777" spans="1:1" x14ac:dyDescent="0.2">
      <c r="A1777" s="78"/>
    </row>
    <row r="1778" spans="1:1" x14ac:dyDescent="0.2">
      <c r="A1778" s="78"/>
    </row>
    <row r="1779" spans="1:1" x14ac:dyDescent="0.2">
      <c r="A1779" s="78"/>
    </row>
    <row r="1780" spans="1:1" x14ac:dyDescent="0.2">
      <c r="A1780" s="78"/>
    </row>
    <row r="1781" spans="1:1" x14ac:dyDescent="0.2">
      <c r="A1781" s="78"/>
    </row>
    <row r="1782" spans="1:1" x14ac:dyDescent="0.2">
      <c r="A1782" s="78"/>
    </row>
    <row r="1783" spans="1:1" x14ac:dyDescent="0.2">
      <c r="A1783" s="78"/>
    </row>
    <row r="1784" spans="1:1" x14ac:dyDescent="0.2">
      <c r="A1784" s="78"/>
    </row>
    <row r="1785" spans="1:1" x14ac:dyDescent="0.2">
      <c r="A1785" s="78"/>
    </row>
    <row r="1786" spans="1:1" x14ac:dyDescent="0.2">
      <c r="A1786" s="78"/>
    </row>
    <row r="1787" spans="1:1" x14ac:dyDescent="0.2">
      <c r="A1787" s="78"/>
    </row>
    <row r="1788" spans="1:1" x14ac:dyDescent="0.2">
      <c r="A1788" s="78"/>
    </row>
    <row r="1789" spans="1:1" x14ac:dyDescent="0.2">
      <c r="A1789" s="78"/>
    </row>
    <row r="1790" spans="1:1" x14ac:dyDescent="0.2">
      <c r="A1790" s="78"/>
    </row>
    <row r="1791" spans="1:1" x14ac:dyDescent="0.2">
      <c r="A1791" s="78"/>
    </row>
    <row r="1792" spans="1:1" x14ac:dyDescent="0.2">
      <c r="A1792" s="78"/>
    </row>
    <row r="1793" spans="1:1" x14ac:dyDescent="0.2">
      <c r="A1793" s="78"/>
    </row>
    <row r="1794" spans="1:1" x14ac:dyDescent="0.2">
      <c r="A1794" s="78"/>
    </row>
    <row r="1795" spans="1:1" x14ac:dyDescent="0.2">
      <c r="A1795" s="78"/>
    </row>
    <row r="1796" spans="1:1" x14ac:dyDescent="0.2">
      <c r="A1796" s="78"/>
    </row>
    <row r="1797" spans="1:1" x14ac:dyDescent="0.2">
      <c r="A1797" s="78"/>
    </row>
    <row r="1798" spans="1:1" x14ac:dyDescent="0.2">
      <c r="A1798" s="78"/>
    </row>
    <row r="1799" spans="1:1" x14ac:dyDescent="0.2">
      <c r="A1799" s="78"/>
    </row>
    <row r="1800" spans="1:1" x14ac:dyDescent="0.2">
      <c r="A1800" s="78"/>
    </row>
    <row r="1801" spans="1:1" x14ac:dyDescent="0.2">
      <c r="A1801" s="78"/>
    </row>
    <row r="1802" spans="1:1" x14ac:dyDescent="0.2">
      <c r="A1802" s="78"/>
    </row>
    <row r="1803" spans="1:1" x14ac:dyDescent="0.2">
      <c r="A1803" s="78"/>
    </row>
    <row r="1804" spans="1:1" x14ac:dyDescent="0.2">
      <c r="A1804" s="78"/>
    </row>
    <row r="1805" spans="1:1" x14ac:dyDescent="0.2">
      <c r="A1805" s="78"/>
    </row>
    <row r="1806" spans="1:1" x14ac:dyDescent="0.2">
      <c r="A1806" s="78"/>
    </row>
    <row r="1807" spans="1:1" x14ac:dyDescent="0.2">
      <c r="A1807" s="78"/>
    </row>
    <row r="1808" spans="1:1" x14ac:dyDescent="0.2">
      <c r="A1808" s="78"/>
    </row>
    <row r="1809" spans="1:1" x14ac:dyDescent="0.2">
      <c r="A1809" s="78"/>
    </row>
    <row r="1810" spans="1:1" x14ac:dyDescent="0.2">
      <c r="A1810" s="78"/>
    </row>
    <row r="1811" spans="1:1" x14ac:dyDescent="0.2">
      <c r="A1811" s="78"/>
    </row>
    <row r="1812" spans="1:1" x14ac:dyDescent="0.2">
      <c r="A1812" s="78"/>
    </row>
    <row r="1813" spans="1:1" x14ac:dyDescent="0.2">
      <c r="A1813" s="78"/>
    </row>
    <row r="1814" spans="1:1" x14ac:dyDescent="0.2">
      <c r="A1814" s="78"/>
    </row>
    <row r="1815" spans="1:1" x14ac:dyDescent="0.2">
      <c r="A1815" s="78"/>
    </row>
    <row r="1816" spans="1:1" x14ac:dyDescent="0.2">
      <c r="A1816" s="78"/>
    </row>
    <row r="1817" spans="1:1" x14ac:dyDescent="0.2">
      <c r="A1817" s="78"/>
    </row>
    <row r="1818" spans="1:1" x14ac:dyDescent="0.2">
      <c r="A1818" s="78"/>
    </row>
    <row r="1819" spans="1:1" x14ac:dyDescent="0.2">
      <c r="A1819" s="78"/>
    </row>
    <row r="1820" spans="1:1" x14ac:dyDescent="0.2">
      <c r="A1820" s="78"/>
    </row>
    <row r="1821" spans="1:1" x14ac:dyDescent="0.2">
      <c r="A1821" s="78"/>
    </row>
    <row r="1822" spans="1:1" x14ac:dyDescent="0.2">
      <c r="A1822" s="78"/>
    </row>
    <row r="1823" spans="1:1" x14ac:dyDescent="0.2">
      <c r="A1823" s="78"/>
    </row>
    <row r="1824" spans="1:1" x14ac:dyDescent="0.2">
      <c r="A1824" s="78"/>
    </row>
    <row r="1825" spans="1:1" x14ac:dyDescent="0.2">
      <c r="A1825" s="78"/>
    </row>
    <row r="1826" spans="1:1" x14ac:dyDescent="0.2">
      <c r="A1826" s="78"/>
    </row>
    <row r="1827" spans="1:1" x14ac:dyDescent="0.2">
      <c r="A1827" s="78"/>
    </row>
    <row r="1828" spans="1:1" x14ac:dyDescent="0.2">
      <c r="A1828" s="78"/>
    </row>
    <row r="1829" spans="1:1" x14ac:dyDescent="0.2">
      <c r="A1829" s="78"/>
    </row>
    <row r="1830" spans="1:1" x14ac:dyDescent="0.2">
      <c r="A1830" s="78"/>
    </row>
    <row r="1831" spans="1:1" x14ac:dyDescent="0.2">
      <c r="A1831" s="78"/>
    </row>
    <row r="1832" spans="1:1" x14ac:dyDescent="0.2">
      <c r="A1832" s="78"/>
    </row>
    <row r="1833" spans="1:1" x14ac:dyDescent="0.2">
      <c r="A1833" s="78"/>
    </row>
    <row r="1834" spans="1:1" x14ac:dyDescent="0.2">
      <c r="A1834" s="78"/>
    </row>
    <row r="1835" spans="1:1" x14ac:dyDescent="0.2">
      <c r="A1835" s="78"/>
    </row>
    <row r="1836" spans="1:1" x14ac:dyDescent="0.2">
      <c r="A1836" s="78"/>
    </row>
    <row r="1837" spans="1:1" x14ac:dyDescent="0.2">
      <c r="A1837" s="78"/>
    </row>
    <row r="1838" spans="1:1" x14ac:dyDescent="0.2">
      <c r="A1838" s="78"/>
    </row>
    <row r="1839" spans="1:1" x14ac:dyDescent="0.2">
      <c r="A1839" s="78"/>
    </row>
    <row r="1840" spans="1:1" x14ac:dyDescent="0.2">
      <c r="A1840" s="78"/>
    </row>
    <row r="1841" spans="1:1" x14ac:dyDescent="0.2">
      <c r="A1841" s="78"/>
    </row>
    <row r="1842" spans="1:1" x14ac:dyDescent="0.2">
      <c r="A1842" s="78"/>
    </row>
    <row r="1843" spans="1:1" x14ac:dyDescent="0.2">
      <c r="A1843" s="78"/>
    </row>
    <row r="1844" spans="1:1" x14ac:dyDescent="0.2">
      <c r="A1844" s="78"/>
    </row>
    <row r="1845" spans="1:1" x14ac:dyDescent="0.2">
      <c r="A1845" s="78"/>
    </row>
    <row r="1846" spans="1:1" x14ac:dyDescent="0.2">
      <c r="A1846" s="78"/>
    </row>
    <row r="1847" spans="1:1" x14ac:dyDescent="0.2">
      <c r="A1847" s="78"/>
    </row>
    <row r="1848" spans="1:1" x14ac:dyDescent="0.2">
      <c r="A1848" s="78"/>
    </row>
    <row r="1849" spans="1:1" x14ac:dyDescent="0.2">
      <c r="A1849" s="78"/>
    </row>
    <row r="1850" spans="1:1" x14ac:dyDescent="0.2">
      <c r="A1850" s="78"/>
    </row>
    <row r="1851" spans="1:1" x14ac:dyDescent="0.2">
      <c r="A1851" s="78"/>
    </row>
    <row r="1852" spans="1:1" x14ac:dyDescent="0.2">
      <c r="A1852" s="78"/>
    </row>
    <row r="1853" spans="1:1" x14ac:dyDescent="0.2">
      <c r="A1853" s="78"/>
    </row>
    <row r="1854" spans="1:1" x14ac:dyDescent="0.2">
      <c r="A1854" s="78"/>
    </row>
    <row r="1855" spans="1:1" x14ac:dyDescent="0.2">
      <c r="A1855" s="78"/>
    </row>
    <row r="1856" spans="1:1" x14ac:dyDescent="0.2">
      <c r="A1856" s="78"/>
    </row>
    <row r="1857" spans="1:1" x14ac:dyDescent="0.2">
      <c r="A1857" s="78"/>
    </row>
    <row r="1858" spans="1:1" x14ac:dyDescent="0.2">
      <c r="A1858" s="78"/>
    </row>
    <row r="1859" spans="1:1" x14ac:dyDescent="0.2">
      <c r="A1859" s="78"/>
    </row>
    <row r="1860" spans="1:1" x14ac:dyDescent="0.2">
      <c r="A1860" s="78"/>
    </row>
    <row r="1861" spans="1:1" x14ac:dyDescent="0.2">
      <c r="A1861" s="78"/>
    </row>
    <row r="1862" spans="1:1" x14ac:dyDescent="0.2">
      <c r="A1862" s="78"/>
    </row>
    <row r="1863" spans="1:1" x14ac:dyDescent="0.2">
      <c r="A1863" s="78"/>
    </row>
    <row r="1864" spans="1:1" x14ac:dyDescent="0.2">
      <c r="A1864" s="78"/>
    </row>
    <row r="1865" spans="1:1" x14ac:dyDescent="0.2">
      <c r="A1865" s="78"/>
    </row>
    <row r="1866" spans="1:1" x14ac:dyDescent="0.2">
      <c r="A1866" s="78"/>
    </row>
    <row r="1867" spans="1:1" x14ac:dyDescent="0.2">
      <c r="A1867" s="78"/>
    </row>
    <row r="1868" spans="1:1" x14ac:dyDescent="0.2">
      <c r="A1868" s="78"/>
    </row>
    <row r="1869" spans="1:1" x14ac:dyDescent="0.2">
      <c r="A1869" s="78"/>
    </row>
    <row r="1870" spans="1:1" x14ac:dyDescent="0.2">
      <c r="A1870" s="78"/>
    </row>
    <row r="1871" spans="1:1" x14ac:dyDescent="0.2">
      <c r="A1871" s="78"/>
    </row>
    <row r="1872" spans="1:1" x14ac:dyDescent="0.2">
      <c r="A1872" s="78"/>
    </row>
    <row r="1873" spans="1:1" x14ac:dyDescent="0.2">
      <c r="A1873" s="78"/>
    </row>
    <row r="1874" spans="1:1" x14ac:dyDescent="0.2">
      <c r="A1874" s="78"/>
    </row>
    <row r="1875" spans="1:1" x14ac:dyDescent="0.2">
      <c r="A1875" s="78"/>
    </row>
    <row r="1876" spans="1:1" x14ac:dyDescent="0.2">
      <c r="A1876" s="78"/>
    </row>
    <row r="1877" spans="1:1" x14ac:dyDescent="0.2">
      <c r="A1877" s="78"/>
    </row>
    <row r="1878" spans="1:1" x14ac:dyDescent="0.2">
      <c r="A1878" s="78"/>
    </row>
    <row r="1879" spans="1:1" x14ac:dyDescent="0.2">
      <c r="A1879" s="78"/>
    </row>
    <row r="1880" spans="1:1" x14ac:dyDescent="0.2">
      <c r="A1880" s="78"/>
    </row>
    <row r="1881" spans="1:1" x14ac:dyDescent="0.2">
      <c r="A1881" s="78"/>
    </row>
    <row r="1882" spans="1:1" x14ac:dyDescent="0.2">
      <c r="A1882" s="78"/>
    </row>
    <row r="1883" spans="1:1" x14ac:dyDescent="0.2">
      <c r="A1883" s="78"/>
    </row>
    <row r="1884" spans="1:1" x14ac:dyDescent="0.2">
      <c r="A1884" s="78"/>
    </row>
    <row r="1885" spans="1:1" x14ac:dyDescent="0.2">
      <c r="A1885" s="78"/>
    </row>
    <row r="1886" spans="1:1" x14ac:dyDescent="0.2">
      <c r="A1886" s="78"/>
    </row>
    <row r="1887" spans="1:1" x14ac:dyDescent="0.2">
      <c r="A1887" s="78"/>
    </row>
    <row r="1888" spans="1:1" x14ac:dyDescent="0.2">
      <c r="A1888" s="78"/>
    </row>
    <row r="1889" spans="1:1" x14ac:dyDescent="0.2">
      <c r="A1889" s="78"/>
    </row>
    <row r="1890" spans="1:1" x14ac:dyDescent="0.2">
      <c r="A1890" s="78"/>
    </row>
    <row r="1891" spans="1:1" x14ac:dyDescent="0.2">
      <c r="A1891" s="78"/>
    </row>
    <row r="1892" spans="1:1" x14ac:dyDescent="0.2">
      <c r="A1892" s="78"/>
    </row>
    <row r="1893" spans="1:1" x14ac:dyDescent="0.2">
      <c r="A1893" s="78"/>
    </row>
    <row r="1894" spans="1:1" x14ac:dyDescent="0.2">
      <c r="A1894" s="78"/>
    </row>
    <row r="1895" spans="1:1" x14ac:dyDescent="0.2">
      <c r="A1895" s="78"/>
    </row>
    <row r="1896" spans="1:1" x14ac:dyDescent="0.2">
      <c r="A1896" s="78"/>
    </row>
    <row r="1897" spans="1:1" x14ac:dyDescent="0.2">
      <c r="A1897" s="78"/>
    </row>
    <row r="1898" spans="1:1" x14ac:dyDescent="0.2">
      <c r="A1898" s="78"/>
    </row>
    <row r="1899" spans="1:1" x14ac:dyDescent="0.2">
      <c r="A1899" s="78"/>
    </row>
    <row r="1900" spans="1:1" x14ac:dyDescent="0.2">
      <c r="A1900" s="78"/>
    </row>
    <row r="1901" spans="1:1" x14ac:dyDescent="0.2">
      <c r="A1901" s="78"/>
    </row>
    <row r="1902" spans="1:1" x14ac:dyDescent="0.2">
      <c r="A1902" s="78"/>
    </row>
    <row r="1903" spans="1:1" x14ac:dyDescent="0.2">
      <c r="A1903" s="78"/>
    </row>
    <row r="1904" spans="1:1" x14ac:dyDescent="0.2">
      <c r="A1904" s="78"/>
    </row>
    <row r="1905" spans="1:1" x14ac:dyDescent="0.2">
      <c r="A1905" s="78"/>
    </row>
    <row r="1906" spans="1:1" x14ac:dyDescent="0.2">
      <c r="A1906" s="78"/>
    </row>
    <row r="1907" spans="1:1" x14ac:dyDescent="0.2">
      <c r="A1907" s="78"/>
    </row>
    <row r="1908" spans="1:1" x14ac:dyDescent="0.2">
      <c r="A1908" s="78"/>
    </row>
    <row r="1909" spans="1:1" x14ac:dyDescent="0.2">
      <c r="A1909" s="78"/>
    </row>
    <row r="1910" spans="1:1" x14ac:dyDescent="0.2">
      <c r="A1910" s="78"/>
    </row>
    <row r="1911" spans="1:1" x14ac:dyDescent="0.2">
      <c r="A1911" s="78"/>
    </row>
    <row r="1912" spans="1:1" x14ac:dyDescent="0.2">
      <c r="A1912" s="78"/>
    </row>
    <row r="1913" spans="1:1" x14ac:dyDescent="0.2">
      <c r="A1913" s="78"/>
    </row>
    <row r="1914" spans="1:1" x14ac:dyDescent="0.2">
      <c r="A1914" s="78"/>
    </row>
    <row r="1915" spans="1:1" x14ac:dyDescent="0.2">
      <c r="A1915" s="78"/>
    </row>
    <row r="1916" spans="1:1" x14ac:dyDescent="0.2">
      <c r="A1916" s="78"/>
    </row>
    <row r="1917" spans="1:1" x14ac:dyDescent="0.2">
      <c r="A1917" s="78"/>
    </row>
    <row r="1918" spans="1:1" x14ac:dyDescent="0.2">
      <c r="A1918" s="78"/>
    </row>
    <row r="1919" spans="1:1" x14ac:dyDescent="0.2">
      <c r="A1919" s="78"/>
    </row>
    <row r="1920" spans="1:1" x14ac:dyDescent="0.2">
      <c r="A1920" s="78"/>
    </row>
    <row r="1921" spans="1:1" x14ac:dyDescent="0.2">
      <c r="A1921" s="78"/>
    </row>
    <row r="1922" spans="1:1" x14ac:dyDescent="0.2">
      <c r="A1922" s="78"/>
    </row>
    <row r="1923" spans="1:1" x14ac:dyDescent="0.2">
      <c r="A1923" s="78"/>
    </row>
    <row r="1924" spans="1:1" x14ac:dyDescent="0.2">
      <c r="A1924" s="78"/>
    </row>
    <row r="1925" spans="1:1" x14ac:dyDescent="0.2">
      <c r="A1925" s="78"/>
    </row>
    <row r="1926" spans="1:1" x14ac:dyDescent="0.2">
      <c r="A1926" s="78"/>
    </row>
    <row r="1927" spans="1:1" x14ac:dyDescent="0.2">
      <c r="A1927" s="78"/>
    </row>
    <row r="1928" spans="1:1" x14ac:dyDescent="0.2">
      <c r="A1928" s="78"/>
    </row>
    <row r="1929" spans="1:1" x14ac:dyDescent="0.2">
      <c r="A1929" s="78"/>
    </row>
    <row r="1930" spans="1:1" x14ac:dyDescent="0.2">
      <c r="A1930" s="78"/>
    </row>
    <row r="1931" spans="1:1" x14ac:dyDescent="0.2">
      <c r="A1931" s="78"/>
    </row>
    <row r="1932" spans="1:1" x14ac:dyDescent="0.2">
      <c r="A1932" s="78"/>
    </row>
    <row r="1933" spans="1:1" x14ac:dyDescent="0.2">
      <c r="A1933" s="78"/>
    </row>
    <row r="1934" spans="1:1" x14ac:dyDescent="0.2">
      <c r="A1934" s="78"/>
    </row>
    <row r="1935" spans="1:1" x14ac:dyDescent="0.2">
      <c r="A1935" s="78"/>
    </row>
    <row r="1936" spans="1:1" x14ac:dyDescent="0.2">
      <c r="A1936" s="78"/>
    </row>
    <row r="1937" spans="1:1" x14ac:dyDescent="0.2">
      <c r="A1937" s="78"/>
    </row>
    <row r="1938" spans="1:1" x14ac:dyDescent="0.2">
      <c r="A1938" s="78"/>
    </row>
    <row r="1939" spans="1:1" x14ac:dyDescent="0.2">
      <c r="A1939" s="78"/>
    </row>
    <row r="1940" spans="1:1" x14ac:dyDescent="0.2">
      <c r="A1940" s="78"/>
    </row>
    <row r="1941" spans="1:1" x14ac:dyDescent="0.2">
      <c r="A1941" s="78"/>
    </row>
    <row r="1942" spans="1:1" x14ac:dyDescent="0.2">
      <c r="A1942" s="78"/>
    </row>
    <row r="1943" spans="1:1" x14ac:dyDescent="0.2">
      <c r="A1943" s="78"/>
    </row>
    <row r="1944" spans="1:1" x14ac:dyDescent="0.2">
      <c r="A1944" s="78"/>
    </row>
    <row r="1945" spans="1:1" x14ac:dyDescent="0.2">
      <c r="A1945" s="78"/>
    </row>
    <row r="1946" spans="1:1" x14ac:dyDescent="0.2">
      <c r="A1946" s="78"/>
    </row>
  </sheetData>
  <sheetProtection algorithmName="SHA-512" hashValue="9ydwgvYXKZKjDIgFOFkI8UzDdDeZa45qzfHE0a3rsDpx5bJ8jmb8WB3EcC1/PsWH9Bm0q59sYvWV+b2sERGDPA==" saltValue="9MQT+pI/AqztPhjGCUy5kA==" spinCount="100000" sheet="1" objects="1" scenarios="1"/>
  <mergeCells count="2">
    <mergeCell ref="A1467:B1467"/>
    <mergeCell ref="A2:B2"/>
  </mergeCells>
  <printOptions horizontalCentered="1"/>
  <pageMargins left="0.78740157480314965" right="0.39370078740157483" top="0.51958333333333329" bottom="0.98425196850393704" header="0.19685039370078741" footer="0.19685039370078741"/>
  <pageSetup paperSize="9" scale="86" fitToWidth="0" orientation="landscape" r:id="rId1"/>
  <headerFooter>
    <oddHeader>&amp;LRTP 110/20 kV Izola&amp;R&amp;G</oddHeader>
    <oddFooter>&amp;LDZR: Ponudbeni predračun
Datoteka: 4407.6G01.PP.rev1.xlsx&amp;R Stran: &amp;P od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G1963"/>
  <sheetViews>
    <sheetView view="pageBreakPreview" topLeftCell="A112" zoomScale="115" zoomScaleNormal="100" zoomScaleSheetLayoutView="115" zoomScalePageLayoutView="115" workbookViewId="0">
      <selection activeCell="E117" sqref="E117:E121"/>
    </sheetView>
  </sheetViews>
  <sheetFormatPr defaultColWidth="6.7109375" defaultRowHeight="12.75" x14ac:dyDescent="0.2"/>
  <cols>
    <col min="1" max="1" width="7.85546875" style="190" customWidth="1"/>
    <col min="2" max="2" width="99.140625" style="179" customWidth="1"/>
    <col min="3" max="3" width="9" style="191" customWidth="1"/>
    <col min="4" max="4" width="11.42578125" style="192" customWidth="1"/>
    <col min="5" max="5" width="12.7109375" style="193" customWidth="1"/>
    <col min="6" max="6" width="13.5703125" style="194" customWidth="1"/>
    <col min="7" max="16384" width="6.7109375" style="78"/>
  </cols>
  <sheetData>
    <row r="1" spans="1:7" ht="15.95" customHeight="1" thickBot="1" x14ac:dyDescent="0.3">
      <c r="A1" s="7"/>
      <c r="B1" s="329"/>
      <c r="C1" s="329"/>
      <c r="D1" s="329"/>
      <c r="E1" s="329"/>
      <c r="F1" s="329"/>
    </row>
    <row r="2" spans="1:7" ht="32.450000000000003" customHeight="1" x14ac:dyDescent="0.2">
      <c r="A2" s="1" t="s">
        <v>1</v>
      </c>
      <c r="B2" s="2" t="s">
        <v>1741</v>
      </c>
      <c r="C2" s="3" t="s">
        <v>1742</v>
      </c>
      <c r="D2" s="4" t="s">
        <v>1743</v>
      </c>
      <c r="E2" s="5" t="s">
        <v>1744</v>
      </c>
      <c r="F2" s="6" t="s">
        <v>1745</v>
      </c>
    </row>
    <row r="3" spans="1:7" ht="15" x14ac:dyDescent="0.2">
      <c r="A3" s="21" t="s">
        <v>34</v>
      </c>
      <c r="B3" s="30" t="s">
        <v>1746</v>
      </c>
      <c r="C3" s="23"/>
      <c r="D3" s="24"/>
      <c r="E3" s="25"/>
      <c r="F3" s="26"/>
    </row>
    <row r="4" spans="1:7" ht="42.75" x14ac:dyDescent="0.2">
      <c r="A4" s="21"/>
      <c r="B4" s="17" t="s">
        <v>1747</v>
      </c>
      <c r="C4" s="23"/>
      <c r="D4" s="24"/>
      <c r="E4" s="25"/>
      <c r="F4" s="26"/>
    </row>
    <row r="5" spans="1:7" ht="42.75" x14ac:dyDescent="0.2">
      <c r="A5" s="21"/>
      <c r="B5" s="17" t="s">
        <v>1748</v>
      </c>
      <c r="C5" s="23"/>
      <c r="D5" s="24"/>
      <c r="E5" s="25"/>
      <c r="F5" s="26"/>
    </row>
    <row r="6" spans="1:7" ht="57" x14ac:dyDescent="0.2">
      <c r="A6" s="21"/>
      <c r="B6" s="17" t="str">
        <f>'2.2'!B5</f>
        <v xml:space="preserve">Vsi odpadki, ki bodo nastali pri izvedbi, bodo naloženi na prevozno sredstvo in odpeljani na stalno gradbeno deponijo nenevarnih odpadkov uradnega zbiralca odpadkov. Upoštevati vsa potrebna dela in stroške v zvezi z deponiranjem. Vsi odpadki, ki bodo ponovno uporabljeni pri izvedbi, bodo naloženi na prevozno sredstvo in pripeljani na gradbišče. </v>
      </c>
      <c r="C6" s="23"/>
      <c r="D6" s="24"/>
      <c r="E6" s="25"/>
      <c r="F6" s="26"/>
    </row>
    <row r="7" spans="1:7" ht="15" x14ac:dyDescent="0.2">
      <c r="A7" s="21"/>
      <c r="B7" s="17" t="s">
        <v>1749</v>
      </c>
      <c r="C7" s="23"/>
      <c r="D7" s="24"/>
      <c r="E7" s="25"/>
      <c r="F7" s="26"/>
    </row>
    <row r="8" spans="1:7" ht="15" x14ac:dyDescent="0.2">
      <c r="A8" s="27" t="s">
        <v>1750</v>
      </c>
      <c r="B8" s="30" t="s">
        <v>1751</v>
      </c>
      <c r="C8" s="23"/>
      <c r="D8" s="24"/>
      <c r="E8" s="25"/>
      <c r="F8" s="26"/>
    </row>
    <row r="9" spans="1:7" ht="96.75" customHeight="1" x14ac:dyDescent="0.2">
      <c r="A9" s="27"/>
      <c r="B9" s="17" t="s">
        <v>1752</v>
      </c>
      <c r="C9" s="23"/>
      <c r="D9" s="24"/>
      <c r="E9" s="25"/>
      <c r="F9" s="26"/>
    </row>
    <row r="10" spans="1:7" ht="28.5" x14ac:dyDescent="0.2">
      <c r="A10" s="27"/>
      <c r="B10" s="17" t="s">
        <v>1753</v>
      </c>
      <c r="C10" s="23"/>
      <c r="D10" s="24"/>
      <c r="E10" s="25"/>
      <c r="F10" s="26"/>
    </row>
    <row r="11" spans="1:7" ht="28.5" x14ac:dyDescent="0.2">
      <c r="A11" s="29" t="s">
        <v>1754</v>
      </c>
      <c r="B11" s="17" t="s">
        <v>1755</v>
      </c>
      <c r="C11" s="15" t="s">
        <v>1756</v>
      </c>
      <c r="D11" s="16">
        <v>20</v>
      </c>
      <c r="E11" s="31"/>
      <c r="F11" s="28">
        <f>ROUND(D11*E11,2)</f>
        <v>0</v>
      </c>
    </row>
    <row r="12" spans="1:7" ht="33" customHeight="1" x14ac:dyDescent="0.2">
      <c r="A12" s="29" t="s">
        <v>1757</v>
      </c>
      <c r="B12" s="17" t="s">
        <v>1758</v>
      </c>
      <c r="C12" s="15" t="s">
        <v>1756</v>
      </c>
      <c r="D12" s="16">
        <v>300</v>
      </c>
      <c r="E12" s="31"/>
      <c r="F12" s="28">
        <f>ROUND(D12*E12,2)</f>
        <v>0</v>
      </c>
    </row>
    <row r="13" spans="1:7" ht="15" x14ac:dyDescent="0.2">
      <c r="A13" s="29" t="s">
        <v>1759</v>
      </c>
      <c r="B13" s="17" t="s">
        <v>1760</v>
      </c>
      <c r="C13" s="23"/>
      <c r="D13" s="24"/>
      <c r="E13" s="25"/>
      <c r="F13" s="26"/>
    </row>
    <row r="14" spans="1:7" ht="14.25" x14ac:dyDescent="0.2">
      <c r="A14" s="29" t="s">
        <v>1761</v>
      </c>
      <c r="B14" s="17" t="s">
        <v>1762</v>
      </c>
      <c r="C14" s="15" t="s">
        <v>1756</v>
      </c>
      <c r="D14" s="16">
        <f>D12+D11</f>
        <v>320</v>
      </c>
      <c r="E14" s="31"/>
      <c r="F14" s="28">
        <f>ROUND(D14*E14,2)</f>
        <v>0</v>
      </c>
    </row>
    <row r="15" spans="1:7" ht="15" thickBot="1" x14ac:dyDescent="0.25">
      <c r="A15" s="29" t="s">
        <v>1763</v>
      </c>
      <c r="B15" s="17" t="s">
        <v>1764</v>
      </c>
      <c r="C15" s="15" t="s">
        <v>1765</v>
      </c>
      <c r="D15" s="16">
        <v>35</v>
      </c>
      <c r="E15" s="31"/>
      <c r="F15" s="28">
        <f>ROUND(D15*E15,2)</f>
        <v>0</v>
      </c>
    </row>
    <row r="16" spans="1:7" ht="18.75" customHeight="1" thickBot="1" x14ac:dyDescent="0.3">
      <c r="A16" s="29"/>
      <c r="B16" s="180"/>
      <c r="C16" s="333" t="s">
        <v>1766</v>
      </c>
      <c r="D16" s="334"/>
      <c r="E16" s="335"/>
      <c r="F16" s="18">
        <f>SUM(F11:F15)</f>
        <v>0</v>
      </c>
      <c r="G16" s="8"/>
    </row>
    <row r="17" spans="1:7" ht="15" x14ac:dyDescent="0.2">
      <c r="A17" s="27" t="s">
        <v>1767</v>
      </c>
      <c r="B17" s="30" t="s">
        <v>1768</v>
      </c>
      <c r="C17" s="23"/>
      <c r="D17" s="24"/>
      <c r="E17" s="25"/>
      <c r="F17" s="26"/>
    </row>
    <row r="18" spans="1:7" ht="42.75" x14ac:dyDescent="0.2">
      <c r="A18" s="29"/>
      <c r="B18" s="17" t="s">
        <v>1769</v>
      </c>
      <c r="C18" s="15"/>
      <c r="D18" s="24"/>
      <c r="E18" s="25"/>
      <c r="F18" s="26"/>
    </row>
    <row r="19" spans="1:7" ht="28.5" x14ac:dyDescent="0.25">
      <c r="A19" s="29" t="s">
        <v>1770</v>
      </c>
      <c r="B19" s="17" t="s">
        <v>1771</v>
      </c>
      <c r="C19" s="15"/>
      <c r="D19" s="24"/>
      <c r="E19" s="25"/>
      <c r="F19" s="26"/>
      <c r="G19" s="8"/>
    </row>
    <row r="20" spans="1:7" ht="18" x14ac:dyDescent="0.25">
      <c r="A20" s="29" t="s">
        <v>1761</v>
      </c>
      <c r="B20" s="17" t="s">
        <v>1772</v>
      </c>
      <c r="C20" s="15" t="s">
        <v>1773</v>
      </c>
      <c r="D20" s="61">
        <f>812*1.2</f>
        <v>974.4</v>
      </c>
      <c r="E20" s="31"/>
      <c r="F20" s="28">
        <f t="shared" ref="F20:F25" si="0">ROUND(D20*E20,2)</f>
        <v>0</v>
      </c>
      <c r="G20" s="8"/>
    </row>
    <row r="21" spans="1:7" ht="18" x14ac:dyDescent="0.25">
      <c r="A21" s="29" t="s">
        <v>1774</v>
      </c>
      <c r="B21" s="17" t="s">
        <v>1775</v>
      </c>
      <c r="C21" s="15" t="s">
        <v>1773</v>
      </c>
      <c r="D21" s="61">
        <f>84*1.2</f>
        <v>100.8</v>
      </c>
      <c r="E21" s="31"/>
      <c r="F21" s="28">
        <f t="shared" si="0"/>
        <v>0</v>
      </c>
      <c r="G21" s="8"/>
    </row>
    <row r="22" spans="1:7" ht="42.75" x14ac:dyDescent="0.25">
      <c r="A22" s="29" t="s">
        <v>1776</v>
      </c>
      <c r="B22" s="17" t="s">
        <v>1777</v>
      </c>
      <c r="C22" s="15" t="s">
        <v>1756</v>
      </c>
      <c r="D22" s="61">
        <f>14*2.35*0.5*1.2+0.26</f>
        <v>20</v>
      </c>
      <c r="E22" s="31"/>
      <c r="F22" s="28">
        <f t="shared" si="0"/>
        <v>0</v>
      </c>
      <c r="G22" s="8"/>
    </row>
    <row r="23" spans="1:7" ht="42.75" x14ac:dyDescent="0.25">
      <c r="A23" s="29" t="s">
        <v>1778</v>
      </c>
      <c r="B23" s="17" t="s">
        <v>1779</v>
      </c>
      <c r="C23" s="15" t="s">
        <v>1780</v>
      </c>
      <c r="D23" s="61">
        <f>(14+2*0.5)*2.35*1.1*1.2-0.06</f>
        <v>46.470000000000006</v>
      </c>
      <c r="E23" s="31"/>
      <c r="F23" s="28">
        <f t="shared" si="0"/>
        <v>0</v>
      </c>
      <c r="G23" s="8"/>
    </row>
    <row r="24" spans="1:7" ht="57" x14ac:dyDescent="0.25">
      <c r="A24" s="29" t="s">
        <v>1781</v>
      </c>
      <c r="B24" s="17" t="s">
        <v>1782</v>
      </c>
      <c r="C24" s="15" t="s">
        <v>1780</v>
      </c>
      <c r="D24" s="61">
        <f>(14+2*0.5)*2.35*1.1*1.2-0.06</f>
        <v>46.470000000000006</v>
      </c>
      <c r="E24" s="31"/>
      <c r="F24" s="28">
        <f>ROUND(D24*E24,2)</f>
        <v>0</v>
      </c>
      <c r="G24" s="8"/>
    </row>
    <row r="25" spans="1:7" ht="29.25" thickBot="1" x14ac:dyDescent="0.3">
      <c r="A25" s="29" t="s">
        <v>1783</v>
      </c>
      <c r="B25" s="17" t="s">
        <v>1784</v>
      </c>
      <c r="C25" s="15" t="s">
        <v>1756</v>
      </c>
      <c r="D25" s="181">
        <f>1</f>
        <v>1</v>
      </c>
      <c r="E25" s="31"/>
      <c r="F25" s="28">
        <f t="shared" si="0"/>
        <v>0</v>
      </c>
      <c r="G25" s="8"/>
    </row>
    <row r="26" spans="1:7" ht="18.75" customHeight="1" thickBot="1" x14ac:dyDescent="0.3">
      <c r="A26" s="29"/>
      <c r="B26" s="180"/>
      <c r="C26" s="333" t="s">
        <v>1785</v>
      </c>
      <c r="D26" s="334"/>
      <c r="E26" s="335"/>
      <c r="F26" s="18">
        <f>SUM(F20:F25)</f>
        <v>0</v>
      </c>
      <c r="G26" s="8"/>
    </row>
    <row r="27" spans="1:7" ht="18" x14ac:dyDescent="0.25">
      <c r="A27" s="27" t="s">
        <v>1786</v>
      </c>
      <c r="B27" s="30" t="s">
        <v>1787</v>
      </c>
      <c r="C27" s="23"/>
      <c r="D27" s="24"/>
      <c r="E27" s="25"/>
      <c r="F27" s="26"/>
      <c r="G27" s="8"/>
    </row>
    <row r="28" spans="1:7" ht="18" x14ac:dyDescent="0.25">
      <c r="A28" s="27"/>
      <c r="B28" s="30"/>
      <c r="C28" s="23"/>
      <c r="D28" s="24"/>
      <c r="E28" s="25"/>
      <c r="F28" s="26"/>
      <c r="G28" s="8"/>
    </row>
    <row r="29" spans="1:7" ht="18" x14ac:dyDescent="0.25">
      <c r="A29" s="29"/>
      <c r="B29" s="30" t="s">
        <v>1788</v>
      </c>
      <c r="C29" s="23"/>
      <c r="D29" s="24"/>
      <c r="E29" s="25"/>
      <c r="F29" s="26"/>
      <c r="G29" s="8"/>
    </row>
    <row r="30" spans="1:7" ht="28.5" x14ac:dyDescent="0.25">
      <c r="A30" s="29"/>
      <c r="B30" s="17" t="s">
        <v>1789</v>
      </c>
      <c r="C30" s="23"/>
      <c r="D30" s="24"/>
      <c r="E30" s="25"/>
      <c r="F30" s="26"/>
      <c r="G30" s="8"/>
    </row>
    <row r="31" spans="1:7" ht="28.5" x14ac:dyDescent="0.25">
      <c r="A31" s="29" t="s">
        <v>1790</v>
      </c>
      <c r="B31" s="17" t="s">
        <v>1791</v>
      </c>
      <c r="C31" s="15" t="s">
        <v>1756</v>
      </c>
      <c r="D31" s="181">
        <v>1100</v>
      </c>
      <c r="E31" s="31"/>
      <c r="F31" s="28">
        <f>ROUND(D31*E31,2)</f>
        <v>0</v>
      </c>
      <c r="G31" s="8"/>
    </row>
    <row r="32" spans="1:7" ht="18" x14ac:dyDescent="0.25">
      <c r="A32" s="29" t="s">
        <v>1792</v>
      </c>
      <c r="B32" s="17" t="s">
        <v>1793</v>
      </c>
      <c r="C32" s="15" t="s">
        <v>1756</v>
      </c>
      <c r="D32" s="181">
        <v>300</v>
      </c>
      <c r="E32" s="31"/>
      <c r="F32" s="28">
        <f>ROUND(D32*E32,2)</f>
        <v>0</v>
      </c>
      <c r="G32" s="8"/>
    </row>
    <row r="33" spans="1:7" ht="18" x14ac:dyDescent="0.25">
      <c r="A33" s="29" t="s">
        <v>1794</v>
      </c>
      <c r="B33" s="17" t="s">
        <v>1795</v>
      </c>
      <c r="C33" s="15" t="s">
        <v>1756</v>
      </c>
      <c r="D33" s="181">
        <v>180</v>
      </c>
      <c r="E33" s="31"/>
      <c r="F33" s="28">
        <f>ROUND(D33*E33,2)</f>
        <v>0</v>
      </c>
      <c r="G33" s="8"/>
    </row>
    <row r="34" spans="1:7" ht="18" x14ac:dyDescent="0.25">
      <c r="A34" s="29" t="s">
        <v>1796</v>
      </c>
      <c r="B34" s="17" t="s">
        <v>1797</v>
      </c>
      <c r="C34" s="15" t="s">
        <v>1773</v>
      </c>
      <c r="D34" s="181">
        <v>5000</v>
      </c>
      <c r="E34" s="31"/>
      <c r="F34" s="28">
        <f t="shared" ref="F34:F52" si="1">ROUND(D34*E34,2)</f>
        <v>0</v>
      </c>
      <c r="G34" s="8"/>
    </row>
    <row r="35" spans="1:7" ht="18" x14ac:dyDescent="0.25">
      <c r="A35" s="29" t="s">
        <v>1798</v>
      </c>
      <c r="B35" s="17" t="s">
        <v>1799</v>
      </c>
      <c r="C35" s="15" t="s">
        <v>1800</v>
      </c>
      <c r="D35" s="181">
        <v>20</v>
      </c>
      <c r="E35" s="31"/>
      <c r="F35" s="28">
        <f t="shared" si="1"/>
        <v>0</v>
      </c>
      <c r="G35" s="8"/>
    </row>
    <row r="36" spans="1:7" ht="18" x14ac:dyDescent="0.25">
      <c r="A36" s="29" t="s">
        <v>1801</v>
      </c>
      <c r="B36" s="17" t="s">
        <v>1802</v>
      </c>
      <c r="C36" s="15" t="s">
        <v>1800</v>
      </c>
      <c r="D36" s="181">
        <v>20</v>
      </c>
      <c r="E36" s="31"/>
      <c r="F36" s="28">
        <f t="shared" si="1"/>
        <v>0</v>
      </c>
      <c r="G36" s="8"/>
    </row>
    <row r="37" spans="1:7" ht="18" x14ac:dyDescent="0.25">
      <c r="A37" s="29" t="s">
        <v>1803</v>
      </c>
      <c r="B37" s="17" t="s">
        <v>1804</v>
      </c>
      <c r="C37" s="15" t="s">
        <v>1780</v>
      </c>
      <c r="D37" s="181">
        <v>200</v>
      </c>
      <c r="E37" s="31"/>
      <c r="F37" s="28">
        <f t="shared" si="1"/>
        <v>0</v>
      </c>
      <c r="G37" s="8"/>
    </row>
    <row r="38" spans="1:7" ht="28.5" x14ac:dyDescent="0.25">
      <c r="A38" s="29" t="s">
        <v>1805</v>
      </c>
      <c r="B38" s="17" t="s">
        <v>1806</v>
      </c>
      <c r="C38" s="15" t="s">
        <v>1756</v>
      </c>
      <c r="D38" s="181">
        <v>20</v>
      </c>
      <c r="E38" s="31"/>
      <c r="F38" s="28">
        <f t="shared" si="1"/>
        <v>0</v>
      </c>
      <c r="G38" s="8"/>
    </row>
    <row r="39" spans="1:7" ht="18" x14ac:dyDescent="0.25">
      <c r="A39" s="29" t="s">
        <v>1807</v>
      </c>
      <c r="B39" s="17" t="s">
        <v>1808</v>
      </c>
      <c r="C39" s="15" t="s">
        <v>1780</v>
      </c>
      <c r="D39" s="181">
        <v>300</v>
      </c>
      <c r="E39" s="31"/>
      <c r="F39" s="28">
        <f t="shared" si="1"/>
        <v>0</v>
      </c>
      <c r="G39" s="8"/>
    </row>
    <row r="40" spans="1:7" ht="28.5" x14ac:dyDescent="0.25">
      <c r="A40" s="29" t="s">
        <v>1809</v>
      </c>
      <c r="B40" s="17" t="s">
        <v>1810</v>
      </c>
      <c r="C40" s="15" t="s">
        <v>1780</v>
      </c>
      <c r="D40" s="181">
        <v>300</v>
      </c>
      <c r="E40" s="31"/>
      <c r="F40" s="28">
        <f t="shared" si="1"/>
        <v>0</v>
      </c>
      <c r="G40" s="8"/>
    </row>
    <row r="41" spans="1:7" ht="18" x14ac:dyDescent="0.25">
      <c r="A41" s="29" t="s">
        <v>1811</v>
      </c>
      <c r="B41" s="17" t="s">
        <v>1812</v>
      </c>
      <c r="C41" s="15" t="s">
        <v>1773</v>
      </c>
      <c r="D41" s="181">
        <v>3000</v>
      </c>
      <c r="E41" s="31"/>
      <c r="F41" s="28">
        <f t="shared" si="1"/>
        <v>0</v>
      </c>
      <c r="G41" s="8"/>
    </row>
    <row r="42" spans="1:7" ht="28.5" x14ac:dyDescent="0.25">
      <c r="A42" s="29" t="s">
        <v>1813</v>
      </c>
      <c r="B42" s="17" t="s">
        <v>1814</v>
      </c>
      <c r="C42" s="15" t="s">
        <v>1773</v>
      </c>
      <c r="D42" s="181">
        <v>5000</v>
      </c>
      <c r="E42" s="31"/>
      <c r="F42" s="28">
        <f t="shared" si="1"/>
        <v>0</v>
      </c>
      <c r="G42" s="8"/>
    </row>
    <row r="43" spans="1:7" ht="28.5" x14ac:dyDescent="0.25">
      <c r="A43" s="29" t="s">
        <v>1815</v>
      </c>
      <c r="B43" s="17" t="s">
        <v>1816</v>
      </c>
      <c r="C43" s="15" t="s">
        <v>1773</v>
      </c>
      <c r="D43" s="181">
        <v>1000</v>
      </c>
      <c r="E43" s="31"/>
      <c r="F43" s="28">
        <f t="shared" si="1"/>
        <v>0</v>
      </c>
      <c r="G43" s="8"/>
    </row>
    <row r="44" spans="1:7" ht="28.5" x14ac:dyDescent="0.25">
      <c r="A44" s="29" t="s">
        <v>1817</v>
      </c>
      <c r="B44" s="17" t="s">
        <v>1818</v>
      </c>
      <c r="C44" s="15" t="s">
        <v>1780</v>
      </c>
      <c r="D44" s="181">
        <v>35</v>
      </c>
      <c r="E44" s="31"/>
      <c r="F44" s="28">
        <f t="shared" si="1"/>
        <v>0</v>
      </c>
      <c r="G44" s="8"/>
    </row>
    <row r="45" spans="1:7" ht="28.5" x14ac:dyDescent="0.25">
      <c r="A45" s="29" t="s">
        <v>1819</v>
      </c>
      <c r="B45" s="17" t="s">
        <v>1820</v>
      </c>
      <c r="C45" s="15" t="s">
        <v>1780</v>
      </c>
      <c r="D45" s="181">
        <v>35</v>
      </c>
      <c r="E45" s="31"/>
      <c r="F45" s="28">
        <f t="shared" si="1"/>
        <v>0</v>
      </c>
      <c r="G45" s="8"/>
    </row>
    <row r="46" spans="1:7" ht="18" x14ac:dyDescent="0.25">
      <c r="A46" s="29" t="s">
        <v>1821</v>
      </c>
      <c r="B46" s="17" t="s">
        <v>1822</v>
      </c>
      <c r="C46" s="15" t="s">
        <v>1780</v>
      </c>
      <c r="D46" s="181">
        <v>30</v>
      </c>
      <c r="E46" s="31"/>
      <c r="F46" s="28">
        <f t="shared" si="1"/>
        <v>0</v>
      </c>
      <c r="G46" s="8"/>
    </row>
    <row r="47" spans="1:7" ht="18" x14ac:dyDescent="0.25">
      <c r="A47" s="29" t="s">
        <v>1823</v>
      </c>
      <c r="B47" s="17" t="s">
        <v>1824</v>
      </c>
      <c r="C47" s="23"/>
      <c r="D47" s="181"/>
      <c r="E47" s="25"/>
      <c r="F47" s="26"/>
      <c r="G47" s="8"/>
    </row>
    <row r="48" spans="1:7" ht="18" x14ac:dyDescent="0.25">
      <c r="A48" s="29" t="s">
        <v>1761</v>
      </c>
      <c r="B48" s="17" t="s">
        <v>1825</v>
      </c>
      <c r="C48" s="15" t="s">
        <v>1826</v>
      </c>
      <c r="D48" s="181">
        <v>10</v>
      </c>
      <c r="E48" s="31"/>
      <c r="F48" s="28">
        <f t="shared" si="1"/>
        <v>0</v>
      </c>
      <c r="G48" s="8"/>
    </row>
    <row r="49" spans="1:7" ht="18" x14ac:dyDescent="0.25">
      <c r="A49" s="29" t="s">
        <v>1774</v>
      </c>
      <c r="B49" s="17" t="s">
        <v>1827</v>
      </c>
      <c r="C49" s="15" t="s">
        <v>1826</v>
      </c>
      <c r="D49" s="181">
        <v>2</v>
      </c>
      <c r="E49" s="31"/>
      <c r="F49" s="28">
        <f t="shared" si="1"/>
        <v>0</v>
      </c>
      <c r="G49" s="8"/>
    </row>
    <row r="50" spans="1:7" ht="18" x14ac:dyDescent="0.25">
      <c r="A50" s="29" t="s">
        <v>1828</v>
      </c>
      <c r="B50" s="17" t="s">
        <v>1829</v>
      </c>
      <c r="C50" s="23"/>
      <c r="D50" s="181"/>
      <c r="E50" s="25"/>
      <c r="F50" s="26"/>
      <c r="G50" s="8"/>
    </row>
    <row r="51" spans="1:7" ht="18" x14ac:dyDescent="0.25">
      <c r="A51" s="29" t="s">
        <v>1761</v>
      </c>
      <c r="B51" s="17" t="s">
        <v>1825</v>
      </c>
      <c r="C51" s="15" t="s">
        <v>1826</v>
      </c>
      <c r="D51" s="181">
        <v>20</v>
      </c>
      <c r="E51" s="31"/>
      <c r="F51" s="28">
        <f t="shared" si="1"/>
        <v>0</v>
      </c>
      <c r="G51" s="8"/>
    </row>
    <row r="52" spans="1:7" ht="18" x14ac:dyDescent="0.25">
      <c r="A52" s="29" t="s">
        <v>1774</v>
      </c>
      <c r="B52" s="17" t="s">
        <v>1830</v>
      </c>
      <c r="C52" s="15" t="s">
        <v>1826</v>
      </c>
      <c r="D52" s="181">
        <v>4</v>
      </c>
      <c r="E52" s="31"/>
      <c r="F52" s="28">
        <f t="shared" si="1"/>
        <v>0</v>
      </c>
      <c r="G52" s="8"/>
    </row>
    <row r="53" spans="1:7" ht="18" x14ac:dyDescent="0.25">
      <c r="A53" s="29" t="s">
        <v>1831</v>
      </c>
      <c r="B53" s="17" t="s">
        <v>1832</v>
      </c>
      <c r="C53" s="15" t="s">
        <v>1800</v>
      </c>
      <c r="D53" s="181">
        <v>25</v>
      </c>
      <c r="E53" s="31"/>
      <c r="F53" s="28">
        <f>ROUND(D53*E53,2)</f>
        <v>0</v>
      </c>
      <c r="G53" s="8"/>
    </row>
    <row r="54" spans="1:7" ht="18" x14ac:dyDescent="0.25">
      <c r="A54" s="29" t="s">
        <v>1833</v>
      </c>
      <c r="B54" s="17" t="s">
        <v>1834</v>
      </c>
      <c r="C54" s="15" t="s">
        <v>1773</v>
      </c>
      <c r="D54" s="181">
        <v>500</v>
      </c>
      <c r="E54" s="31"/>
      <c r="F54" s="28">
        <f>ROUND(D54*E54,2)</f>
        <v>0</v>
      </c>
      <c r="G54" s="8"/>
    </row>
    <row r="55" spans="1:7" ht="18" x14ac:dyDescent="0.25">
      <c r="A55" s="29"/>
      <c r="B55" s="17"/>
      <c r="C55" s="23"/>
      <c r="D55" s="181"/>
      <c r="E55" s="25"/>
      <c r="F55" s="26"/>
      <c r="G55" s="8"/>
    </row>
    <row r="56" spans="1:7" ht="18" x14ac:dyDescent="0.25">
      <c r="A56" s="29"/>
      <c r="B56" s="30" t="s">
        <v>1835</v>
      </c>
      <c r="C56" s="23"/>
      <c r="D56" s="181"/>
      <c r="E56" s="25"/>
      <c r="F56" s="26"/>
      <c r="G56" s="8"/>
    </row>
    <row r="57" spans="1:7" ht="71.25" x14ac:dyDescent="0.25">
      <c r="A57" s="29" t="s">
        <v>1836</v>
      </c>
      <c r="B57" s="17" t="s">
        <v>1837</v>
      </c>
      <c r="C57" s="15" t="s">
        <v>1780</v>
      </c>
      <c r="D57" s="181">
        <v>50</v>
      </c>
      <c r="E57" s="31"/>
      <c r="F57" s="28">
        <f>ROUND(D57*E57,2)</f>
        <v>0</v>
      </c>
      <c r="G57" s="8"/>
    </row>
    <row r="58" spans="1:7" ht="28.5" x14ac:dyDescent="0.25">
      <c r="A58" s="29" t="s">
        <v>1838</v>
      </c>
      <c r="B58" s="17" t="s">
        <v>1839</v>
      </c>
      <c r="C58" s="15" t="s">
        <v>1780</v>
      </c>
      <c r="D58" s="181">
        <v>350</v>
      </c>
      <c r="E58" s="31"/>
      <c r="F58" s="28">
        <f>ROUND(D58*E58,2)</f>
        <v>0</v>
      </c>
      <c r="G58" s="8"/>
    </row>
    <row r="59" spans="1:7" ht="18" x14ac:dyDescent="0.25">
      <c r="A59" s="29" t="s">
        <v>1840</v>
      </c>
      <c r="B59" s="17" t="s">
        <v>1812</v>
      </c>
      <c r="C59" s="15" t="s">
        <v>1773</v>
      </c>
      <c r="D59" s="181">
        <v>3000</v>
      </c>
      <c r="E59" s="31"/>
      <c r="F59" s="28">
        <f>ROUND(D59*E59,2)</f>
        <v>0</v>
      </c>
      <c r="G59" s="8"/>
    </row>
    <row r="60" spans="1:7" ht="18" x14ac:dyDescent="0.25">
      <c r="A60" s="29" t="s">
        <v>1841</v>
      </c>
      <c r="B60" s="17" t="s">
        <v>1842</v>
      </c>
      <c r="C60" s="15"/>
      <c r="D60" s="181"/>
      <c r="E60" s="25"/>
      <c r="F60" s="26"/>
      <c r="G60" s="8"/>
    </row>
    <row r="61" spans="1:7" ht="18" x14ac:dyDescent="0.25">
      <c r="A61" s="29" t="s">
        <v>1761</v>
      </c>
      <c r="B61" s="17" t="s">
        <v>1825</v>
      </c>
      <c r="C61" s="15" t="s">
        <v>1826</v>
      </c>
      <c r="D61" s="181">
        <v>13</v>
      </c>
      <c r="E61" s="31"/>
      <c r="F61" s="28">
        <f>ROUND(D61*E61,2)</f>
        <v>0</v>
      </c>
      <c r="G61" s="8"/>
    </row>
    <row r="62" spans="1:7" ht="18" x14ac:dyDescent="0.25">
      <c r="A62" s="29" t="s">
        <v>1774</v>
      </c>
      <c r="B62" s="17" t="s">
        <v>1827</v>
      </c>
      <c r="C62" s="15" t="s">
        <v>1826</v>
      </c>
      <c r="D62" s="181">
        <v>7</v>
      </c>
      <c r="E62" s="31"/>
      <c r="F62" s="28">
        <f>ROUND(D62*E62,2)</f>
        <v>0</v>
      </c>
      <c r="G62" s="8"/>
    </row>
    <row r="63" spans="1:7" ht="18" x14ac:dyDescent="0.25">
      <c r="A63" s="29" t="s">
        <v>1843</v>
      </c>
      <c r="B63" s="17" t="s">
        <v>1844</v>
      </c>
      <c r="C63" s="15"/>
      <c r="D63" s="181"/>
      <c r="E63" s="25"/>
      <c r="F63" s="26"/>
      <c r="G63" s="8"/>
    </row>
    <row r="64" spans="1:7" ht="18" x14ac:dyDescent="0.25">
      <c r="A64" s="29" t="s">
        <v>1761</v>
      </c>
      <c r="B64" s="17" t="s">
        <v>1825</v>
      </c>
      <c r="C64" s="15" t="s">
        <v>1826</v>
      </c>
      <c r="D64" s="181">
        <v>10</v>
      </c>
      <c r="E64" s="31"/>
      <c r="F64" s="28">
        <f t="shared" ref="F64:F79" si="2">ROUND(D64*E64,2)</f>
        <v>0</v>
      </c>
      <c r="G64" s="8"/>
    </row>
    <row r="65" spans="1:7" ht="18" x14ac:dyDescent="0.25">
      <c r="A65" s="29" t="s">
        <v>1774</v>
      </c>
      <c r="B65" s="17" t="s">
        <v>1845</v>
      </c>
      <c r="C65" s="15" t="s">
        <v>1826</v>
      </c>
      <c r="D65" s="181">
        <v>2</v>
      </c>
      <c r="E65" s="31"/>
      <c r="F65" s="28">
        <f t="shared" si="2"/>
        <v>0</v>
      </c>
      <c r="G65" s="8"/>
    </row>
    <row r="66" spans="1:7" ht="18" x14ac:dyDescent="0.25">
      <c r="A66" s="29" t="s">
        <v>1846</v>
      </c>
      <c r="B66" s="17" t="s">
        <v>1847</v>
      </c>
      <c r="C66" s="15" t="s">
        <v>1756</v>
      </c>
      <c r="D66" s="181">
        <v>25</v>
      </c>
      <c r="E66" s="31"/>
      <c r="F66" s="28">
        <f t="shared" si="2"/>
        <v>0</v>
      </c>
      <c r="G66" s="8"/>
    </row>
    <row r="67" spans="1:7" ht="18" x14ac:dyDescent="0.25">
      <c r="A67" s="29" t="s">
        <v>1848</v>
      </c>
      <c r="B67" s="17" t="s">
        <v>1822</v>
      </c>
      <c r="C67" s="15" t="s">
        <v>1780</v>
      </c>
      <c r="D67" s="181">
        <v>100</v>
      </c>
      <c r="E67" s="31"/>
      <c r="F67" s="28">
        <f t="shared" si="2"/>
        <v>0</v>
      </c>
      <c r="G67" s="8"/>
    </row>
    <row r="68" spans="1:7" ht="28.5" x14ac:dyDescent="0.25">
      <c r="A68" s="29" t="s">
        <v>1849</v>
      </c>
      <c r="B68" s="17" t="s">
        <v>1850</v>
      </c>
      <c r="C68" s="15" t="s">
        <v>1780</v>
      </c>
      <c r="D68" s="181">
        <v>40</v>
      </c>
      <c r="E68" s="31"/>
      <c r="F68" s="28">
        <f t="shared" si="2"/>
        <v>0</v>
      </c>
      <c r="G68" s="8"/>
    </row>
    <row r="69" spans="1:7" ht="18" x14ac:dyDescent="0.25">
      <c r="A69" s="29" t="s">
        <v>1851</v>
      </c>
      <c r="B69" s="17" t="s">
        <v>1852</v>
      </c>
      <c r="C69" s="15" t="s">
        <v>1780</v>
      </c>
      <c r="D69" s="181">
        <v>10</v>
      </c>
      <c r="E69" s="31"/>
      <c r="F69" s="28">
        <f t="shared" si="2"/>
        <v>0</v>
      </c>
      <c r="G69" s="8"/>
    </row>
    <row r="70" spans="1:7" ht="28.5" x14ac:dyDescent="0.25">
      <c r="A70" s="29" t="s">
        <v>1853</v>
      </c>
      <c r="B70" s="17" t="s">
        <v>1854</v>
      </c>
      <c r="C70" s="15" t="s">
        <v>1780</v>
      </c>
      <c r="D70" s="181">
        <v>40</v>
      </c>
      <c r="E70" s="31"/>
      <c r="F70" s="28">
        <f t="shared" si="2"/>
        <v>0</v>
      </c>
      <c r="G70" s="8"/>
    </row>
    <row r="71" spans="1:7" ht="28.5" x14ac:dyDescent="0.25">
      <c r="A71" s="29" t="s">
        <v>1855</v>
      </c>
      <c r="B71" s="17" t="s">
        <v>1856</v>
      </c>
      <c r="C71" s="15" t="s">
        <v>1780</v>
      </c>
      <c r="D71" s="181">
        <v>200</v>
      </c>
      <c r="E71" s="31"/>
      <c r="F71" s="28">
        <f t="shared" si="2"/>
        <v>0</v>
      </c>
      <c r="G71" s="8"/>
    </row>
    <row r="72" spans="1:7" ht="28.5" x14ac:dyDescent="0.25">
      <c r="A72" s="29" t="s">
        <v>1857</v>
      </c>
      <c r="B72" s="17" t="s">
        <v>1858</v>
      </c>
      <c r="C72" s="15" t="s">
        <v>1800</v>
      </c>
      <c r="D72" s="181">
        <v>70</v>
      </c>
      <c r="E72" s="31"/>
      <c r="F72" s="28">
        <f t="shared" si="2"/>
        <v>0</v>
      </c>
      <c r="G72" s="8"/>
    </row>
    <row r="73" spans="1:7" ht="28.5" x14ac:dyDescent="0.25">
      <c r="A73" s="29" t="s">
        <v>1859</v>
      </c>
      <c r="B73" s="17" t="s">
        <v>1860</v>
      </c>
      <c r="C73" s="15" t="s">
        <v>1826</v>
      </c>
      <c r="D73" s="181">
        <v>1</v>
      </c>
      <c r="E73" s="31"/>
      <c r="F73" s="28">
        <f t="shared" si="2"/>
        <v>0</v>
      </c>
      <c r="G73" s="8"/>
    </row>
    <row r="74" spans="1:7" ht="18" x14ac:dyDescent="0.25">
      <c r="A74" s="29" t="s">
        <v>1861</v>
      </c>
      <c r="B74" s="17" t="s">
        <v>1804</v>
      </c>
      <c r="C74" s="15" t="s">
        <v>1780</v>
      </c>
      <c r="D74" s="181">
        <v>300</v>
      </c>
      <c r="E74" s="31"/>
      <c r="F74" s="28">
        <f t="shared" si="2"/>
        <v>0</v>
      </c>
      <c r="G74" s="8"/>
    </row>
    <row r="75" spans="1:7" ht="28.5" x14ac:dyDescent="0.25">
      <c r="A75" s="29" t="s">
        <v>1862</v>
      </c>
      <c r="B75" s="17" t="s">
        <v>1863</v>
      </c>
      <c r="C75" s="15" t="s">
        <v>1756</v>
      </c>
      <c r="D75" s="181">
        <v>20</v>
      </c>
      <c r="E75" s="31"/>
      <c r="F75" s="28">
        <f t="shared" si="2"/>
        <v>0</v>
      </c>
      <c r="G75" s="8"/>
    </row>
    <row r="76" spans="1:7" ht="18" x14ac:dyDescent="0.25">
      <c r="A76" s="29" t="s">
        <v>1864</v>
      </c>
      <c r="B76" s="17" t="s">
        <v>1808</v>
      </c>
      <c r="C76" s="15" t="s">
        <v>1780</v>
      </c>
      <c r="D76" s="181">
        <v>300</v>
      </c>
      <c r="E76" s="31"/>
      <c r="F76" s="28">
        <f t="shared" si="2"/>
        <v>0</v>
      </c>
      <c r="G76" s="8"/>
    </row>
    <row r="77" spans="1:7" ht="28.5" x14ac:dyDescent="0.25">
      <c r="A77" s="29" t="s">
        <v>1865</v>
      </c>
      <c r="B77" s="17" t="s">
        <v>1810</v>
      </c>
      <c r="C77" s="15" t="s">
        <v>1780</v>
      </c>
      <c r="D77" s="181">
        <v>300</v>
      </c>
      <c r="E77" s="31"/>
      <c r="F77" s="28">
        <f t="shared" si="2"/>
        <v>0</v>
      </c>
      <c r="G77" s="8"/>
    </row>
    <row r="78" spans="1:7" ht="18" x14ac:dyDescent="0.25">
      <c r="A78" s="29" t="s">
        <v>1866</v>
      </c>
      <c r="B78" s="17" t="s">
        <v>1812</v>
      </c>
      <c r="C78" s="15" t="s">
        <v>1773</v>
      </c>
      <c r="D78" s="181">
        <v>3000</v>
      </c>
      <c r="E78" s="31"/>
      <c r="F78" s="28">
        <f t="shared" si="2"/>
        <v>0</v>
      </c>
      <c r="G78" s="8"/>
    </row>
    <row r="79" spans="1:7" ht="28.5" x14ac:dyDescent="0.25">
      <c r="A79" s="29" t="s">
        <v>1867</v>
      </c>
      <c r="B79" s="17" t="s">
        <v>1868</v>
      </c>
      <c r="C79" s="15" t="s">
        <v>1773</v>
      </c>
      <c r="D79" s="181">
        <v>5000</v>
      </c>
      <c r="E79" s="31"/>
      <c r="F79" s="28">
        <f t="shared" si="2"/>
        <v>0</v>
      </c>
      <c r="G79" s="8"/>
    </row>
    <row r="80" spans="1:7" ht="18" x14ac:dyDescent="0.25">
      <c r="A80" s="29" t="s">
        <v>1869</v>
      </c>
      <c r="B80" s="17" t="s">
        <v>1870</v>
      </c>
      <c r="C80" s="15"/>
      <c r="D80" s="181"/>
      <c r="E80" s="25"/>
      <c r="F80" s="26"/>
      <c r="G80" s="8"/>
    </row>
    <row r="81" spans="1:7" ht="18" x14ac:dyDescent="0.25">
      <c r="A81" s="29" t="s">
        <v>1761</v>
      </c>
      <c r="B81" s="17" t="s">
        <v>1871</v>
      </c>
      <c r="C81" s="15" t="s">
        <v>1826</v>
      </c>
      <c r="D81" s="181">
        <v>10</v>
      </c>
      <c r="E81" s="31"/>
      <c r="F81" s="28">
        <f t="shared" ref="F81:F90" si="3">ROUND(D81*E81,2)</f>
        <v>0</v>
      </c>
      <c r="G81" s="8"/>
    </row>
    <row r="82" spans="1:7" ht="18" x14ac:dyDescent="0.25">
      <c r="A82" s="29" t="s">
        <v>1774</v>
      </c>
      <c r="B82" s="17" t="s">
        <v>1872</v>
      </c>
      <c r="C82" s="15" t="s">
        <v>1826</v>
      </c>
      <c r="D82" s="181">
        <v>10</v>
      </c>
      <c r="E82" s="31"/>
      <c r="F82" s="28">
        <f t="shared" si="3"/>
        <v>0</v>
      </c>
      <c r="G82" s="8"/>
    </row>
    <row r="83" spans="1:7" ht="28.5" x14ac:dyDescent="0.25">
      <c r="A83" s="29" t="s">
        <v>1873</v>
      </c>
      <c r="B83" s="17" t="s">
        <v>1874</v>
      </c>
      <c r="C83" s="15" t="s">
        <v>1826</v>
      </c>
      <c r="D83" s="181">
        <v>10</v>
      </c>
      <c r="E83" s="31"/>
      <c r="F83" s="28">
        <f t="shared" si="3"/>
        <v>0</v>
      </c>
      <c r="G83" s="8"/>
    </row>
    <row r="84" spans="1:7" ht="18" x14ac:dyDescent="0.25">
      <c r="A84" s="29" t="s">
        <v>1875</v>
      </c>
      <c r="B84" s="17" t="s">
        <v>1876</v>
      </c>
      <c r="C84" s="15" t="s">
        <v>1826</v>
      </c>
      <c r="D84" s="181">
        <v>1</v>
      </c>
      <c r="E84" s="31"/>
      <c r="F84" s="28">
        <f t="shared" si="3"/>
        <v>0</v>
      </c>
      <c r="G84" s="8"/>
    </row>
    <row r="85" spans="1:7" ht="28.5" x14ac:dyDescent="0.25">
      <c r="A85" s="29" t="s">
        <v>1877</v>
      </c>
      <c r="B85" s="17" t="s">
        <v>1878</v>
      </c>
      <c r="C85" s="15" t="s">
        <v>1756</v>
      </c>
      <c r="D85" s="181">
        <v>7</v>
      </c>
      <c r="E85" s="31"/>
      <c r="F85" s="28">
        <f t="shared" si="3"/>
        <v>0</v>
      </c>
      <c r="G85" s="8"/>
    </row>
    <row r="86" spans="1:7" ht="28.5" x14ac:dyDescent="0.25">
      <c r="A86" s="29" t="s">
        <v>1879</v>
      </c>
      <c r="B86" s="17" t="s">
        <v>1880</v>
      </c>
      <c r="C86" s="15" t="s">
        <v>1826</v>
      </c>
      <c r="D86" s="181">
        <v>20</v>
      </c>
      <c r="E86" s="31"/>
      <c r="F86" s="28">
        <f t="shared" si="3"/>
        <v>0</v>
      </c>
      <c r="G86" s="8"/>
    </row>
    <row r="87" spans="1:7" ht="28.5" x14ac:dyDescent="0.25">
      <c r="A87" s="29" t="s">
        <v>1881</v>
      </c>
      <c r="B87" s="17" t="s">
        <v>1882</v>
      </c>
      <c r="C87" s="15" t="s">
        <v>1773</v>
      </c>
      <c r="D87" s="181">
        <v>200</v>
      </c>
      <c r="E87" s="31"/>
      <c r="F87" s="28">
        <f t="shared" si="3"/>
        <v>0</v>
      </c>
      <c r="G87" s="8"/>
    </row>
    <row r="88" spans="1:7" ht="18" x14ac:dyDescent="0.25">
      <c r="A88" s="29" t="s">
        <v>1883</v>
      </c>
      <c r="B88" s="17" t="s">
        <v>1832</v>
      </c>
      <c r="C88" s="15" t="s">
        <v>1800</v>
      </c>
      <c r="D88" s="181">
        <v>20</v>
      </c>
      <c r="E88" s="31"/>
      <c r="F88" s="28">
        <f t="shared" si="3"/>
        <v>0</v>
      </c>
      <c r="G88" s="8"/>
    </row>
    <row r="89" spans="1:7" ht="18" x14ac:dyDescent="0.25">
      <c r="A89" s="29" t="s">
        <v>1884</v>
      </c>
      <c r="B89" s="17" t="s">
        <v>1834</v>
      </c>
      <c r="C89" s="15" t="s">
        <v>1773</v>
      </c>
      <c r="D89" s="181">
        <v>500</v>
      </c>
      <c r="E89" s="31"/>
      <c r="F89" s="28">
        <f t="shared" si="3"/>
        <v>0</v>
      </c>
      <c r="G89" s="8"/>
    </row>
    <row r="90" spans="1:7" ht="43.5" thickBot="1" x14ac:dyDescent="0.3">
      <c r="A90" s="29" t="s">
        <v>1885</v>
      </c>
      <c r="B90" s="17" t="s">
        <v>1886</v>
      </c>
      <c r="C90" s="15" t="s">
        <v>1780</v>
      </c>
      <c r="D90" s="181">
        <v>20</v>
      </c>
      <c r="E90" s="31"/>
      <c r="F90" s="28">
        <f t="shared" si="3"/>
        <v>0</v>
      </c>
      <c r="G90" s="8"/>
    </row>
    <row r="91" spans="1:7" ht="48.75" customHeight="1" thickBot="1" x14ac:dyDescent="0.3">
      <c r="A91" s="29"/>
      <c r="B91" s="180"/>
      <c r="C91" s="336" t="s">
        <v>1887</v>
      </c>
      <c r="D91" s="337"/>
      <c r="E91" s="338"/>
      <c r="F91" s="18">
        <f>SUM(F31:F90)</f>
        <v>0</v>
      </c>
      <c r="G91" s="8"/>
    </row>
    <row r="92" spans="1:7" ht="18" x14ac:dyDescent="0.25">
      <c r="A92" s="27" t="s">
        <v>1888</v>
      </c>
      <c r="B92" s="30" t="s">
        <v>1889</v>
      </c>
      <c r="C92" s="15"/>
      <c r="D92" s="16"/>
      <c r="E92" s="25"/>
      <c r="F92" s="26"/>
      <c r="G92" s="8"/>
    </row>
    <row r="93" spans="1:7" ht="42.75" x14ac:dyDescent="0.25">
      <c r="A93" s="29" t="s">
        <v>1890</v>
      </c>
      <c r="B93" s="17" t="s">
        <v>1891</v>
      </c>
      <c r="C93" s="15" t="s">
        <v>1756</v>
      </c>
      <c r="D93" s="16">
        <v>150</v>
      </c>
      <c r="E93" s="31"/>
      <c r="F93" s="28">
        <f t="shared" ref="F93:F98" si="4">ROUND(D93*E93,2)</f>
        <v>0</v>
      </c>
      <c r="G93" s="8"/>
    </row>
    <row r="94" spans="1:7" ht="28.5" x14ac:dyDescent="0.25">
      <c r="A94" s="29" t="s">
        <v>1892</v>
      </c>
      <c r="B94" s="17" t="s">
        <v>1893</v>
      </c>
      <c r="C94" s="15" t="s">
        <v>1756</v>
      </c>
      <c r="D94" s="16">
        <v>25</v>
      </c>
      <c r="E94" s="31"/>
      <c r="F94" s="28">
        <f t="shared" si="4"/>
        <v>0</v>
      </c>
      <c r="G94" s="8"/>
    </row>
    <row r="95" spans="1:7" ht="18" x14ac:dyDescent="0.25">
      <c r="A95" s="29" t="s">
        <v>1894</v>
      </c>
      <c r="B95" s="17" t="s">
        <v>1895</v>
      </c>
      <c r="C95" s="15" t="s">
        <v>1896</v>
      </c>
      <c r="D95" s="16">
        <v>200</v>
      </c>
      <c r="E95" s="31"/>
      <c r="F95" s="28">
        <f t="shared" si="4"/>
        <v>0</v>
      </c>
      <c r="G95" s="8"/>
    </row>
    <row r="96" spans="1:7" ht="28.5" x14ac:dyDescent="0.25">
      <c r="A96" s="29" t="s">
        <v>1897</v>
      </c>
      <c r="B96" s="17" t="s">
        <v>1898</v>
      </c>
      <c r="C96" s="15" t="s">
        <v>1896</v>
      </c>
      <c r="D96" s="16">
        <f>D95</f>
        <v>200</v>
      </c>
      <c r="E96" s="31"/>
      <c r="F96" s="28">
        <f t="shared" si="4"/>
        <v>0</v>
      </c>
      <c r="G96" s="8"/>
    </row>
    <row r="97" spans="1:7" ht="42.75" x14ac:dyDescent="0.25">
      <c r="A97" s="29" t="s">
        <v>1899</v>
      </c>
      <c r="B97" s="17" t="s">
        <v>1900</v>
      </c>
      <c r="C97" s="15" t="s">
        <v>1826</v>
      </c>
      <c r="D97" s="16">
        <v>1</v>
      </c>
      <c r="E97" s="31"/>
      <c r="F97" s="28">
        <f t="shared" si="4"/>
        <v>0</v>
      </c>
      <c r="G97" s="8"/>
    </row>
    <row r="98" spans="1:7" ht="43.5" thickBot="1" x14ac:dyDescent="0.3">
      <c r="A98" s="29" t="s">
        <v>1901</v>
      </c>
      <c r="B98" s="17" t="s">
        <v>1902</v>
      </c>
      <c r="C98" s="15" t="s">
        <v>1826</v>
      </c>
      <c r="D98" s="16">
        <v>1</v>
      </c>
      <c r="E98" s="31"/>
      <c r="F98" s="28">
        <f t="shared" si="4"/>
        <v>0</v>
      </c>
      <c r="G98" s="8"/>
    </row>
    <row r="99" spans="1:7" ht="18.75" customHeight="1" thickBot="1" x14ac:dyDescent="0.3">
      <c r="A99" s="29"/>
      <c r="B99" s="180"/>
      <c r="C99" s="333" t="s">
        <v>1903</v>
      </c>
      <c r="D99" s="334"/>
      <c r="E99" s="335"/>
      <c r="F99" s="18">
        <f>SUM(F93:F98)</f>
        <v>0</v>
      </c>
      <c r="G99" s="8"/>
    </row>
    <row r="100" spans="1:7" ht="18" x14ac:dyDescent="0.25">
      <c r="A100" s="27" t="s">
        <v>1904</v>
      </c>
      <c r="B100" s="30" t="s">
        <v>1905</v>
      </c>
      <c r="C100" s="15"/>
      <c r="D100" s="16"/>
      <c r="E100" s="25"/>
      <c r="F100" s="26"/>
      <c r="G100" s="8"/>
    </row>
    <row r="101" spans="1:7" ht="28.5" x14ac:dyDescent="0.25">
      <c r="A101" s="29" t="s">
        <v>1906</v>
      </c>
      <c r="B101" s="17" t="s">
        <v>1907</v>
      </c>
      <c r="C101" s="15" t="s">
        <v>1756</v>
      </c>
      <c r="D101" s="16">
        <v>500</v>
      </c>
      <c r="E101" s="31"/>
      <c r="F101" s="28">
        <f t="shared" ref="F101:F119" si="5">ROUND(D101*E101,2)</f>
        <v>0</v>
      </c>
      <c r="G101" s="8"/>
    </row>
    <row r="102" spans="1:7" ht="28.5" x14ac:dyDescent="0.25">
      <c r="A102" s="29" t="s">
        <v>1908</v>
      </c>
      <c r="B102" s="17" t="s">
        <v>1909</v>
      </c>
      <c r="C102" s="15" t="s">
        <v>1896</v>
      </c>
      <c r="D102" s="16">
        <v>50</v>
      </c>
      <c r="E102" s="31"/>
      <c r="F102" s="28">
        <f t="shared" si="5"/>
        <v>0</v>
      </c>
      <c r="G102" s="8"/>
    </row>
    <row r="103" spans="1:7" ht="28.5" x14ac:dyDescent="0.25">
      <c r="A103" s="29" t="s">
        <v>1910</v>
      </c>
      <c r="B103" s="17" t="s">
        <v>1911</v>
      </c>
      <c r="C103" s="15" t="s">
        <v>1780</v>
      </c>
      <c r="D103" s="16">
        <v>1000</v>
      </c>
      <c r="E103" s="31"/>
      <c r="F103" s="28">
        <f t="shared" si="5"/>
        <v>0</v>
      </c>
      <c r="G103" s="8"/>
    </row>
    <row r="104" spans="1:7" ht="18" x14ac:dyDescent="0.25">
      <c r="A104" s="29" t="s">
        <v>1912</v>
      </c>
      <c r="B104" s="17" t="s">
        <v>1913</v>
      </c>
      <c r="C104" s="15" t="s">
        <v>1896</v>
      </c>
      <c r="D104" s="16">
        <v>200</v>
      </c>
      <c r="E104" s="31"/>
      <c r="F104" s="28">
        <f t="shared" si="5"/>
        <v>0</v>
      </c>
      <c r="G104" s="8"/>
    </row>
    <row r="105" spans="1:7" ht="28.5" x14ac:dyDescent="0.25">
      <c r="A105" s="29" t="s">
        <v>1914</v>
      </c>
      <c r="B105" s="17" t="s">
        <v>1915</v>
      </c>
      <c r="C105" s="15" t="s">
        <v>1826</v>
      </c>
      <c r="D105" s="16">
        <v>5</v>
      </c>
      <c r="E105" s="31"/>
      <c r="F105" s="28">
        <f t="shared" si="5"/>
        <v>0</v>
      </c>
      <c r="G105" s="8"/>
    </row>
    <row r="106" spans="1:7" ht="28.5" x14ac:dyDescent="0.25">
      <c r="A106" s="29" t="s">
        <v>1916</v>
      </c>
      <c r="B106" s="17" t="s">
        <v>1917</v>
      </c>
      <c r="C106" s="15" t="s">
        <v>1896</v>
      </c>
      <c r="D106" s="16">
        <v>700</v>
      </c>
      <c r="E106" s="31"/>
      <c r="F106" s="28">
        <f t="shared" si="5"/>
        <v>0</v>
      </c>
      <c r="G106" s="8"/>
    </row>
    <row r="107" spans="1:7" ht="18" x14ac:dyDescent="0.25">
      <c r="A107" s="29" t="s">
        <v>1918</v>
      </c>
      <c r="B107" s="17" t="s">
        <v>1919</v>
      </c>
      <c r="C107" s="15" t="s">
        <v>1756</v>
      </c>
      <c r="D107" s="16">
        <v>50</v>
      </c>
      <c r="E107" s="31"/>
      <c r="F107" s="28">
        <f t="shared" si="5"/>
        <v>0</v>
      </c>
      <c r="G107" s="8"/>
    </row>
    <row r="108" spans="1:7" ht="28.5" x14ac:dyDescent="0.25">
      <c r="A108" s="29" t="s">
        <v>1920</v>
      </c>
      <c r="B108" s="17" t="s">
        <v>1921</v>
      </c>
      <c r="C108" s="15" t="s">
        <v>1826</v>
      </c>
      <c r="D108" s="16">
        <v>1</v>
      </c>
      <c r="E108" s="31"/>
      <c r="F108" s="28">
        <f t="shared" si="5"/>
        <v>0</v>
      </c>
      <c r="G108" s="8"/>
    </row>
    <row r="109" spans="1:7" ht="28.5" x14ac:dyDescent="0.25">
      <c r="A109" s="29" t="s">
        <v>1922</v>
      </c>
      <c r="B109" s="17" t="s">
        <v>1923</v>
      </c>
      <c r="C109" s="15" t="s">
        <v>1756</v>
      </c>
      <c r="D109" s="16">
        <v>10</v>
      </c>
      <c r="E109" s="31"/>
      <c r="F109" s="28">
        <f t="shared" si="5"/>
        <v>0</v>
      </c>
      <c r="G109" s="8"/>
    </row>
    <row r="110" spans="1:7" ht="28.5" x14ac:dyDescent="0.25">
      <c r="A110" s="29" t="s">
        <v>1924</v>
      </c>
      <c r="B110" s="17" t="s">
        <v>1925</v>
      </c>
      <c r="C110" s="15" t="s">
        <v>1756</v>
      </c>
      <c r="D110" s="16">
        <v>30</v>
      </c>
      <c r="E110" s="31"/>
      <c r="F110" s="28">
        <f t="shared" si="5"/>
        <v>0</v>
      </c>
      <c r="G110" s="8"/>
    </row>
    <row r="111" spans="1:7" ht="28.5" x14ac:dyDescent="0.25">
      <c r="A111" s="29" t="s">
        <v>1926</v>
      </c>
      <c r="B111" s="17" t="s">
        <v>1927</v>
      </c>
      <c r="C111" s="15" t="s">
        <v>1756</v>
      </c>
      <c r="D111" s="16">
        <v>25</v>
      </c>
      <c r="E111" s="31"/>
      <c r="F111" s="28">
        <f t="shared" si="5"/>
        <v>0</v>
      </c>
      <c r="G111" s="8"/>
    </row>
    <row r="112" spans="1:7" ht="28.5" x14ac:dyDescent="0.25">
      <c r="A112" s="29" t="s">
        <v>1928</v>
      </c>
      <c r="B112" s="17" t="s">
        <v>1929</v>
      </c>
      <c r="C112" s="15" t="s">
        <v>1756</v>
      </c>
      <c r="D112" s="16">
        <v>40</v>
      </c>
      <c r="E112" s="31"/>
      <c r="F112" s="28">
        <f t="shared" si="5"/>
        <v>0</v>
      </c>
      <c r="G112" s="8"/>
    </row>
    <row r="113" spans="1:7" ht="18" x14ac:dyDescent="0.25">
      <c r="A113" s="29" t="s">
        <v>1930</v>
      </c>
      <c r="B113" s="17" t="s">
        <v>1931</v>
      </c>
      <c r="C113" s="15" t="s">
        <v>1756</v>
      </c>
      <c r="D113" s="16">
        <v>12</v>
      </c>
      <c r="E113" s="31"/>
      <c r="F113" s="28">
        <f t="shared" si="5"/>
        <v>0</v>
      </c>
      <c r="G113" s="8"/>
    </row>
    <row r="114" spans="1:7" ht="28.5" x14ac:dyDescent="0.25">
      <c r="A114" s="29" t="s">
        <v>1932</v>
      </c>
      <c r="B114" s="17" t="s">
        <v>1933</v>
      </c>
      <c r="C114" s="15" t="s">
        <v>1756</v>
      </c>
      <c r="D114" s="16">
        <v>20</v>
      </c>
      <c r="E114" s="31"/>
      <c r="F114" s="28">
        <f t="shared" si="5"/>
        <v>0</v>
      </c>
      <c r="G114" s="8"/>
    </row>
    <row r="115" spans="1:7" ht="28.5" x14ac:dyDescent="0.25">
      <c r="A115" s="29" t="s">
        <v>1934</v>
      </c>
      <c r="B115" s="17" t="s">
        <v>1935</v>
      </c>
      <c r="C115" s="15" t="s">
        <v>1800</v>
      </c>
      <c r="D115" s="16">
        <v>80</v>
      </c>
      <c r="E115" s="31"/>
      <c r="F115" s="28">
        <f>ROUND(D115*E115,2)</f>
        <v>0</v>
      </c>
      <c r="G115" s="8"/>
    </row>
    <row r="116" spans="1:7" ht="18" x14ac:dyDescent="0.25">
      <c r="A116" s="29" t="s">
        <v>1936</v>
      </c>
      <c r="B116" s="17" t="s">
        <v>1937</v>
      </c>
      <c r="C116" s="15"/>
      <c r="D116" s="16"/>
      <c r="E116" s="25"/>
      <c r="F116" s="26"/>
      <c r="G116" s="8"/>
    </row>
    <row r="117" spans="1:7" ht="18" x14ac:dyDescent="0.25">
      <c r="A117" s="29" t="s">
        <v>1761</v>
      </c>
      <c r="B117" s="17" t="s">
        <v>1938</v>
      </c>
      <c r="C117" s="15" t="s">
        <v>1765</v>
      </c>
      <c r="D117" s="16">
        <v>20</v>
      </c>
      <c r="E117" s="31"/>
      <c r="F117" s="28">
        <f t="shared" si="5"/>
        <v>0</v>
      </c>
      <c r="G117" s="8"/>
    </row>
    <row r="118" spans="1:7" ht="18" x14ac:dyDescent="0.25">
      <c r="A118" s="29" t="s">
        <v>1774</v>
      </c>
      <c r="B118" s="17" t="s">
        <v>1939</v>
      </c>
      <c r="C118" s="15" t="s">
        <v>1765</v>
      </c>
      <c r="D118" s="16">
        <v>20</v>
      </c>
      <c r="E118" s="31"/>
      <c r="F118" s="28">
        <f t="shared" si="5"/>
        <v>0</v>
      </c>
      <c r="G118" s="8"/>
    </row>
    <row r="119" spans="1:7" ht="18" x14ac:dyDescent="0.25">
      <c r="A119" s="29" t="s">
        <v>1873</v>
      </c>
      <c r="B119" s="17" t="s">
        <v>1940</v>
      </c>
      <c r="C119" s="15" t="s">
        <v>1765</v>
      </c>
      <c r="D119" s="16">
        <v>20</v>
      </c>
      <c r="E119" s="31"/>
      <c r="F119" s="28">
        <f t="shared" si="5"/>
        <v>0</v>
      </c>
      <c r="G119" s="8"/>
    </row>
    <row r="120" spans="1:7" ht="28.5" x14ac:dyDescent="0.25">
      <c r="A120" s="29" t="s">
        <v>1941</v>
      </c>
      <c r="B120" s="17" t="s">
        <v>1942</v>
      </c>
      <c r="C120" s="15" t="s">
        <v>1826</v>
      </c>
      <c r="D120" s="16">
        <v>5</v>
      </c>
      <c r="E120" s="31"/>
      <c r="F120" s="28">
        <f>ROUND(D120*E120,2)</f>
        <v>0</v>
      </c>
      <c r="G120" s="8"/>
    </row>
    <row r="121" spans="1:7" ht="29.25" thickBot="1" x14ac:dyDescent="0.3">
      <c r="A121" s="29" t="s">
        <v>1943</v>
      </c>
      <c r="B121" s="17" t="s">
        <v>1944</v>
      </c>
      <c r="C121" s="15" t="s">
        <v>1756</v>
      </c>
      <c r="D121" s="16">
        <v>50</v>
      </c>
      <c r="E121" s="31"/>
      <c r="F121" s="28">
        <f>ROUND(D121*E121,2)</f>
        <v>0</v>
      </c>
      <c r="G121" s="8"/>
    </row>
    <row r="122" spans="1:7" ht="18.75" customHeight="1" thickBot="1" x14ac:dyDescent="0.3">
      <c r="A122" s="29"/>
      <c r="B122" s="17"/>
      <c r="C122" s="333" t="s">
        <v>1945</v>
      </c>
      <c r="D122" s="334"/>
      <c r="E122" s="335"/>
      <c r="F122" s="18">
        <f>SUM(F101:F121)</f>
        <v>0</v>
      </c>
      <c r="G122" s="8"/>
    </row>
    <row r="123" spans="1:7" ht="18.75" customHeight="1" thickBot="1" x14ac:dyDescent="0.3">
      <c r="A123" s="27"/>
      <c r="B123" s="30"/>
      <c r="C123" s="23"/>
      <c r="D123" s="24"/>
      <c r="E123" s="25"/>
      <c r="F123" s="26"/>
      <c r="G123" s="8"/>
    </row>
    <row r="124" spans="1:7" ht="18.75" customHeight="1" thickBot="1" x14ac:dyDescent="0.3">
      <c r="A124" s="264"/>
      <c r="B124" s="265"/>
      <c r="C124" s="333" t="s">
        <v>1946</v>
      </c>
      <c r="D124" s="334"/>
      <c r="E124" s="335"/>
      <c r="F124" s="18">
        <f>F26+F16+F91+F99+F122</f>
        <v>0</v>
      </c>
      <c r="G124" s="8"/>
    </row>
    <row r="125" spans="1:7" ht="18" x14ac:dyDescent="0.25">
      <c r="A125" s="182"/>
      <c r="B125" s="183"/>
      <c r="C125" s="184"/>
      <c r="D125" s="185"/>
      <c r="E125" s="186"/>
      <c r="F125" s="187"/>
      <c r="G125" s="8"/>
    </row>
    <row r="126" spans="1:7" ht="18" x14ac:dyDescent="0.25">
      <c r="A126" s="182"/>
      <c r="B126" s="183"/>
      <c r="C126" s="184"/>
      <c r="D126" s="185"/>
      <c r="E126" s="186"/>
      <c r="F126" s="187"/>
      <c r="G126" s="8"/>
    </row>
    <row r="127" spans="1:7" ht="18" x14ac:dyDescent="0.25">
      <c r="A127" s="182"/>
      <c r="B127" s="183"/>
      <c r="C127" s="184"/>
      <c r="D127" s="185"/>
      <c r="E127" s="186"/>
      <c r="F127" s="187"/>
      <c r="G127" s="8"/>
    </row>
    <row r="128" spans="1:7" ht="18" x14ac:dyDescent="0.25">
      <c r="A128" s="182"/>
      <c r="B128" s="183"/>
      <c r="C128" s="184"/>
      <c r="D128" s="185"/>
      <c r="E128" s="186"/>
      <c r="F128" s="187"/>
      <c r="G128" s="8"/>
    </row>
    <row r="129" spans="1:7" ht="18" x14ac:dyDescent="0.25">
      <c r="A129" s="182"/>
      <c r="B129" s="183"/>
      <c r="C129" s="184"/>
      <c r="D129" s="185"/>
      <c r="E129" s="186"/>
      <c r="F129" s="187"/>
      <c r="G129" s="8"/>
    </row>
    <row r="130" spans="1:7" ht="18" x14ac:dyDescent="0.25">
      <c r="A130" s="182"/>
      <c r="B130" s="183"/>
      <c r="C130" s="184"/>
      <c r="D130" s="185"/>
      <c r="E130" s="186"/>
      <c r="F130" s="187"/>
      <c r="G130" s="8"/>
    </row>
    <row r="131" spans="1:7" ht="18" x14ac:dyDescent="0.25">
      <c r="A131" s="182"/>
      <c r="B131" s="183"/>
      <c r="C131" s="184"/>
      <c r="D131" s="185"/>
      <c r="E131" s="186"/>
      <c r="F131" s="187"/>
      <c r="G131" s="8"/>
    </row>
    <row r="132" spans="1:7" ht="18.75" customHeight="1" x14ac:dyDescent="0.25">
      <c r="A132" s="332"/>
      <c r="B132" s="332"/>
      <c r="C132" s="332"/>
      <c r="D132" s="332"/>
      <c r="E132" s="332"/>
      <c r="F132" s="9"/>
      <c r="G132" s="8"/>
    </row>
    <row r="133" spans="1:7" ht="18.75" customHeight="1" x14ac:dyDescent="0.25">
      <c r="A133" s="11"/>
      <c r="B133" s="276"/>
      <c r="C133" s="12"/>
      <c r="D133" s="13"/>
      <c r="E133" s="14"/>
      <c r="F133" s="9"/>
      <c r="G133" s="8"/>
    </row>
    <row r="134" spans="1:7" ht="18.75" customHeight="1" x14ac:dyDescent="0.25">
      <c r="A134" s="11"/>
      <c r="B134" s="276"/>
      <c r="C134" s="12"/>
      <c r="D134" s="13"/>
      <c r="E134" s="14"/>
      <c r="F134" s="9"/>
      <c r="G134" s="8"/>
    </row>
    <row r="135" spans="1:7" ht="18.75" customHeight="1" x14ac:dyDescent="0.25">
      <c r="A135" s="332"/>
      <c r="B135" s="332"/>
      <c r="C135" s="332"/>
      <c r="D135" s="332"/>
      <c r="E135" s="332"/>
      <c r="F135" s="9"/>
      <c r="G135" s="8"/>
    </row>
    <row r="136" spans="1:7" ht="18" x14ac:dyDescent="0.25">
      <c r="A136" s="183"/>
      <c r="B136" s="188"/>
      <c r="C136" s="189"/>
      <c r="D136" s="185"/>
      <c r="E136" s="186"/>
      <c r="F136" s="187"/>
      <c r="G136" s="8"/>
    </row>
    <row r="137" spans="1:7" x14ac:dyDescent="0.2">
      <c r="A137" s="331"/>
      <c r="B137" s="331"/>
      <c r="C137" s="331"/>
      <c r="D137" s="331"/>
      <c r="E137" s="331"/>
      <c r="F137" s="331"/>
    </row>
    <row r="138" spans="1:7" ht="18" x14ac:dyDescent="0.25">
      <c r="A138" s="330"/>
      <c r="B138" s="330"/>
      <c r="C138" s="330"/>
      <c r="D138" s="330"/>
      <c r="E138" s="330"/>
      <c r="F138" s="9"/>
    </row>
    <row r="139" spans="1:7" x14ac:dyDescent="0.2">
      <c r="A139" s="275"/>
      <c r="B139" s="78"/>
      <c r="C139" s="189"/>
      <c r="D139" s="185"/>
      <c r="E139" s="186"/>
      <c r="F139" s="187"/>
    </row>
    <row r="140" spans="1:7" x14ac:dyDescent="0.2">
      <c r="A140" s="275"/>
      <c r="B140" s="78"/>
      <c r="C140" s="189"/>
      <c r="D140" s="185"/>
      <c r="E140" s="186"/>
      <c r="F140" s="187"/>
    </row>
    <row r="141" spans="1:7" x14ac:dyDescent="0.2">
      <c r="A141" s="275"/>
      <c r="B141" s="78"/>
      <c r="C141" s="189"/>
      <c r="D141" s="185"/>
      <c r="E141" s="186"/>
      <c r="F141" s="187"/>
    </row>
    <row r="142" spans="1:7" x14ac:dyDescent="0.2">
      <c r="A142" s="275"/>
      <c r="B142" s="78"/>
      <c r="C142" s="189"/>
      <c r="D142" s="185"/>
      <c r="E142" s="186"/>
      <c r="F142" s="187"/>
    </row>
    <row r="143" spans="1:7" x14ac:dyDescent="0.2">
      <c r="A143" s="275"/>
      <c r="B143" s="78"/>
      <c r="C143" s="189"/>
      <c r="D143" s="185"/>
      <c r="E143" s="186"/>
      <c r="F143" s="187"/>
    </row>
    <row r="144" spans="1:7" x14ac:dyDescent="0.2">
      <c r="A144" s="275"/>
      <c r="B144" s="78"/>
      <c r="C144" s="189"/>
      <c r="D144" s="185"/>
      <c r="E144" s="186"/>
      <c r="F144" s="187"/>
    </row>
    <row r="145" spans="1:6" x14ac:dyDescent="0.2">
      <c r="A145" s="275"/>
      <c r="B145" s="78"/>
      <c r="C145" s="189"/>
      <c r="D145" s="185"/>
      <c r="E145" s="186"/>
      <c r="F145" s="187"/>
    </row>
    <row r="146" spans="1:6" x14ac:dyDescent="0.2">
      <c r="A146" s="275"/>
      <c r="B146" s="78"/>
      <c r="C146" s="189"/>
      <c r="D146" s="185"/>
      <c r="E146" s="186"/>
      <c r="F146" s="187"/>
    </row>
    <row r="147" spans="1:6" x14ac:dyDescent="0.2">
      <c r="A147" s="275"/>
      <c r="B147" s="78"/>
      <c r="C147" s="189"/>
      <c r="D147" s="185"/>
      <c r="E147" s="186"/>
      <c r="F147" s="187"/>
    </row>
    <row r="148" spans="1:6" x14ac:dyDescent="0.2">
      <c r="A148" s="275"/>
      <c r="B148" s="78"/>
      <c r="C148" s="189"/>
      <c r="D148" s="185"/>
      <c r="E148" s="186"/>
      <c r="F148" s="187"/>
    </row>
    <row r="149" spans="1:6" x14ac:dyDescent="0.2">
      <c r="A149" s="275"/>
      <c r="B149" s="78"/>
      <c r="C149" s="189"/>
      <c r="D149" s="185"/>
      <c r="E149" s="186"/>
      <c r="F149" s="187"/>
    </row>
    <row r="150" spans="1:6" x14ac:dyDescent="0.2">
      <c r="A150" s="275"/>
      <c r="B150" s="78"/>
      <c r="C150" s="189"/>
      <c r="D150" s="185"/>
      <c r="E150" s="186"/>
      <c r="F150" s="187"/>
    </row>
    <row r="151" spans="1:6" x14ac:dyDescent="0.2">
      <c r="A151" s="275"/>
      <c r="B151" s="78"/>
      <c r="C151" s="189"/>
      <c r="D151" s="185"/>
      <c r="E151" s="186"/>
      <c r="F151" s="187"/>
    </row>
    <row r="152" spans="1:6" x14ac:dyDescent="0.2">
      <c r="A152" s="275"/>
      <c r="B152" s="78"/>
      <c r="C152" s="189"/>
      <c r="D152" s="185"/>
      <c r="E152" s="186"/>
      <c r="F152" s="187"/>
    </row>
    <row r="153" spans="1:6" x14ac:dyDescent="0.2">
      <c r="A153" s="275"/>
      <c r="B153" s="78"/>
      <c r="C153" s="189"/>
      <c r="D153" s="185"/>
      <c r="E153" s="186"/>
      <c r="F153" s="187"/>
    </row>
    <row r="154" spans="1:6" x14ac:dyDescent="0.2">
      <c r="A154" s="275"/>
      <c r="B154" s="78"/>
      <c r="C154" s="189"/>
      <c r="D154" s="185"/>
      <c r="E154" s="186"/>
      <c r="F154" s="187"/>
    </row>
    <row r="155" spans="1:6" x14ac:dyDescent="0.2">
      <c r="A155" s="275"/>
      <c r="B155" s="78"/>
      <c r="C155" s="189"/>
      <c r="D155" s="185"/>
      <c r="E155" s="186"/>
      <c r="F155" s="187"/>
    </row>
    <row r="156" spans="1:6" x14ac:dyDescent="0.2">
      <c r="A156" s="275"/>
      <c r="B156" s="78"/>
      <c r="C156" s="189"/>
      <c r="D156" s="185"/>
      <c r="E156" s="186"/>
      <c r="F156" s="187"/>
    </row>
    <row r="157" spans="1:6" x14ac:dyDescent="0.2">
      <c r="A157" s="275"/>
      <c r="B157" s="78"/>
      <c r="C157" s="189"/>
      <c r="D157" s="185"/>
      <c r="E157" s="186"/>
      <c r="F157" s="187"/>
    </row>
    <row r="158" spans="1:6" x14ac:dyDescent="0.2">
      <c r="A158" s="275"/>
      <c r="B158" s="78"/>
      <c r="C158" s="189"/>
      <c r="D158" s="185"/>
      <c r="E158" s="186"/>
      <c r="F158" s="187"/>
    </row>
    <row r="159" spans="1:6" x14ac:dyDescent="0.2">
      <c r="A159" s="275"/>
      <c r="B159" s="78"/>
      <c r="C159" s="189"/>
      <c r="D159" s="185"/>
      <c r="E159" s="186"/>
      <c r="F159" s="187"/>
    </row>
    <row r="160" spans="1:6" x14ac:dyDescent="0.2">
      <c r="A160" s="275"/>
      <c r="B160" s="78"/>
      <c r="C160" s="189"/>
      <c r="D160" s="185"/>
      <c r="E160" s="186"/>
      <c r="F160" s="187"/>
    </row>
    <row r="161" spans="1:6" x14ac:dyDescent="0.2">
      <c r="A161" s="275"/>
      <c r="B161" s="78"/>
      <c r="C161" s="189"/>
      <c r="D161" s="185"/>
      <c r="E161" s="186"/>
      <c r="F161" s="187"/>
    </row>
    <row r="162" spans="1:6" x14ac:dyDescent="0.2">
      <c r="A162" s="275"/>
      <c r="B162" s="78"/>
      <c r="C162" s="189"/>
      <c r="D162" s="185"/>
      <c r="E162" s="186"/>
      <c r="F162" s="187"/>
    </row>
    <row r="163" spans="1:6" x14ac:dyDescent="0.2">
      <c r="A163" s="275"/>
      <c r="B163" s="78"/>
      <c r="C163" s="189"/>
      <c r="D163" s="185"/>
      <c r="E163" s="186"/>
      <c r="F163" s="187"/>
    </row>
    <row r="164" spans="1:6" x14ac:dyDescent="0.2">
      <c r="A164" s="275"/>
      <c r="B164" s="78"/>
      <c r="C164" s="189"/>
      <c r="D164" s="185"/>
      <c r="E164" s="186"/>
      <c r="F164" s="187"/>
    </row>
    <row r="165" spans="1:6" x14ac:dyDescent="0.2">
      <c r="A165" s="275"/>
      <c r="B165" s="78"/>
      <c r="C165" s="189"/>
      <c r="D165" s="185"/>
      <c r="E165" s="186"/>
      <c r="F165" s="187"/>
    </row>
    <row r="166" spans="1:6" x14ac:dyDescent="0.2">
      <c r="A166" s="275"/>
      <c r="B166" s="78"/>
      <c r="C166" s="189"/>
      <c r="D166" s="185"/>
      <c r="E166" s="186"/>
      <c r="F166" s="187"/>
    </row>
    <row r="167" spans="1:6" x14ac:dyDescent="0.2">
      <c r="A167" s="275"/>
      <c r="B167" s="78"/>
      <c r="C167" s="189"/>
      <c r="D167" s="185"/>
      <c r="E167" s="186"/>
      <c r="F167" s="187"/>
    </row>
    <row r="168" spans="1:6" x14ac:dyDescent="0.2">
      <c r="A168" s="275"/>
      <c r="B168" s="78"/>
      <c r="C168" s="189"/>
      <c r="D168" s="185"/>
      <c r="E168" s="186"/>
      <c r="F168" s="187"/>
    </row>
    <row r="169" spans="1:6" x14ac:dyDescent="0.2">
      <c r="A169" s="275"/>
      <c r="B169" s="78"/>
      <c r="C169" s="189"/>
      <c r="D169" s="185"/>
      <c r="E169" s="186"/>
      <c r="F169" s="187"/>
    </row>
    <row r="170" spans="1:6" x14ac:dyDescent="0.2">
      <c r="A170" s="275"/>
      <c r="B170" s="78"/>
      <c r="C170" s="189"/>
      <c r="D170" s="185"/>
      <c r="E170" s="186"/>
      <c r="F170" s="187"/>
    </row>
    <row r="171" spans="1:6" x14ac:dyDescent="0.2">
      <c r="A171" s="275"/>
      <c r="B171" s="78"/>
      <c r="C171" s="189"/>
      <c r="D171" s="185"/>
      <c r="E171" s="186"/>
      <c r="F171" s="187"/>
    </row>
    <row r="172" spans="1:6" x14ac:dyDescent="0.2">
      <c r="A172" s="275"/>
      <c r="B172" s="78"/>
      <c r="C172" s="189"/>
      <c r="D172" s="185"/>
      <c r="E172" s="186"/>
      <c r="F172" s="187"/>
    </row>
    <row r="173" spans="1:6" x14ac:dyDescent="0.2">
      <c r="A173" s="275"/>
      <c r="B173" s="78"/>
      <c r="C173" s="189"/>
      <c r="D173" s="185"/>
      <c r="E173" s="186"/>
      <c r="F173" s="187"/>
    </row>
    <row r="174" spans="1:6" x14ac:dyDescent="0.2">
      <c r="A174" s="275"/>
      <c r="B174" s="78"/>
      <c r="C174" s="189"/>
      <c r="D174" s="185"/>
      <c r="E174" s="186"/>
      <c r="F174" s="187"/>
    </row>
    <row r="175" spans="1:6" x14ac:dyDescent="0.2">
      <c r="A175" s="275"/>
      <c r="B175" s="78"/>
      <c r="C175" s="189"/>
      <c r="D175" s="185"/>
      <c r="E175" s="186"/>
      <c r="F175" s="187"/>
    </row>
    <row r="176" spans="1:6" x14ac:dyDescent="0.2">
      <c r="A176" s="275"/>
      <c r="B176" s="78"/>
      <c r="C176" s="189"/>
      <c r="D176" s="185"/>
      <c r="E176" s="186"/>
      <c r="F176" s="187"/>
    </row>
    <row r="177" spans="1:6" x14ac:dyDescent="0.2">
      <c r="A177" s="275"/>
      <c r="B177" s="78"/>
      <c r="C177" s="189"/>
      <c r="D177" s="185"/>
      <c r="E177" s="186"/>
      <c r="F177" s="187"/>
    </row>
    <row r="178" spans="1:6" x14ac:dyDescent="0.2">
      <c r="A178" s="275"/>
      <c r="B178" s="78"/>
      <c r="C178" s="189"/>
      <c r="D178" s="185"/>
      <c r="E178" s="186"/>
      <c r="F178" s="187"/>
    </row>
    <row r="179" spans="1:6" x14ac:dyDescent="0.2">
      <c r="A179" s="275"/>
      <c r="B179" s="78"/>
      <c r="C179" s="189"/>
      <c r="D179" s="185"/>
      <c r="E179" s="186"/>
      <c r="F179" s="187"/>
    </row>
    <row r="180" spans="1:6" x14ac:dyDescent="0.2">
      <c r="A180" s="275"/>
      <c r="B180" s="78"/>
      <c r="C180" s="189"/>
      <c r="D180" s="185"/>
      <c r="E180" s="186"/>
      <c r="F180" s="187"/>
    </row>
    <row r="181" spans="1:6" x14ac:dyDescent="0.2">
      <c r="A181" s="275"/>
      <c r="B181" s="78"/>
      <c r="C181" s="189"/>
      <c r="D181" s="185"/>
      <c r="E181" s="186"/>
      <c r="F181" s="187"/>
    </row>
    <row r="182" spans="1:6" x14ac:dyDescent="0.2">
      <c r="A182" s="275"/>
      <c r="B182" s="78"/>
      <c r="C182" s="189"/>
      <c r="D182" s="185"/>
      <c r="E182" s="186"/>
      <c r="F182" s="187"/>
    </row>
    <row r="183" spans="1:6" x14ac:dyDescent="0.2">
      <c r="A183" s="275"/>
      <c r="B183" s="78"/>
      <c r="C183" s="189"/>
      <c r="D183" s="185"/>
      <c r="E183" s="186"/>
      <c r="F183" s="187"/>
    </row>
    <row r="184" spans="1:6" x14ac:dyDescent="0.2">
      <c r="A184" s="275"/>
      <c r="B184" s="78"/>
      <c r="C184" s="189"/>
      <c r="D184" s="185"/>
      <c r="E184" s="186"/>
      <c r="F184" s="187"/>
    </row>
    <row r="185" spans="1:6" x14ac:dyDescent="0.2">
      <c r="A185" s="275"/>
      <c r="B185" s="78"/>
      <c r="C185" s="189"/>
      <c r="D185" s="185"/>
      <c r="E185" s="186"/>
      <c r="F185" s="187"/>
    </row>
    <row r="186" spans="1:6" x14ac:dyDescent="0.2">
      <c r="A186" s="275"/>
      <c r="B186" s="78"/>
      <c r="C186" s="189"/>
      <c r="D186" s="185"/>
      <c r="E186" s="186"/>
      <c r="F186" s="187"/>
    </row>
    <row r="187" spans="1:6" x14ac:dyDescent="0.2">
      <c r="A187" s="275"/>
      <c r="B187" s="78"/>
      <c r="C187" s="189"/>
      <c r="D187" s="185"/>
      <c r="E187" s="186"/>
      <c r="F187" s="187"/>
    </row>
    <row r="188" spans="1:6" x14ac:dyDescent="0.2">
      <c r="A188" s="275"/>
      <c r="B188" s="78"/>
      <c r="C188" s="189"/>
      <c r="D188" s="185"/>
      <c r="E188" s="186"/>
      <c r="F188" s="187"/>
    </row>
    <row r="189" spans="1:6" x14ac:dyDescent="0.2">
      <c r="A189" s="275"/>
      <c r="B189" s="78"/>
      <c r="C189" s="189"/>
      <c r="D189" s="185"/>
      <c r="E189" s="186"/>
      <c r="F189" s="187"/>
    </row>
    <row r="190" spans="1:6" x14ac:dyDescent="0.2">
      <c r="A190" s="275"/>
      <c r="B190" s="78"/>
      <c r="C190" s="189"/>
      <c r="D190" s="185"/>
      <c r="E190" s="186"/>
      <c r="F190" s="187"/>
    </row>
    <row r="191" spans="1:6" x14ac:dyDescent="0.2">
      <c r="A191" s="275"/>
      <c r="B191" s="78"/>
      <c r="C191" s="189"/>
      <c r="D191" s="185"/>
      <c r="E191" s="186"/>
      <c r="F191" s="187"/>
    </row>
    <row r="192" spans="1:6" x14ac:dyDescent="0.2">
      <c r="A192" s="275"/>
      <c r="B192" s="78"/>
      <c r="C192" s="189"/>
      <c r="D192" s="185"/>
      <c r="E192" s="186"/>
      <c r="F192" s="187"/>
    </row>
    <row r="193" spans="1:6" x14ac:dyDescent="0.2">
      <c r="A193" s="275"/>
      <c r="B193" s="78"/>
      <c r="C193" s="189"/>
      <c r="D193" s="185"/>
      <c r="E193" s="186"/>
      <c r="F193" s="187"/>
    </row>
    <row r="194" spans="1:6" x14ac:dyDescent="0.2">
      <c r="A194" s="275"/>
      <c r="B194" s="78"/>
      <c r="C194" s="189"/>
      <c r="D194" s="185"/>
      <c r="E194" s="186"/>
      <c r="F194" s="187"/>
    </row>
    <row r="195" spans="1:6" x14ac:dyDescent="0.2">
      <c r="A195" s="275"/>
      <c r="B195" s="78"/>
      <c r="C195" s="189"/>
      <c r="D195" s="185"/>
      <c r="E195" s="186"/>
      <c r="F195" s="187"/>
    </row>
    <row r="196" spans="1:6" x14ac:dyDescent="0.2">
      <c r="A196" s="275"/>
      <c r="B196" s="78"/>
      <c r="C196" s="189"/>
      <c r="D196" s="185"/>
      <c r="E196" s="186"/>
      <c r="F196" s="187"/>
    </row>
    <row r="197" spans="1:6" x14ac:dyDescent="0.2">
      <c r="A197" s="275"/>
      <c r="B197" s="78"/>
      <c r="C197" s="189"/>
      <c r="D197" s="185"/>
      <c r="E197" s="186"/>
      <c r="F197" s="187"/>
    </row>
    <row r="198" spans="1:6" x14ac:dyDescent="0.2">
      <c r="A198" s="275"/>
      <c r="B198" s="78"/>
      <c r="C198" s="189"/>
      <c r="D198" s="185"/>
      <c r="E198" s="186"/>
      <c r="F198" s="187"/>
    </row>
    <row r="199" spans="1:6" x14ac:dyDescent="0.2">
      <c r="A199" s="275"/>
      <c r="B199" s="78"/>
      <c r="C199" s="189"/>
      <c r="D199" s="185"/>
      <c r="E199" s="186"/>
      <c r="F199" s="187"/>
    </row>
    <row r="200" spans="1:6" x14ac:dyDescent="0.2">
      <c r="A200" s="275"/>
      <c r="B200" s="78"/>
      <c r="C200" s="189"/>
      <c r="D200" s="185"/>
      <c r="E200" s="186"/>
      <c r="F200" s="187"/>
    </row>
    <row r="201" spans="1:6" x14ac:dyDescent="0.2">
      <c r="A201" s="275"/>
      <c r="B201" s="78"/>
      <c r="C201" s="189"/>
      <c r="D201" s="185"/>
      <c r="E201" s="186"/>
      <c r="F201" s="187"/>
    </row>
    <row r="202" spans="1:6" x14ac:dyDescent="0.2">
      <c r="A202" s="275"/>
      <c r="B202" s="78"/>
      <c r="C202" s="189"/>
      <c r="D202" s="185"/>
      <c r="E202" s="186"/>
      <c r="F202" s="187"/>
    </row>
    <row r="203" spans="1:6" x14ac:dyDescent="0.2">
      <c r="A203" s="275"/>
      <c r="B203" s="78"/>
      <c r="C203" s="189"/>
      <c r="D203" s="185"/>
      <c r="E203" s="186"/>
      <c r="F203" s="187"/>
    </row>
    <row r="204" spans="1:6" x14ac:dyDescent="0.2">
      <c r="A204" s="275"/>
      <c r="B204" s="78"/>
      <c r="C204" s="189"/>
      <c r="D204" s="185"/>
      <c r="E204" s="186"/>
      <c r="F204" s="187"/>
    </row>
    <row r="205" spans="1:6" x14ac:dyDescent="0.2">
      <c r="A205" s="275"/>
      <c r="B205" s="78"/>
      <c r="C205" s="189"/>
      <c r="D205" s="185"/>
      <c r="E205" s="186"/>
      <c r="F205" s="187"/>
    </row>
    <row r="206" spans="1:6" x14ac:dyDescent="0.2">
      <c r="A206" s="275"/>
      <c r="B206" s="78"/>
      <c r="C206" s="189"/>
      <c r="D206" s="185"/>
      <c r="E206" s="186"/>
      <c r="F206" s="187"/>
    </row>
    <row r="207" spans="1:6" x14ac:dyDescent="0.2">
      <c r="A207" s="275"/>
      <c r="B207" s="78"/>
      <c r="C207" s="189"/>
      <c r="D207" s="185"/>
      <c r="E207" s="186"/>
      <c r="F207" s="187"/>
    </row>
    <row r="208" spans="1:6" x14ac:dyDescent="0.2">
      <c r="A208" s="275"/>
      <c r="B208" s="78"/>
      <c r="C208" s="189"/>
      <c r="D208" s="185"/>
      <c r="E208" s="186"/>
      <c r="F208" s="187"/>
    </row>
    <row r="209" spans="1:6" x14ac:dyDescent="0.2">
      <c r="A209" s="275"/>
      <c r="B209" s="78"/>
      <c r="C209" s="189"/>
      <c r="D209" s="185"/>
      <c r="E209" s="186"/>
      <c r="F209" s="187"/>
    </row>
    <row r="210" spans="1:6" x14ac:dyDescent="0.2">
      <c r="A210" s="275"/>
      <c r="B210" s="78"/>
      <c r="C210" s="189"/>
      <c r="D210" s="185"/>
      <c r="E210" s="186"/>
      <c r="F210" s="187"/>
    </row>
    <row r="211" spans="1:6" x14ac:dyDescent="0.2">
      <c r="A211" s="275"/>
      <c r="B211" s="78"/>
      <c r="C211" s="189"/>
      <c r="D211" s="185"/>
      <c r="E211" s="186"/>
      <c r="F211" s="187"/>
    </row>
    <row r="212" spans="1:6" x14ac:dyDescent="0.2">
      <c r="A212" s="275"/>
      <c r="B212" s="78"/>
      <c r="C212" s="189"/>
      <c r="D212" s="185"/>
      <c r="E212" s="186"/>
      <c r="F212" s="187"/>
    </row>
    <row r="213" spans="1:6" x14ac:dyDescent="0.2">
      <c r="A213" s="275"/>
      <c r="B213" s="78"/>
      <c r="C213" s="189"/>
      <c r="D213" s="185"/>
      <c r="E213" s="186"/>
      <c r="F213" s="187"/>
    </row>
    <row r="214" spans="1:6" x14ac:dyDescent="0.2">
      <c r="A214" s="275"/>
      <c r="B214" s="78"/>
      <c r="C214" s="189"/>
      <c r="D214" s="185"/>
      <c r="E214" s="186"/>
      <c r="F214" s="187"/>
    </row>
    <row r="215" spans="1:6" x14ac:dyDescent="0.2">
      <c r="A215" s="275"/>
      <c r="B215" s="78"/>
      <c r="C215" s="189"/>
      <c r="D215" s="185"/>
      <c r="E215" s="186"/>
      <c r="F215" s="187"/>
    </row>
    <row r="216" spans="1:6" x14ac:dyDescent="0.2">
      <c r="A216" s="275"/>
      <c r="B216" s="78"/>
      <c r="C216" s="189"/>
      <c r="D216" s="185"/>
      <c r="E216" s="186"/>
      <c r="F216" s="187"/>
    </row>
    <row r="217" spans="1:6" x14ac:dyDescent="0.2">
      <c r="A217" s="275"/>
      <c r="B217" s="78"/>
      <c r="C217" s="189"/>
      <c r="D217" s="185"/>
      <c r="E217" s="186"/>
      <c r="F217" s="187"/>
    </row>
    <row r="218" spans="1:6" x14ac:dyDescent="0.2">
      <c r="A218" s="275"/>
      <c r="B218" s="78"/>
      <c r="C218" s="189"/>
      <c r="D218" s="185"/>
      <c r="E218" s="186"/>
      <c r="F218" s="187"/>
    </row>
    <row r="219" spans="1:6" x14ac:dyDescent="0.2">
      <c r="A219" s="275"/>
      <c r="B219" s="78"/>
      <c r="C219" s="189"/>
      <c r="D219" s="185"/>
      <c r="E219" s="186"/>
      <c r="F219" s="187"/>
    </row>
    <row r="220" spans="1:6" x14ac:dyDescent="0.2">
      <c r="A220" s="275"/>
      <c r="B220" s="78"/>
      <c r="C220" s="189"/>
      <c r="D220" s="185"/>
      <c r="E220" s="186"/>
      <c r="F220" s="187"/>
    </row>
    <row r="221" spans="1:6" x14ac:dyDescent="0.2">
      <c r="A221" s="275"/>
      <c r="B221" s="78"/>
      <c r="C221" s="189"/>
      <c r="D221" s="185"/>
      <c r="E221" s="186"/>
      <c r="F221" s="187"/>
    </row>
    <row r="222" spans="1:6" x14ac:dyDescent="0.2">
      <c r="A222" s="275"/>
      <c r="B222" s="78"/>
      <c r="C222" s="189"/>
      <c r="D222" s="185"/>
      <c r="E222" s="186"/>
      <c r="F222" s="187"/>
    </row>
    <row r="223" spans="1:6" x14ac:dyDescent="0.2">
      <c r="A223" s="275"/>
      <c r="B223" s="78"/>
      <c r="C223" s="189"/>
      <c r="D223" s="185"/>
      <c r="E223" s="186"/>
      <c r="F223" s="187"/>
    </row>
    <row r="224" spans="1:6" x14ac:dyDescent="0.2">
      <c r="A224" s="275"/>
      <c r="B224" s="78"/>
      <c r="C224" s="189"/>
      <c r="D224" s="185"/>
      <c r="E224" s="186"/>
      <c r="F224" s="187"/>
    </row>
    <row r="225" spans="1:6" x14ac:dyDescent="0.2">
      <c r="A225" s="275"/>
      <c r="B225" s="78"/>
      <c r="C225" s="189"/>
      <c r="D225" s="185"/>
      <c r="E225" s="186"/>
      <c r="F225" s="187"/>
    </row>
    <row r="226" spans="1:6" x14ac:dyDescent="0.2">
      <c r="A226" s="275"/>
      <c r="B226" s="78"/>
      <c r="C226" s="189"/>
      <c r="D226" s="185"/>
      <c r="E226" s="186"/>
      <c r="F226" s="187"/>
    </row>
    <row r="227" spans="1:6" x14ac:dyDescent="0.2">
      <c r="A227" s="275"/>
      <c r="B227" s="78"/>
      <c r="C227" s="189"/>
      <c r="D227" s="185"/>
      <c r="E227" s="186"/>
      <c r="F227" s="187"/>
    </row>
    <row r="228" spans="1:6" x14ac:dyDescent="0.2">
      <c r="A228" s="275"/>
      <c r="B228" s="78"/>
      <c r="C228" s="189"/>
      <c r="D228" s="185"/>
      <c r="E228" s="186"/>
      <c r="F228" s="187"/>
    </row>
    <row r="229" spans="1:6" x14ac:dyDescent="0.2">
      <c r="A229" s="275"/>
      <c r="B229" s="78"/>
      <c r="C229" s="189"/>
      <c r="D229" s="185"/>
      <c r="E229" s="186"/>
      <c r="F229" s="187"/>
    </row>
    <row r="230" spans="1:6" x14ac:dyDescent="0.2">
      <c r="A230" s="275"/>
      <c r="B230" s="78"/>
      <c r="C230" s="189"/>
      <c r="D230" s="185"/>
      <c r="E230" s="186"/>
      <c r="F230" s="187"/>
    </row>
    <row r="231" spans="1:6" x14ac:dyDescent="0.2">
      <c r="A231" s="275"/>
      <c r="B231" s="78"/>
      <c r="C231" s="189"/>
      <c r="D231" s="185"/>
      <c r="E231" s="186"/>
      <c r="F231" s="187"/>
    </row>
    <row r="232" spans="1:6" x14ac:dyDescent="0.2">
      <c r="A232" s="275"/>
      <c r="B232" s="78"/>
      <c r="C232" s="189"/>
      <c r="D232" s="185"/>
      <c r="E232" s="186"/>
      <c r="F232" s="187"/>
    </row>
    <row r="233" spans="1:6" x14ac:dyDescent="0.2">
      <c r="A233" s="275"/>
      <c r="B233" s="78"/>
      <c r="C233" s="189"/>
      <c r="D233" s="185"/>
      <c r="E233" s="186"/>
      <c r="F233" s="187"/>
    </row>
    <row r="234" spans="1:6" x14ac:dyDescent="0.2">
      <c r="A234" s="275"/>
      <c r="B234" s="78"/>
      <c r="C234" s="189"/>
      <c r="D234" s="185"/>
      <c r="E234" s="186"/>
      <c r="F234" s="187"/>
    </row>
    <row r="235" spans="1:6" x14ac:dyDescent="0.2">
      <c r="A235" s="275"/>
      <c r="B235" s="78"/>
      <c r="C235" s="189"/>
      <c r="D235" s="185"/>
      <c r="E235" s="186"/>
      <c r="F235" s="187"/>
    </row>
    <row r="236" spans="1:6" x14ac:dyDescent="0.2">
      <c r="A236" s="275"/>
      <c r="B236" s="78"/>
      <c r="C236" s="189"/>
      <c r="D236" s="185"/>
      <c r="E236" s="186"/>
      <c r="F236" s="187"/>
    </row>
    <row r="237" spans="1:6" x14ac:dyDescent="0.2">
      <c r="A237" s="275"/>
      <c r="B237" s="78"/>
      <c r="C237" s="189"/>
      <c r="D237" s="185"/>
      <c r="E237" s="186"/>
      <c r="F237" s="187"/>
    </row>
    <row r="238" spans="1:6" x14ac:dyDescent="0.2">
      <c r="A238" s="275"/>
      <c r="B238" s="78"/>
      <c r="C238" s="189"/>
      <c r="D238" s="185"/>
      <c r="E238" s="186"/>
      <c r="F238" s="187"/>
    </row>
    <row r="239" spans="1:6" x14ac:dyDescent="0.2">
      <c r="A239" s="275"/>
      <c r="B239" s="78"/>
      <c r="C239" s="189"/>
      <c r="D239" s="185"/>
      <c r="E239" s="186"/>
      <c r="F239" s="187"/>
    </row>
    <row r="240" spans="1:6" x14ac:dyDescent="0.2">
      <c r="A240" s="275"/>
      <c r="B240" s="78"/>
      <c r="C240" s="189"/>
      <c r="D240" s="185"/>
      <c r="E240" s="186"/>
      <c r="F240" s="187"/>
    </row>
    <row r="241" spans="1:6" x14ac:dyDescent="0.2">
      <c r="A241" s="275"/>
      <c r="B241" s="78"/>
      <c r="C241" s="189"/>
      <c r="D241" s="185"/>
      <c r="E241" s="186"/>
      <c r="F241" s="187"/>
    </row>
    <row r="242" spans="1:6" x14ac:dyDescent="0.2">
      <c r="A242" s="275"/>
      <c r="B242" s="78"/>
      <c r="C242" s="189"/>
      <c r="D242" s="185"/>
      <c r="E242" s="186"/>
      <c r="F242" s="187"/>
    </row>
    <row r="243" spans="1:6" x14ac:dyDescent="0.2">
      <c r="A243" s="275"/>
      <c r="B243" s="78"/>
      <c r="C243" s="189"/>
      <c r="D243" s="185"/>
      <c r="E243" s="186"/>
      <c r="F243" s="187"/>
    </row>
    <row r="244" spans="1:6" x14ac:dyDescent="0.2">
      <c r="A244" s="275"/>
      <c r="B244" s="78"/>
      <c r="C244" s="189"/>
      <c r="D244" s="185"/>
      <c r="E244" s="186"/>
      <c r="F244" s="187"/>
    </row>
    <row r="245" spans="1:6" x14ac:dyDescent="0.2">
      <c r="A245" s="275"/>
      <c r="B245" s="78"/>
      <c r="C245" s="189"/>
      <c r="D245" s="185"/>
      <c r="E245" s="186"/>
      <c r="F245" s="187"/>
    </row>
    <row r="246" spans="1:6" x14ac:dyDescent="0.2">
      <c r="A246" s="275"/>
      <c r="B246" s="78"/>
      <c r="C246" s="189"/>
      <c r="D246" s="185"/>
      <c r="E246" s="186"/>
      <c r="F246" s="187"/>
    </row>
    <row r="247" spans="1:6" x14ac:dyDescent="0.2">
      <c r="A247" s="275"/>
      <c r="B247" s="78"/>
      <c r="C247" s="189"/>
      <c r="D247" s="185"/>
      <c r="E247" s="186"/>
      <c r="F247" s="187"/>
    </row>
    <row r="248" spans="1:6" x14ac:dyDescent="0.2">
      <c r="A248" s="275"/>
      <c r="B248" s="78"/>
      <c r="C248" s="189"/>
      <c r="D248" s="185"/>
      <c r="E248" s="186"/>
      <c r="F248" s="187"/>
    </row>
    <row r="249" spans="1:6" x14ac:dyDescent="0.2">
      <c r="A249" s="275"/>
      <c r="B249" s="78"/>
      <c r="C249" s="189"/>
      <c r="D249" s="185"/>
      <c r="E249" s="186"/>
      <c r="F249" s="187"/>
    </row>
    <row r="250" spans="1:6" x14ac:dyDescent="0.2">
      <c r="A250" s="275"/>
      <c r="B250" s="78"/>
      <c r="C250" s="189"/>
      <c r="D250" s="185"/>
      <c r="E250" s="186"/>
      <c r="F250" s="187"/>
    </row>
    <row r="251" spans="1:6" x14ac:dyDescent="0.2">
      <c r="A251" s="275"/>
      <c r="B251" s="78"/>
      <c r="C251" s="189"/>
      <c r="D251" s="185"/>
      <c r="E251" s="186"/>
      <c r="F251" s="187"/>
    </row>
    <row r="252" spans="1:6" x14ac:dyDescent="0.2">
      <c r="A252" s="275"/>
      <c r="B252" s="78"/>
      <c r="C252" s="189"/>
      <c r="D252" s="185"/>
      <c r="E252" s="186"/>
      <c r="F252" s="187"/>
    </row>
    <row r="253" spans="1:6" x14ac:dyDescent="0.2">
      <c r="A253" s="275"/>
      <c r="B253" s="78"/>
      <c r="C253" s="189"/>
      <c r="D253" s="185"/>
      <c r="E253" s="186"/>
      <c r="F253" s="187"/>
    </row>
    <row r="254" spans="1:6" x14ac:dyDescent="0.2">
      <c r="A254" s="275"/>
      <c r="B254" s="78"/>
      <c r="C254" s="189"/>
      <c r="D254" s="185"/>
      <c r="E254" s="186"/>
      <c r="F254" s="187"/>
    </row>
    <row r="255" spans="1:6" x14ac:dyDescent="0.2">
      <c r="A255" s="275"/>
      <c r="B255" s="78"/>
      <c r="C255" s="189"/>
      <c r="D255" s="185"/>
      <c r="E255" s="186"/>
      <c r="F255" s="187"/>
    </row>
    <row r="256" spans="1:6" x14ac:dyDescent="0.2">
      <c r="A256" s="275"/>
      <c r="B256" s="78"/>
      <c r="C256" s="189"/>
      <c r="D256" s="185"/>
      <c r="E256" s="186"/>
      <c r="F256" s="187"/>
    </row>
    <row r="257" spans="1:6" x14ac:dyDescent="0.2">
      <c r="A257" s="275"/>
      <c r="B257" s="78"/>
      <c r="C257" s="189"/>
      <c r="D257" s="185"/>
      <c r="E257" s="186"/>
      <c r="F257" s="187"/>
    </row>
    <row r="258" spans="1:6" x14ac:dyDescent="0.2">
      <c r="A258" s="275"/>
      <c r="B258" s="78"/>
      <c r="C258" s="189"/>
      <c r="D258" s="185"/>
      <c r="E258" s="186"/>
      <c r="F258" s="187"/>
    </row>
    <row r="259" spans="1:6" x14ac:dyDescent="0.2">
      <c r="A259" s="275"/>
      <c r="B259" s="78"/>
      <c r="C259" s="189"/>
      <c r="D259" s="185"/>
      <c r="E259" s="186"/>
      <c r="F259" s="187"/>
    </row>
    <row r="260" spans="1:6" x14ac:dyDescent="0.2">
      <c r="A260" s="275"/>
      <c r="B260" s="78"/>
      <c r="C260" s="189"/>
      <c r="D260" s="185"/>
      <c r="E260" s="186"/>
      <c r="F260" s="187"/>
    </row>
    <row r="261" spans="1:6" x14ac:dyDescent="0.2">
      <c r="A261" s="275"/>
      <c r="B261" s="78"/>
      <c r="C261" s="189"/>
      <c r="D261" s="185"/>
      <c r="E261" s="186"/>
      <c r="F261" s="187"/>
    </row>
    <row r="262" spans="1:6" x14ac:dyDescent="0.2">
      <c r="A262" s="275"/>
      <c r="B262" s="78"/>
      <c r="C262" s="189"/>
      <c r="D262" s="185"/>
      <c r="E262" s="186"/>
      <c r="F262" s="187"/>
    </row>
    <row r="263" spans="1:6" x14ac:dyDescent="0.2">
      <c r="A263" s="275"/>
      <c r="B263" s="78"/>
      <c r="C263" s="189"/>
      <c r="D263" s="185"/>
      <c r="E263" s="186"/>
      <c r="F263" s="187"/>
    </row>
    <row r="264" spans="1:6" x14ac:dyDescent="0.2">
      <c r="A264" s="275"/>
      <c r="B264" s="78"/>
      <c r="C264" s="189"/>
      <c r="D264" s="185"/>
      <c r="E264" s="186"/>
      <c r="F264" s="187"/>
    </row>
    <row r="265" spans="1:6" x14ac:dyDescent="0.2">
      <c r="A265" s="275"/>
      <c r="B265" s="78"/>
      <c r="C265" s="189"/>
      <c r="D265" s="185"/>
      <c r="E265" s="186"/>
      <c r="F265" s="187"/>
    </row>
    <row r="266" spans="1:6" x14ac:dyDescent="0.2">
      <c r="A266" s="275"/>
      <c r="B266" s="78"/>
      <c r="C266" s="189"/>
      <c r="D266" s="185"/>
      <c r="E266" s="186"/>
      <c r="F266" s="187"/>
    </row>
    <row r="267" spans="1:6" x14ac:dyDescent="0.2">
      <c r="A267" s="275"/>
      <c r="B267" s="78"/>
      <c r="C267" s="189"/>
      <c r="D267" s="185"/>
      <c r="E267" s="186"/>
      <c r="F267" s="187"/>
    </row>
    <row r="268" spans="1:6" x14ac:dyDescent="0.2">
      <c r="A268" s="275"/>
      <c r="B268" s="78"/>
      <c r="C268" s="189"/>
      <c r="D268" s="185"/>
      <c r="E268" s="186"/>
      <c r="F268" s="187"/>
    </row>
    <row r="269" spans="1:6" x14ac:dyDescent="0.2">
      <c r="A269" s="275"/>
      <c r="B269" s="78"/>
      <c r="C269" s="189"/>
      <c r="D269" s="185"/>
      <c r="E269" s="186"/>
      <c r="F269" s="187"/>
    </row>
    <row r="270" spans="1:6" x14ac:dyDescent="0.2">
      <c r="A270" s="275"/>
      <c r="B270" s="78"/>
      <c r="C270" s="189"/>
      <c r="D270" s="185"/>
      <c r="E270" s="186"/>
      <c r="F270" s="187"/>
    </row>
    <row r="271" spans="1:6" x14ac:dyDescent="0.2">
      <c r="A271" s="275"/>
      <c r="B271" s="78"/>
      <c r="C271" s="189"/>
      <c r="D271" s="185"/>
      <c r="E271" s="186"/>
      <c r="F271" s="187"/>
    </row>
    <row r="272" spans="1:6" x14ac:dyDescent="0.2">
      <c r="A272" s="275"/>
      <c r="B272" s="78"/>
      <c r="C272" s="189"/>
      <c r="D272" s="185"/>
      <c r="E272" s="186"/>
      <c r="F272" s="187"/>
    </row>
    <row r="273" spans="1:6" x14ac:dyDescent="0.2">
      <c r="A273" s="275"/>
      <c r="B273" s="78"/>
      <c r="C273" s="189"/>
      <c r="D273" s="185"/>
      <c r="E273" s="186"/>
      <c r="F273" s="187"/>
    </row>
    <row r="274" spans="1:6" x14ac:dyDescent="0.2">
      <c r="A274" s="275"/>
      <c r="B274" s="78"/>
      <c r="C274" s="189"/>
      <c r="D274" s="185"/>
      <c r="E274" s="186"/>
      <c r="F274" s="187"/>
    </row>
    <row r="275" spans="1:6" x14ac:dyDescent="0.2">
      <c r="A275" s="275"/>
      <c r="B275" s="78"/>
      <c r="C275" s="189"/>
      <c r="D275" s="185"/>
      <c r="E275" s="186"/>
      <c r="F275" s="187"/>
    </row>
    <row r="276" spans="1:6" x14ac:dyDescent="0.2">
      <c r="A276" s="275"/>
      <c r="B276" s="78"/>
      <c r="C276" s="189"/>
      <c r="D276" s="185"/>
      <c r="E276" s="186"/>
      <c r="F276" s="187"/>
    </row>
    <row r="277" spans="1:6" x14ac:dyDescent="0.2">
      <c r="A277" s="275"/>
      <c r="B277" s="78"/>
      <c r="C277" s="189"/>
      <c r="D277" s="185"/>
      <c r="E277" s="186"/>
      <c r="F277" s="187"/>
    </row>
    <row r="278" spans="1:6" x14ac:dyDescent="0.2">
      <c r="A278" s="275"/>
      <c r="B278" s="78"/>
      <c r="C278" s="189"/>
      <c r="D278" s="185"/>
      <c r="E278" s="186"/>
      <c r="F278" s="187"/>
    </row>
    <row r="279" spans="1:6" x14ac:dyDescent="0.2">
      <c r="A279" s="275"/>
      <c r="B279" s="78"/>
      <c r="C279" s="189"/>
      <c r="D279" s="185"/>
      <c r="E279" s="186"/>
      <c r="F279" s="187"/>
    </row>
    <row r="280" spans="1:6" x14ac:dyDescent="0.2">
      <c r="A280" s="275"/>
      <c r="B280" s="78"/>
      <c r="C280" s="189"/>
      <c r="D280" s="185"/>
      <c r="E280" s="186"/>
      <c r="F280" s="187"/>
    </row>
    <row r="281" spans="1:6" x14ac:dyDescent="0.2">
      <c r="A281" s="275"/>
      <c r="B281" s="78"/>
      <c r="C281" s="189"/>
      <c r="D281" s="185"/>
      <c r="E281" s="186"/>
      <c r="F281" s="187"/>
    </row>
    <row r="282" spans="1:6" x14ac:dyDescent="0.2">
      <c r="A282" s="275"/>
      <c r="B282" s="78"/>
      <c r="C282" s="189"/>
      <c r="D282" s="185"/>
      <c r="E282" s="186"/>
      <c r="F282" s="187"/>
    </row>
    <row r="283" spans="1:6" x14ac:dyDescent="0.2">
      <c r="A283" s="275"/>
      <c r="B283" s="78"/>
      <c r="C283" s="189"/>
      <c r="D283" s="185"/>
      <c r="E283" s="186"/>
      <c r="F283" s="187"/>
    </row>
    <row r="284" spans="1:6" x14ac:dyDescent="0.2">
      <c r="A284" s="275"/>
      <c r="B284" s="78"/>
      <c r="C284" s="189"/>
      <c r="D284" s="185"/>
      <c r="E284" s="186"/>
      <c r="F284" s="187"/>
    </row>
    <row r="285" spans="1:6" x14ac:dyDescent="0.2">
      <c r="A285" s="275"/>
      <c r="B285" s="78"/>
      <c r="C285" s="189"/>
      <c r="D285" s="185"/>
      <c r="E285" s="186"/>
      <c r="F285" s="187"/>
    </row>
    <row r="286" spans="1:6" x14ac:dyDescent="0.2">
      <c r="A286" s="275"/>
      <c r="B286" s="78"/>
      <c r="C286" s="189"/>
      <c r="D286" s="185"/>
      <c r="E286" s="186"/>
      <c r="F286" s="187"/>
    </row>
    <row r="287" spans="1:6" x14ac:dyDescent="0.2">
      <c r="A287" s="275"/>
      <c r="B287" s="78"/>
      <c r="C287" s="189"/>
      <c r="D287" s="185"/>
      <c r="E287" s="186"/>
      <c r="F287" s="187"/>
    </row>
    <row r="288" spans="1:6" x14ac:dyDescent="0.2">
      <c r="A288" s="275"/>
      <c r="B288" s="78"/>
      <c r="C288" s="189"/>
      <c r="D288" s="185"/>
      <c r="E288" s="186"/>
      <c r="F288" s="187"/>
    </row>
    <row r="289" spans="1:6" x14ac:dyDescent="0.2">
      <c r="A289" s="275"/>
      <c r="B289" s="78"/>
      <c r="C289" s="189"/>
      <c r="D289" s="185"/>
      <c r="E289" s="186"/>
      <c r="F289" s="187"/>
    </row>
    <row r="290" spans="1:6" x14ac:dyDescent="0.2">
      <c r="A290" s="275"/>
      <c r="B290" s="78"/>
      <c r="C290" s="189"/>
      <c r="D290" s="185"/>
      <c r="E290" s="186"/>
      <c r="F290" s="187"/>
    </row>
    <row r="291" spans="1:6" x14ac:dyDescent="0.2">
      <c r="A291" s="275"/>
      <c r="B291" s="78"/>
      <c r="C291" s="189"/>
      <c r="D291" s="185"/>
      <c r="E291" s="186"/>
      <c r="F291" s="187"/>
    </row>
    <row r="292" spans="1:6" x14ac:dyDescent="0.2">
      <c r="A292" s="275"/>
      <c r="B292" s="78"/>
      <c r="C292" s="189"/>
      <c r="D292" s="185"/>
      <c r="E292" s="186"/>
      <c r="F292" s="187"/>
    </row>
    <row r="293" spans="1:6" x14ac:dyDescent="0.2">
      <c r="A293" s="275"/>
      <c r="B293" s="78"/>
      <c r="C293" s="189"/>
      <c r="D293" s="185"/>
      <c r="E293" s="186"/>
      <c r="F293" s="187"/>
    </row>
    <row r="294" spans="1:6" x14ac:dyDescent="0.2">
      <c r="A294" s="275"/>
      <c r="B294" s="78"/>
      <c r="C294" s="189"/>
      <c r="D294" s="185"/>
      <c r="E294" s="186"/>
      <c r="F294" s="187"/>
    </row>
    <row r="295" spans="1:6" x14ac:dyDescent="0.2">
      <c r="A295" s="275"/>
      <c r="B295" s="78"/>
      <c r="C295" s="189"/>
      <c r="D295" s="185"/>
      <c r="E295" s="186"/>
      <c r="F295" s="187"/>
    </row>
    <row r="296" spans="1:6" x14ac:dyDescent="0.2">
      <c r="A296" s="275"/>
      <c r="B296" s="78"/>
      <c r="C296" s="189"/>
      <c r="D296" s="185"/>
      <c r="E296" s="186"/>
      <c r="F296" s="187"/>
    </row>
    <row r="297" spans="1:6" x14ac:dyDescent="0.2">
      <c r="A297" s="275"/>
      <c r="B297" s="78"/>
      <c r="C297" s="189"/>
      <c r="D297" s="185"/>
      <c r="E297" s="186"/>
      <c r="F297" s="187"/>
    </row>
    <row r="298" spans="1:6" x14ac:dyDescent="0.2">
      <c r="A298" s="275"/>
      <c r="B298" s="78"/>
      <c r="C298" s="189"/>
      <c r="D298" s="185"/>
      <c r="E298" s="186"/>
      <c r="F298" s="187"/>
    </row>
    <row r="299" spans="1:6" x14ac:dyDescent="0.2">
      <c r="A299" s="275"/>
      <c r="B299" s="78"/>
      <c r="C299" s="189"/>
      <c r="D299" s="185"/>
      <c r="E299" s="186"/>
      <c r="F299" s="187"/>
    </row>
    <row r="300" spans="1:6" x14ac:dyDescent="0.2">
      <c r="A300" s="275"/>
      <c r="B300" s="78"/>
      <c r="C300" s="189"/>
      <c r="D300" s="185"/>
      <c r="E300" s="186"/>
      <c r="F300" s="187"/>
    </row>
    <row r="301" spans="1:6" x14ac:dyDescent="0.2">
      <c r="A301" s="275"/>
      <c r="B301" s="78"/>
      <c r="C301" s="189"/>
      <c r="D301" s="185"/>
      <c r="E301" s="186"/>
      <c r="F301" s="187"/>
    </row>
    <row r="302" spans="1:6" x14ac:dyDescent="0.2">
      <c r="A302" s="275"/>
      <c r="B302" s="78"/>
      <c r="C302" s="189"/>
      <c r="D302" s="185"/>
      <c r="E302" s="186"/>
      <c r="F302" s="187"/>
    </row>
    <row r="303" spans="1:6" x14ac:dyDescent="0.2">
      <c r="A303" s="275"/>
      <c r="B303" s="78"/>
      <c r="C303" s="189"/>
      <c r="D303" s="185"/>
      <c r="E303" s="186"/>
      <c r="F303" s="187"/>
    </row>
    <row r="304" spans="1:6" x14ac:dyDescent="0.2">
      <c r="A304" s="275"/>
      <c r="B304" s="78"/>
      <c r="C304" s="189"/>
      <c r="D304" s="185"/>
      <c r="E304" s="186"/>
      <c r="F304" s="187"/>
    </row>
    <row r="305" spans="1:6" x14ac:dyDescent="0.2">
      <c r="A305" s="275"/>
      <c r="B305" s="78"/>
      <c r="C305" s="189"/>
      <c r="D305" s="185"/>
      <c r="E305" s="186"/>
      <c r="F305" s="187"/>
    </row>
    <row r="306" spans="1:6" x14ac:dyDescent="0.2">
      <c r="A306" s="275"/>
      <c r="B306" s="78"/>
      <c r="C306" s="189"/>
      <c r="D306" s="185"/>
      <c r="E306" s="186"/>
      <c r="F306" s="187"/>
    </row>
    <row r="307" spans="1:6" x14ac:dyDescent="0.2">
      <c r="A307" s="275"/>
      <c r="B307" s="78"/>
      <c r="C307" s="189"/>
      <c r="D307" s="185"/>
      <c r="E307" s="186"/>
      <c r="F307" s="187"/>
    </row>
    <row r="308" spans="1:6" x14ac:dyDescent="0.2">
      <c r="A308" s="275"/>
      <c r="B308" s="78"/>
      <c r="C308" s="189"/>
      <c r="D308" s="185"/>
      <c r="E308" s="186"/>
      <c r="F308" s="187"/>
    </row>
    <row r="309" spans="1:6" x14ac:dyDescent="0.2">
      <c r="A309" s="275"/>
      <c r="B309" s="78"/>
      <c r="C309" s="189"/>
      <c r="D309" s="185"/>
      <c r="E309" s="186"/>
      <c r="F309" s="187"/>
    </row>
    <row r="310" spans="1:6" x14ac:dyDescent="0.2">
      <c r="A310" s="275"/>
      <c r="B310" s="78"/>
      <c r="C310" s="189"/>
      <c r="D310" s="185"/>
      <c r="E310" s="186"/>
      <c r="F310" s="187"/>
    </row>
    <row r="311" spans="1:6" x14ac:dyDescent="0.2">
      <c r="A311" s="275"/>
      <c r="B311" s="78"/>
      <c r="C311" s="189"/>
      <c r="D311" s="185"/>
      <c r="E311" s="186"/>
      <c r="F311" s="187"/>
    </row>
    <row r="312" spans="1:6" x14ac:dyDescent="0.2">
      <c r="A312" s="275"/>
      <c r="B312" s="78"/>
      <c r="C312" s="189"/>
      <c r="D312" s="185"/>
      <c r="E312" s="186"/>
      <c r="F312" s="187"/>
    </row>
    <row r="313" spans="1:6" x14ac:dyDescent="0.2">
      <c r="A313" s="275"/>
      <c r="B313" s="78"/>
      <c r="C313" s="189"/>
      <c r="D313" s="185"/>
      <c r="E313" s="186"/>
      <c r="F313" s="187"/>
    </row>
    <row r="314" spans="1:6" x14ac:dyDescent="0.2">
      <c r="A314" s="275"/>
      <c r="B314" s="78"/>
      <c r="C314" s="189"/>
      <c r="D314" s="185"/>
      <c r="E314" s="186"/>
      <c r="F314" s="187"/>
    </row>
    <row r="315" spans="1:6" x14ac:dyDescent="0.2">
      <c r="A315" s="275"/>
      <c r="B315" s="78"/>
      <c r="C315" s="189"/>
      <c r="D315" s="185"/>
      <c r="E315" s="186"/>
      <c r="F315" s="187"/>
    </row>
    <row r="316" spans="1:6" x14ac:dyDescent="0.2">
      <c r="A316" s="275"/>
      <c r="B316" s="78"/>
      <c r="C316" s="189"/>
      <c r="D316" s="185"/>
      <c r="E316" s="186"/>
      <c r="F316" s="187"/>
    </row>
    <row r="317" spans="1:6" x14ac:dyDescent="0.2">
      <c r="A317" s="275"/>
      <c r="B317" s="78"/>
      <c r="C317" s="189"/>
      <c r="D317" s="185"/>
      <c r="E317" s="186"/>
      <c r="F317" s="187"/>
    </row>
    <row r="318" spans="1:6" x14ac:dyDescent="0.2">
      <c r="A318" s="275"/>
      <c r="B318" s="78"/>
      <c r="C318" s="189"/>
      <c r="D318" s="185"/>
      <c r="E318" s="186"/>
      <c r="F318" s="187"/>
    </row>
    <row r="319" spans="1:6" x14ac:dyDescent="0.2">
      <c r="A319" s="275"/>
      <c r="B319" s="78"/>
      <c r="C319" s="189"/>
      <c r="D319" s="185"/>
      <c r="E319" s="186"/>
      <c r="F319" s="187"/>
    </row>
    <row r="320" spans="1:6" x14ac:dyDescent="0.2">
      <c r="A320" s="275"/>
      <c r="B320" s="78"/>
      <c r="C320" s="189"/>
      <c r="D320" s="185"/>
      <c r="E320" s="186"/>
      <c r="F320" s="187"/>
    </row>
    <row r="321" spans="1:6" x14ac:dyDescent="0.2">
      <c r="A321" s="275"/>
      <c r="B321" s="78"/>
      <c r="C321" s="189"/>
      <c r="D321" s="185"/>
      <c r="E321" s="186"/>
      <c r="F321" s="187"/>
    </row>
    <row r="322" spans="1:6" x14ac:dyDescent="0.2">
      <c r="A322" s="275"/>
      <c r="B322" s="78"/>
      <c r="C322" s="189"/>
      <c r="D322" s="185"/>
      <c r="E322" s="186"/>
      <c r="F322" s="187"/>
    </row>
    <row r="323" spans="1:6" x14ac:dyDescent="0.2">
      <c r="A323" s="275"/>
      <c r="B323" s="78"/>
      <c r="C323" s="189"/>
      <c r="D323" s="185"/>
      <c r="E323" s="186"/>
      <c r="F323" s="187"/>
    </row>
    <row r="324" spans="1:6" x14ac:dyDescent="0.2">
      <c r="A324" s="275"/>
      <c r="B324" s="78"/>
      <c r="C324" s="189"/>
      <c r="D324" s="185"/>
      <c r="E324" s="186"/>
      <c r="F324" s="187"/>
    </row>
    <row r="325" spans="1:6" x14ac:dyDescent="0.2">
      <c r="A325" s="275"/>
      <c r="B325" s="78"/>
      <c r="C325" s="189"/>
      <c r="D325" s="185"/>
      <c r="E325" s="186"/>
      <c r="F325" s="187"/>
    </row>
    <row r="326" spans="1:6" x14ac:dyDescent="0.2">
      <c r="A326" s="275"/>
      <c r="B326" s="78"/>
      <c r="C326" s="189"/>
      <c r="D326" s="185"/>
      <c r="E326" s="186"/>
      <c r="F326" s="187"/>
    </row>
    <row r="327" spans="1:6" x14ac:dyDescent="0.2">
      <c r="A327" s="275"/>
      <c r="B327" s="78"/>
      <c r="C327" s="189"/>
      <c r="D327" s="185"/>
      <c r="E327" s="186"/>
      <c r="F327" s="187"/>
    </row>
    <row r="328" spans="1:6" x14ac:dyDescent="0.2">
      <c r="A328" s="275"/>
      <c r="B328" s="78"/>
      <c r="C328" s="189"/>
      <c r="D328" s="185"/>
      <c r="E328" s="186"/>
      <c r="F328" s="187"/>
    </row>
    <row r="329" spans="1:6" x14ac:dyDescent="0.2">
      <c r="A329" s="275"/>
      <c r="B329" s="78"/>
      <c r="C329" s="189"/>
      <c r="D329" s="185"/>
      <c r="E329" s="186"/>
      <c r="F329" s="187"/>
    </row>
    <row r="330" spans="1:6" x14ac:dyDescent="0.2">
      <c r="A330" s="275"/>
      <c r="B330" s="78"/>
      <c r="C330" s="189"/>
      <c r="D330" s="185"/>
      <c r="E330" s="186"/>
      <c r="F330" s="187"/>
    </row>
    <row r="331" spans="1:6" x14ac:dyDescent="0.2">
      <c r="A331" s="275"/>
      <c r="B331" s="78"/>
      <c r="C331" s="189"/>
      <c r="D331" s="185"/>
      <c r="E331" s="186"/>
      <c r="F331" s="187"/>
    </row>
    <row r="332" spans="1:6" x14ac:dyDescent="0.2">
      <c r="A332" s="275"/>
      <c r="B332" s="78"/>
      <c r="C332" s="189"/>
      <c r="D332" s="185"/>
      <c r="E332" s="186"/>
      <c r="F332" s="187"/>
    </row>
    <row r="333" spans="1:6" x14ac:dyDescent="0.2">
      <c r="A333" s="275"/>
      <c r="B333" s="78"/>
      <c r="C333" s="189"/>
      <c r="D333" s="185"/>
      <c r="E333" s="186"/>
      <c r="F333" s="187"/>
    </row>
    <row r="334" spans="1:6" x14ac:dyDescent="0.2">
      <c r="A334" s="275"/>
      <c r="B334" s="78"/>
      <c r="C334" s="189"/>
      <c r="D334" s="185"/>
      <c r="E334" s="186"/>
      <c r="F334" s="187"/>
    </row>
    <row r="335" spans="1:6" x14ac:dyDescent="0.2">
      <c r="A335" s="275"/>
      <c r="B335" s="78"/>
      <c r="C335" s="189"/>
      <c r="D335" s="185"/>
      <c r="E335" s="186"/>
      <c r="F335" s="187"/>
    </row>
    <row r="336" spans="1:6" x14ac:dyDescent="0.2">
      <c r="A336" s="275"/>
      <c r="B336" s="78"/>
      <c r="C336" s="189"/>
      <c r="D336" s="185"/>
      <c r="E336" s="186"/>
      <c r="F336" s="187"/>
    </row>
    <row r="337" spans="1:6" x14ac:dyDescent="0.2">
      <c r="A337" s="275"/>
      <c r="B337" s="78"/>
      <c r="C337" s="189"/>
      <c r="D337" s="185"/>
      <c r="E337" s="186"/>
      <c r="F337" s="187"/>
    </row>
    <row r="338" spans="1:6" x14ac:dyDescent="0.2">
      <c r="A338" s="275"/>
      <c r="B338" s="78"/>
      <c r="C338" s="189"/>
      <c r="D338" s="185"/>
      <c r="E338" s="186"/>
      <c r="F338" s="187"/>
    </row>
    <row r="339" spans="1:6" x14ac:dyDescent="0.2">
      <c r="A339" s="275"/>
      <c r="B339" s="78"/>
      <c r="C339" s="189"/>
      <c r="D339" s="185"/>
      <c r="E339" s="186"/>
      <c r="F339" s="187"/>
    </row>
    <row r="340" spans="1:6" x14ac:dyDescent="0.2">
      <c r="A340" s="275"/>
      <c r="B340" s="78"/>
      <c r="C340" s="189"/>
      <c r="D340" s="185"/>
      <c r="E340" s="186"/>
      <c r="F340" s="187"/>
    </row>
    <row r="341" spans="1:6" x14ac:dyDescent="0.2">
      <c r="A341" s="275"/>
      <c r="B341" s="78"/>
      <c r="C341" s="189"/>
      <c r="D341" s="185"/>
      <c r="E341" s="186"/>
      <c r="F341" s="187"/>
    </row>
    <row r="342" spans="1:6" x14ac:dyDescent="0.2">
      <c r="A342" s="275"/>
      <c r="B342" s="78"/>
      <c r="C342" s="189"/>
      <c r="D342" s="185"/>
      <c r="E342" s="186"/>
      <c r="F342" s="187"/>
    </row>
    <row r="343" spans="1:6" x14ac:dyDescent="0.2">
      <c r="A343" s="275"/>
      <c r="B343" s="78"/>
      <c r="C343" s="189"/>
      <c r="D343" s="185"/>
      <c r="E343" s="186"/>
      <c r="F343" s="187"/>
    </row>
    <row r="344" spans="1:6" x14ac:dyDescent="0.2">
      <c r="A344" s="275"/>
      <c r="B344" s="78"/>
      <c r="C344" s="189"/>
      <c r="D344" s="185"/>
      <c r="E344" s="186"/>
      <c r="F344" s="187"/>
    </row>
    <row r="345" spans="1:6" x14ac:dyDescent="0.2">
      <c r="A345" s="275"/>
      <c r="B345" s="78"/>
      <c r="C345" s="189"/>
      <c r="D345" s="185"/>
      <c r="E345" s="186"/>
      <c r="F345" s="187"/>
    </row>
    <row r="346" spans="1:6" x14ac:dyDescent="0.2">
      <c r="A346" s="275"/>
      <c r="B346" s="78"/>
      <c r="C346" s="189"/>
      <c r="D346" s="185"/>
      <c r="E346" s="186"/>
      <c r="F346" s="187"/>
    </row>
    <row r="347" spans="1:6" x14ac:dyDescent="0.2">
      <c r="A347" s="275"/>
      <c r="B347" s="78"/>
      <c r="C347" s="189"/>
      <c r="D347" s="185"/>
      <c r="E347" s="186"/>
      <c r="F347" s="187"/>
    </row>
    <row r="348" spans="1:6" x14ac:dyDescent="0.2">
      <c r="A348" s="275"/>
      <c r="B348" s="78"/>
      <c r="C348" s="189"/>
      <c r="D348" s="185"/>
      <c r="E348" s="186"/>
      <c r="F348" s="187"/>
    </row>
    <row r="349" spans="1:6" x14ac:dyDescent="0.2">
      <c r="A349" s="275"/>
      <c r="B349" s="78"/>
      <c r="C349" s="189"/>
      <c r="D349" s="185"/>
      <c r="E349" s="186"/>
      <c r="F349" s="187"/>
    </row>
    <row r="350" spans="1:6" x14ac:dyDescent="0.2">
      <c r="A350" s="275"/>
      <c r="B350" s="78"/>
      <c r="C350" s="189"/>
      <c r="D350" s="185"/>
      <c r="E350" s="186"/>
      <c r="F350" s="187"/>
    </row>
    <row r="351" spans="1:6" x14ac:dyDescent="0.2">
      <c r="A351" s="275"/>
      <c r="B351" s="78"/>
      <c r="C351" s="189"/>
      <c r="D351" s="185"/>
      <c r="E351" s="186"/>
      <c r="F351" s="187"/>
    </row>
    <row r="352" spans="1:6" x14ac:dyDescent="0.2">
      <c r="A352" s="275"/>
      <c r="B352" s="78"/>
      <c r="C352" s="189"/>
      <c r="D352" s="185"/>
      <c r="E352" s="186"/>
      <c r="F352" s="187"/>
    </row>
    <row r="353" spans="1:6" x14ac:dyDescent="0.2">
      <c r="A353" s="275"/>
      <c r="B353" s="78"/>
      <c r="C353" s="189"/>
      <c r="D353" s="185"/>
      <c r="E353" s="186"/>
      <c r="F353" s="187"/>
    </row>
    <row r="354" spans="1:6" x14ac:dyDescent="0.2">
      <c r="A354" s="275"/>
      <c r="B354" s="78"/>
      <c r="C354" s="189"/>
      <c r="D354" s="185"/>
      <c r="E354" s="186"/>
      <c r="F354" s="187"/>
    </row>
    <row r="355" spans="1:6" x14ac:dyDescent="0.2">
      <c r="A355" s="275"/>
      <c r="B355" s="78"/>
      <c r="C355" s="189"/>
      <c r="D355" s="185"/>
      <c r="E355" s="186"/>
      <c r="F355" s="187"/>
    </row>
    <row r="356" spans="1:6" x14ac:dyDescent="0.2">
      <c r="A356" s="275"/>
      <c r="B356" s="78"/>
      <c r="C356" s="189"/>
      <c r="D356" s="185"/>
      <c r="E356" s="186"/>
      <c r="F356" s="187"/>
    </row>
    <row r="357" spans="1:6" x14ac:dyDescent="0.2">
      <c r="A357" s="275"/>
      <c r="B357" s="78"/>
      <c r="C357" s="189"/>
      <c r="D357" s="185"/>
      <c r="E357" s="186"/>
      <c r="F357" s="187"/>
    </row>
    <row r="358" spans="1:6" x14ac:dyDescent="0.2">
      <c r="A358" s="275"/>
      <c r="B358" s="78"/>
      <c r="C358" s="189"/>
      <c r="D358" s="185"/>
      <c r="E358" s="186"/>
      <c r="F358" s="187"/>
    </row>
    <row r="359" spans="1:6" x14ac:dyDescent="0.2">
      <c r="A359" s="275"/>
      <c r="B359" s="78"/>
      <c r="C359" s="189"/>
      <c r="D359" s="185"/>
      <c r="E359" s="186"/>
      <c r="F359" s="187"/>
    </row>
    <row r="360" spans="1:6" x14ac:dyDescent="0.2">
      <c r="A360" s="275"/>
      <c r="B360" s="78"/>
      <c r="C360" s="189"/>
      <c r="D360" s="185"/>
      <c r="E360" s="186"/>
      <c r="F360" s="187"/>
    </row>
    <row r="361" spans="1:6" x14ac:dyDescent="0.2">
      <c r="A361" s="275"/>
      <c r="B361" s="78"/>
      <c r="C361" s="189"/>
      <c r="D361" s="185"/>
      <c r="E361" s="186"/>
      <c r="F361" s="187"/>
    </row>
    <row r="362" spans="1:6" x14ac:dyDescent="0.2">
      <c r="A362" s="275"/>
      <c r="B362" s="78"/>
      <c r="C362" s="189"/>
      <c r="D362" s="185"/>
      <c r="E362" s="186"/>
      <c r="F362" s="187"/>
    </row>
    <row r="363" spans="1:6" x14ac:dyDescent="0.2">
      <c r="A363" s="275"/>
      <c r="B363" s="78"/>
      <c r="C363" s="189"/>
      <c r="D363" s="185"/>
      <c r="E363" s="186"/>
      <c r="F363" s="187"/>
    </row>
    <row r="364" spans="1:6" x14ac:dyDescent="0.2">
      <c r="A364" s="275"/>
      <c r="B364" s="78"/>
      <c r="C364" s="189"/>
      <c r="D364" s="185"/>
      <c r="E364" s="186"/>
      <c r="F364" s="187"/>
    </row>
    <row r="365" spans="1:6" x14ac:dyDescent="0.2">
      <c r="A365" s="275"/>
      <c r="B365" s="78"/>
      <c r="C365" s="189"/>
      <c r="D365" s="185"/>
      <c r="E365" s="186"/>
      <c r="F365" s="187"/>
    </row>
    <row r="366" spans="1:6" x14ac:dyDescent="0.2">
      <c r="A366" s="275"/>
      <c r="B366" s="78"/>
      <c r="C366" s="189"/>
      <c r="D366" s="185"/>
      <c r="E366" s="186"/>
      <c r="F366" s="187"/>
    </row>
    <row r="367" spans="1:6" x14ac:dyDescent="0.2">
      <c r="A367" s="275"/>
      <c r="B367" s="78"/>
      <c r="C367" s="189"/>
      <c r="D367" s="185"/>
      <c r="E367" s="186"/>
      <c r="F367" s="187"/>
    </row>
    <row r="368" spans="1:6" x14ac:dyDescent="0.2">
      <c r="A368" s="275"/>
      <c r="B368" s="78"/>
      <c r="C368" s="189"/>
      <c r="D368" s="185"/>
      <c r="E368" s="186"/>
      <c r="F368" s="187"/>
    </row>
    <row r="369" spans="1:6" x14ac:dyDescent="0.2">
      <c r="A369" s="275"/>
      <c r="B369" s="78"/>
      <c r="C369" s="189"/>
      <c r="D369" s="185"/>
      <c r="E369" s="186"/>
      <c r="F369" s="187"/>
    </row>
    <row r="370" spans="1:6" x14ac:dyDescent="0.2">
      <c r="A370" s="275"/>
      <c r="B370" s="78"/>
      <c r="C370" s="189"/>
      <c r="D370" s="185"/>
      <c r="E370" s="186"/>
      <c r="F370" s="187"/>
    </row>
    <row r="371" spans="1:6" x14ac:dyDescent="0.2">
      <c r="A371" s="275"/>
      <c r="B371" s="78"/>
      <c r="C371" s="189"/>
      <c r="D371" s="185"/>
      <c r="E371" s="186"/>
      <c r="F371" s="187"/>
    </row>
    <row r="372" spans="1:6" x14ac:dyDescent="0.2">
      <c r="A372" s="275"/>
      <c r="B372" s="78"/>
      <c r="C372" s="189"/>
      <c r="D372" s="185"/>
      <c r="E372" s="186"/>
      <c r="F372" s="187"/>
    </row>
    <row r="373" spans="1:6" x14ac:dyDescent="0.2">
      <c r="A373" s="275"/>
      <c r="B373" s="78"/>
      <c r="C373" s="189"/>
      <c r="D373" s="185"/>
      <c r="E373" s="186"/>
      <c r="F373" s="187"/>
    </row>
    <row r="374" spans="1:6" x14ac:dyDescent="0.2">
      <c r="A374" s="275"/>
      <c r="B374" s="78"/>
      <c r="C374" s="189"/>
      <c r="D374" s="185"/>
      <c r="E374" s="186"/>
      <c r="F374" s="187"/>
    </row>
    <row r="375" spans="1:6" x14ac:dyDescent="0.2">
      <c r="A375" s="275"/>
      <c r="B375" s="78"/>
      <c r="C375" s="189"/>
      <c r="D375" s="185"/>
      <c r="E375" s="186"/>
      <c r="F375" s="187"/>
    </row>
    <row r="376" spans="1:6" x14ac:dyDescent="0.2">
      <c r="A376" s="275"/>
      <c r="B376" s="78"/>
      <c r="C376" s="189"/>
      <c r="D376" s="185"/>
      <c r="E376" s="186"/>
      <c r="F376" s="187"/>
    </row>
    <row r="377" spans="1:6" x14ac:dyDescent="0.2">
      <c r="A377" s="275"/>
      <c r="B377" s="78"/>
      <c r="C377" s="189"/>
      <c r="D377" s="185"/>
      <c r="E377" s="186"/>
      <c r="F377" s="187"/>
    </row>
    <row r="378" spans="1:6" x14ac:dyDescent="0.2">
      <c r="A378" s="275"/>
      <c r="B378" s="78"/>
      <c r="C378" s="189"/>
      <c r="D378" s="185"/>
      <c r="E378" s="186"/>
      <c r="F378" s="187"/>
    </row>
    <row r="379" spans="1:6" x14ac:dyDescent="0.2">
      <c r="A379" s="275"/>
      <c r="B379" s="78"/>
      <c r="C379" s="189"/>
      <c r="D379" s="185"/>
      <c r="E379" s="186"/>
      <c r="F379" s="187"/>
    </row>
    <row r="380" spans="1:6" x14ac:dyDescent="0.2">
      <c r="A380" s="275"/>
      <c r="B380" s="78"/>
      <c r="C380" s="189"/>
      <c r="D380" s="185"/>
      <c r="E380" s="186"/>
      <c r="F380" s="187"/>
    </row>
    <row r="381" spans="1:6" x14ac:dyDescent="0.2">
      <c r="A381" s="275"/>
      <c r="B381" s="78"/>
      <c r="C381" s="189"/>
      <c r="D381" s="185"/>
      <c r="E381" s="186"/>
      <c r="F381" s="187"/>
    </row>
    <row r="382" spans="1:6" x14ac:dyDescent="0.2">
      <c r="A382" s="275"/>
      <c r="B382" s="78"/>
      <c r="C382" s="189"/>
      <c r="D382" s="185"/>
      <c r="E382" s="186"/>
      <c r="F382" s="187"/>
    </row>
    <row r="383" spans="1:6" x14ac:dyDescent="0.2">
      <c r="A383" s="275"/>
      <c r="B383" s="78"/>
      <c r="C383" s="189"/>
      <c r="D383" s="185"/>
      <c r="E383" s="186"/>
      <c r="F383" s="187"/>
    </row>
    <row r="384" spans="1:6" x14ac:dyDescent="0.2">
      <c r="A384" s="275"/>
      <c r="B384" s="78"/>
      <c r="C384" s="189"/>
      <c r="D384" s="185"/>
      <c r="E384" s="186"/>
      <c r="F384" s="187"/>
    </row>
    <row r="385" spans="1:6" x14ac:dyDescent="0.2">
      <c r="A385" s="275"/>
      <c r="B385" s="78"/>
      <c r="C385" s="189"/>
      <c r="D385" s="185"/>
      <c r="E385" s="186"/>
      <c r="F385" s="187"/>
    </row>
    <row r="386" spans="1:6" x14ac:dyDescent="0.2">
      <c r="A386" s="275"/>
      <c r="B386" s="78"/>
      <c r="C386" s="189"/>
      <c r="D386" s="185"/>
      <c r="E386" s="186"/>
      <c r="F386" s="187"/>
    </row>
    <row r="387" spans="1:6" x14ac:dyDescent="0.2">
      <c r="A387" s="275"/>
      <c r="B387" s="78"/>
      <c r="C387" s="189"/>
      <c r="D387" s="185"/>
      <c r="E387" s="186"/>
      <c r="F387" s="187"/>
    </row>
    <row r="388" spans="1:6" x14ac:dyDescent="0.2">
      <c r="A388" s="275"/>
      <c r="B388" s="78"/>
      <c r="C388" s="189"/>
      <c r="D388" s="185"/>
      <c r="E388" s="186"/>
      <c r="F388" s="187"/>
    </row>
    <row r="389" spans="1:6" x14ac:dyDescent="0.2">
      <c r="A389" s="275"/>
      <c r="B389" s="78"/>
      <c r="C389" s="189"/>
      <c r="D389" s="185"/>
      <c r="E389" s="186"/>
      <c r="F389" s="187"/>
    </row>
    <row r="390" spans="1:6" x14ac:dyDescent="0.2">
      <c r="A390" s="275"/>
      <c r="B390" s="78"/>
      <c r="C390" s="189"/>
      <c r="D390" s="185"/>
      <c r="E390" s="186"/>
      <c r="F390" s="187"/>
    </row>
    <row r="391" spans="1:6" x14ac:dyDescent="0.2">
      <c r="A391" s="275"/>
      <c r="B391" s="78"/>
      <c r="C391" s="189"/>
      <c r="D391" s="185"/>
      <c r="E391" s="186"/>
      <c r="F391" s="187"/>
    </row>
    <row r="392" spans="1:6" x14ac:dyDescent="0.2">
      <c r="A392" s="275"/>
      <c r="B392" s="78"/>
      <c r="C392" s="189"/>
      <c r="D392" s="185"/>
      <c r="E392" s="186"/>
      <c r="F392" s="187"/>
    </row>
    <row r="393" spans="1:6" x14ac:dyDescent="0.2">
      <c r="A393" s="275"/>
      <c r="B393" s="78"/>
      <c r="C393" s="189"/>
      <c r="D393" s="185"/>
      <c r="E393" s="186"/>
      <c r="F393" s="187"/>
    </row>
    <row r="394" spans="1:6" x14ac:dyDescent="0.2">
      <c r="A394" s="275"/>
      <c r="B394" s="78"/>
      <c r="C394" s="189"/>
      <c r="D394" s="185"/>
      <c r="E394" s="186"/>
      <c r="F394" s="187"/>
    </row>
    <row r="395" spans="1:6" x14ac:dyDescent="0.2">
      <c r="A395" s="275"/>
      <c r="B395" s="78"/>
      <c r="C395" s="189"/>
      <c r="D395" s="185"/>
      <c r="E395" s="186"/>
      <c r="F395" s="187"/>
    </row>
    <row r="396" spans="1:6" x14ac:dyDescent="0.2">
      <c r="A396" s="275"/>
      <c r="B396" s="78"/>
      <c r="C396" s="189"/>
      <c r="D396" s="185"/>
      <c r="E396" s="186"/>
      <c r="F396" s="187"/>
    </row>
    <row r="397" spans="1:6" x14ac:dyDescent="0.2">
      <c r="A397" s="275"/>
      <c r="B397" s="78"/>
      <c r="C397" s="189"/>
      <c r="D397" s="185"/>
      <c r="E397" s="186"/>
      <c r="F397" s="187"/>
    </row>
    <row r="398" spans="1:6" x14ac:dyDescent="0.2">
      <c r="A398" s="275"/>
      <c r="B398" s="78"/>
      <c r="C398" s="189"/>
      <c r="D398" s="185"/>
      <c r="E398" s="186"/>
      <c r="F398" s="187"/>
    </row>
    <row r="399" spans="1:6" x14ac:dyDescent="0.2">
      <c r="A399" s="275"/>
      <c r="B399" s="78"/>
      <c r="C399" s="189"/>
      <c r="D399" s="185"/>
      <c r="E399" s="186"/>
      <c r="F399" s="187"/>
    </row>
    <row r="400" spans="1:6" x14ac:dyDescent="0.2">
      <c r="A400" s="275"/>
      <c r="B400" s="78"/>
      <c r="C400" s="189"/>
      <c r="D400" s="185"/>
      <c r="E400" s="186"/>
      <c r="F400" s="187"/>
    </row>
    <row r="401" spans="1:6" x14ac:dyDescent="0.2">
      <c r="A401" s="275"/>
      <c r="B401" s="78"/>
      <c r="C401" s="189"/>
      <c r="D401" s="185"/>
      <c r="E401" s="186"/>
      <c r="F401" s="187"/>
    </row>
    <row r="402" spans="1:6" x14ac:dyDescent="0.2">
      <c r="A402" s="275"/>
      <c r="B402" s="78"/>
      <c r="C402" s="189"/>
      <c r="D402" s="185"/>
      <c r="E402" s="186"/>
      <c r="F402" s="187"/>
    </row>
    <row r="403" spans="1:6" x14ac:dyDescent="0.2">
      <c r="A403" s="275"/>
      <c r="B403" s="78"/>
      <c r="C403" s="189"/>
      <c r="D403" s="185"/>
      <c r="E403" s="186"/>
      <c r="F403" s="187"/>
    </row>
    <row r="404" spans="1:6" x14ac:dyDescent="0.2">
      <c r="A404" s="275"/>
      <c r="B404" s="78"/>
      <c r="C404" s="189"/>
      <c r="D404" s="185"/>
      <c r="E404" s="186"/>
      <c r="F404" s="187"/>
    </row>
    <row r="405" spans="1:6" x14ac:dyDescent="0.2">
      <c r="A405" s="275"/>
      <c r="B405" s="78"/>
      <c r="C405" s="189"/>
      <c r="D405" s="185"/>
      <c r="E405" s="186"/>
      <c r="F405" s="187"/>
    </row>
    <row r="406" spans="1:6" x14ac:dyDescent="0.2">
      <c r="A406" s="275"/>
      <c r="B406" s="78"/>
      <c r="C406" s="189"/>
      <c r="D406" s="185"/>
      <c r="E406" s="186"/>
      <c r="F406" s="187"/>
    </row>
    <row r="407" spans="1:6" x14ac:dyDescent="0.2">
      <c r="A407" s="275"/>
      <c r="B407" s="78"/>
      <c r="C407" s="189"/>
      <c r="D407" s="185"/>
      <c r="E407" s="186"/>
      <c r="F407" s="187"/>
    </row>
    <row r="408" spans="1:6" x14ac:dyDescent="0.2">
      <c r="A408" s="275"/>
      <c r="B408" s="78"/>
      <c r="C408" s="189"/>
      <c r="D408" s="185"/>
      <c r="E408" s="186"/>
      <c r="F408" s="187"/>
    </row>
    <row r="409" spans="1:6" x14ac:dyDescent="0.2">
      <c r="A409" s="275"/>
      <c r="B409" s="78"/>
      <c r="C409" s="189"/>
      <c r="D409" s="185"/>
      <c r="E409" s="186"/>
      <c r="F409" s="187"/>
    </row>
    <row r="410" spans="1:6" x14ac:dyDescent="0.2">
      <c r="A410" s="275"/>
      <c r="B410" s="78"/>
      <c r="C410" s="189"/>
      <c r="D410" s="185"/>
      <c r="E410" s="186"/>
      <c r="F410" s="187"/>
    </row>
    <row r="411" spans="1:6" x14ac:dyDescent="0.2">
      <c r="A411" s="275"/>
      <c r="B411" s="78"/>
      <c r="C411" s="189"/>
      <c r="D411" s="185"/>
      <c r="E411" s="186"/>
      <c r="F411" s="187"/>
    </row>
    <row r="412" spans="1:6" x14ac:dyDescent="0.2">
      <c r="A412" s="275"/>
      <c r="B412" s="78"/>
      <c r="C412" s="189"/>
      <c r="D412" s="185"/>
      <c r="E412" s="186"/>
      <c r="F412" s="187"/>
    </row>
    <row r="413" spans="1:6" x14ac:dyDescent="0.2">
      <c r="A413" s="275"/>
      <c r="B413" s="78"/>
      <c r="C413" s="189"/>
      <c r="D413" s="185"/>
      <c r="E413" s="186"/>
      <c r="F413" s="187"/>
    </row>
    <row r="414" spans="1:6" x14ac:dyDescent="0.2">
      <c r="A414" s="275"/>
      <c r="B414" s="78"/>
      <c r="C414" s="189"/>
      <c r="D414" s="185"/>
      <c r="E414" s="186"/>
      <c r="F414" s="187"/>
    </row>
    <row r="415" spans="1:6" x14ac:dyDescent="0.2">
      <c r="A415" s="275"/>
      <c r="B415" s="78"/>
      <c r="C415" s="189"/>
      <c r="D415" s="185"/>
      <c r="E415" s="186"/>
      <c r="F415" s="187"/>
    </row>
    <row r="416" spans="1:6" x14ac:dyDescent="0.2">
      <c r="A416" s="275"/>
      <c r="B416" s="78"/>
      <c r="C416" s="189"/>
      <c r="D416" s="185"/>
      <c r="E416" s="186"/>
      <c r="F416" s="187"/>
    </row>
    <row r="417" spans="1:6" x14ac:dyDescent="0.2">
      <c r="A417" s="275"/>
      <c r="B417" s="78"/>
      <c r="C417" s="189"/>
      <c r="D417" s="185"/>
      <c r="E417" s="186"/>
      <c r="F417" s="187"/>
    </row>
    <row r="418" spans="1:6" x14ac:dyDescent="0.2">
      <c r="A418" s="275"/>
      <c r="B418" s="78"/>
      <c r="C418" s="189"/>
      <c r="D418" s="185"/>
      <c r="E418" s="186"/>
      <c r="F418" s="187"/>
    </row>
    <row r="419" spans="1:6" x14ac:dyDescent="0.2">
      <c r="A419" s="275"/>
      <c r="B419" s="78"/>
      <c r="C419" s="189"/>
      <c r="D419" s="185"/>
      <c r="E419" s="186"/>
      <c r="F419" s="187"/>
    </row>
    <row r="420" spans="1:6" x14ac:dyDescent="0.2">
      <c r="A420" s="275"/>
      <c r="B420" s="78"/>
      <c r="C420" s="189"/>
      <c r="D420" s="185"/>
      <c r="E420" s="186"/>
      <c r="F420" s="187"/>
    </row>
    <row r="421" spans="1:6" x14ac:dyDescent="0.2">
      <c r="A421" s="275"/>
      <c r="B421" s="78"/>
      <c r="C421" s="189"/>
      <c r="D421" s="185"/>
      <c r="E421" s="186"/>
      <c r="F421" s="187"/>
    </row>
    <row r="422" spans="1:6" x14ac:dyDescent="0.2">
      <c r="A422" s="275"/>
      <c r="B422" s="78"/>
      <c r="C422" s="189"/>
      <c r="D422" s="185"/>
      <c r="E422" s="186"/>
      <c r="F422" s="187"/>
    </row>
    <row r="423" spans="1:6" x14ac:dyDescent="0.2">
      <c r="A423" s="275"/>
      <c r="B423" s="78"/>
      <c r="C423" s="189"/>
      <c r="D423" s="185"/>
      <c r="E423" s="186"/>
      <c r="F423" s="187"/>
    </row>
    <row r="424" spans="1:6" x14ac:dyDescent="0.2">
      <c r="A424" s="275"/>
      <c r="B424" s="78"/>
      <c r="C424" s="189"/>
      <c r="D424" s="185"/>
      <c r="E424" s="186"/>
      <c r="F424" s="187"/>
    </row>
    <row r="425" spans="1:6" x14ac:dyDescent="0.2">
      <c r="A425" s="275"/>
      <c r="B425" s="78"/>
      <c r="C425" s="189"/>
      <c r="D425" s="185"/>
      <c r="E425" s="186"/>
      <c r="F425" s="187"/>
    </row>
    <row r="426" spans="1:6" x14ac:dyDescent="0.2">
      <c r="A426" s="275"/>
      <c r="B426" s="78"/>
      <c r="C426" s="189"/>
      <c r="D426" s="185"/>
      <c r="E426" s="186"/>
      <c r="F426" s="187"/>
    </row>
    <row r="427" spans="1:6" x14ac:dyDescent="0.2">
      <c r="A427" s="275"/>
      <c r="B427" s="78"/>
      <c r="C427" s="189"/>
      <c r="D427" s="185"/>
      <c r="E427" s="186"/>
      <c r="F427" s="187"/>
    </row>
    <row r="428" spans="1:6" x14ac:dyDescent="0.2">
      <c r="A428" s="275"/>
      <c r="B428" s="78"/>
      <c r="C428" s="189"/>
      <c r="D428" s="185"/>
      <c r="E428" s="186"/>
      <c r="F428" s="187"/>
    </row>
    <row r="429" spans="1:6" x14ac:dyDescent="0.2">
      <c r="A429" s="275"/>
      <c r="B429" s="78"/>
      <c r="C429" s="189"/>
      <c r="D429" s="185"/>
      <c r="E429" s="186"/>
      <c r="F429" s="187"/>
    </row>
    <row r="430" spans="1:6" x14ac:dyDescent="0.2">
      <c r="A430" s="275"/>
      <c r="B430" s="78"/>
      <c r="C430" s="189"/>
      <c r="D430" s="185"/>
      <c r="E430" s="186"/>
      <c r="F430" s="187"/>
    </row>
    <row r="431" spans="1:6" x14ac:dyDescent="0.2">
      <c r="A431" s="275"/>
      <c r="B431" s="78"/>
      <c r="C431" s="189"/>
      <c r="D431" s="185"/>
      <c r="E431" s="186"/>
      <c r="F431" s="187"/>
    </row>
    <row r="432" spans="1:6" x14ac:dyDescent="0.2">
      <c r="A432" s="275"/>
      <c r="B432" s="78"/>
      <c r="C432" s="189"/>
      <c r="D432" s="185"/>
      <c r="E432" s="186"/>
      <c r="F432" s="187"/>
    </row>
    <row r="433" spans="1:6" x14ac:dyDescent="0.2">
      <c r="A433" s="275"/>
      <c r="B433" s="78"/>
      <c r="C433" s="189"/>
      <c r="D433" s="185"/>
      <c r="E433" s="186"/>
      <c r="F433" s="187"/>
    </row>
    <row r="434" spans="1:6" x14ac:dyDescent="0.2">
      <c r="A434" s="275"/>
      <c r="B434" s="78"/>
      <c r="C434" s="189"/>
      <c r="D434" s="185"/>
      <c r="E434" s="186"/>
      <c r="F434" s="187"/>
    </row>
    <row r="435" spans="1:6" x14ac:dyDescent="0.2">
      <c r="A435" s="275"/>
      <c r="B435" s="78"/>
      <c r="C435" s="189"/>
      <c r="D435" s="185"/>
      <c r="E435" s="186"/>
      <c r="F435" s="187"/>
    </row>
    <row r="436" spans="1:6" x14ac:dyDescent="0.2">
      <c r="A436" s="275"/>
      <c r="B436" s="78"/>
      <c r="C436" s="189"/>
      <c r="D436" s="185"/>
      <c r="E436" s="186"/>
      <c r="F436" s="187"/>
    </row>
    <row r="437" spans="1:6" x14ac:dyDescent="0.2">
      <c r="A437" s="275"/>
      <c r="B437" s="78"/>
      <c r="C437" s="189"/>
      <c r="D437" s="185"/>
      <c r="E437" s="186"/>
      <c r="F437" s="187"/>
    </row>
    <row r="438" spans="1:6" x14ac:dyDescent="0.2">
      <c r="A438" s="275"/>
      <c r="B438" s="78"/>
      <c r="C438" s="189"/>
      <c r="D438" s="185"/>
      <c r="E438" s="186"/>
      <c r="F438" s="187"/>
    </row>
    <row r="439" spans="1:6" x14ac:dyDescent="0.2">
      <c r="A439" s="275"/>
      <c r="B439" s="78"/>
      <c r="C439" s="189"/>
      <c r="D439" s="185"/>
      <c r="E439" s="186"/>
      <c r="F439" s="187"/>
    </row>
    <row r="440" spans="1:6" x14ac:dyDescent="0.2">
      <c r="A440" s="275"/>
      <c r="B440" s="78"/>
      <c r="C440" s="189"/>
      <c r="D440" s="185"/>
      <c r="E440" s="186"/>
      <c r="F440" s="187"/>
    </row>
    <row r="441" spans="1:6" x14ac:dyDescent="0.2">
      <c r="A441" s="275"/>
      <c r="B441" s="78"/>
      <c r="C441" s="189"/>
      <c r="D441" s="185"/>
      <c r="E441" s="186"/>
      <c r="F441" s="187"/>
    </row>
    <row r="442" spans="1:6" x14ac:dyDescent="0.2">
      <c r="A442" s="275"/>
      <c r="B442" s="78"/>
      <c r="C442" s="189"/>
      <c r="D442" s="185"/>
      <c r="E442" s="186"/>
      <c r="F442" s="187"/>
    </row>
    <row r="443" spans="1:6" x14ac:dyDescent="0.2">
      <c r="A443" s="275"/>
      <c r="B443" s="78"/>
      <c r="C443" s="189"/>
      <c r="D443" s="185"/>
      <c r="E443" s="186"/>
      <c r="F443" s="187"/>
    </row>
    <row r="444" spans="1:6" x14ac:dyDescent="0.2">
      <c r="A444" s="275"/>
      <c r="B444" s="78"/>
      <c r="C444" s="189"/>
      <c r="D444" s="185"/>
      <c r="E444" s="186"/>
      <c r="F444" s="187"/>
    </row>
    <row r="445" spans="1:6" x14ac:dyDescent="0.2">
      <c r="A445" s="275"/>
      <c r="B445" s="78"/>
      <c r="C445" s="189"/>
      <c r="D445" s="185"/>
      <c r="E445" s="186"/>
      <c r="F445" s="187"/>
    </row>
    <row r="446" spans="1:6" x14ac:dyDescent="0.2">
      <c r="A446" s="275"/>
      <c r="B446" s="78"/>
      <c r="C446" s="189"/>
      <c r="D446" s="185"/>
      <c r="E446" s="186"/>
      <c r="F446" s="187"/>
    </row>
    <row r="447" spans="1:6" x14ac:dyDescent="0.2">
      <c r="A447" s="275"/>
      <c r="B447" s="78"/>
      <c r="C447" s="189"/>
      <c r="D447" s="185"/>
      <c r="E447" s="186"/>
      <c r="F447" s="187"/>
    </row>
    <row r="448" spans="1:6" x14ac:dyDescent="0.2">
      <c r="A448" s="275"/>
      <c r="B448" s="78"/>
      <c r="C448" s="189"/>
      <c r="D448" s="185"/>
      <c r="E448" s="186"/>
      <c r="F448" s="187"/>
    </row>
    <row r="449" spans="1:6" x14ac:dyDescent="0.2">
      <c r="A449" s="275"/>
      <c r="B449" s="78"/>
      <c r="C449" s="189"/>
      <c r="D449" s="185"/>
      <c r="E449" s="186"/>
      <c r="F449" s="187"/>
    </row>
    <row r="450" spans="1:6" x14ac:dyDescent="0.2">
      <c r="A450" s="275"/>
      <c r="B450" s="78"/>
      <c r="C450" s="189"/>
      <c r="D450" s="185"/>
      <c r="E450" s="186"/>
      <c r="F450" s="187"/>
    </row>
    <row r="451" spans="1:6" x14ac:dyDescent="0.2">
      <c r="A451" s="275"/>
      <c r="B451" s="78"/>
      <c r="C451" s="189"/>
      <c r="D451" s="185"/>
      <c r="E451" s="186"/>
      <c r="F451" s="187"/>
    </row>
    <row r="452" spans="1:6" x14ac:dyDescent="0.2">
      <c r="A452" s="275"/>
      <c r="B452" s="78"/>
      <c r="C452" s="189"/>
      <c r="D452" s="185"/>
      <c r="E452" s="186"/>
      <c r="F452" s="187"/>
    </row>
    <row r="453" spans="1:6" x14ac:dyDescent="0.2">
      <c r="A453" s="275"/>
      <c r="B453" s="78"/>
      <c r="C453" s="189"/>
      <c r="D453" s="185"/>
      <c r="E453" s="186"/>
      <c r="F453" s="187"/>
    </row>
    <row r="454" spans="1:6" x14ac:dyDescent="0.2">
      <c r="A454" s="275"/>
      <c r="B454" s="78"/>
      <c r="C454" s="189"/>
      <c r="D454" s="185"/>
      <c r="E454" s="186"/>
      <c r="F454" s="187"/>
    </row>
    <row r="455" spans="1:6" x14ac:dyDescent="0.2">
      <c r="A455" s="275"/>
      <c r="B455" s="78"/>
      <c r="C455" s="189"/>
      <c r="D455" s="185"/>
      <c r="E455" s="186"/>
      <c r="F455" s="187"/>
    </row>
    <row r="456" spans="1:6" x14ac:dyDescent="0.2">
      <c r="A456" s="275"/>
      <c r="B456" s="78"/>
      <c r="C456" s="189"/>
      <c r="D456" s="185"/>
      <c r="E456" s="186"/>
      <c r="F456" s="187"/>
    </row>
    <row r="457" spans="1:6" x14ac:dyDescent="0.2">
      <c r="A457" s="275"/>
      <c r="B457" s="78"/>
      <c r="C457" s="189"/>
      <c r="D457" s="185"/>
      <c r="E457" s="186"/>
      <c r="F457" s="187"/>
    </row>
    <row r="458" spans="1:6" x14ac:dyDescent="0.2">
      <c r="A458" s="275"/>
      <c r="B458" s="78"/>
      <c r="C458" s="189"/>
      <c r="D458" s="185"/>
      <c r="E458" s="186"/>
      <c r="F458" s="187"/>
    </row>
    <row r="459" spans="1:6" x14ac:dyDescent="0.2">
      <c r="A459" s="275"/>
      <c r="B459" s="78"/>
      <c r="C459" s="189"/>
      <c r="D459" s="185"/>
      <c r="E459" s="186"/>
      <c r="F459" s="187"/>
    </row>
    <row r="460" spans="1:6" x14ac:dyDescent="0.2">
      <c r="A460" s="275"/>
      <c r="B460" s="78"/>
      <c r="C460" s="189"/>
      <c r="D460" s="185"/>
      <c r="E460" s="186"/>
      <c r="F460" s="187"/>
    </row>
    <row r="461" spans="1:6" x14ac:dyDescent="0.2">
      <c r="A461" s="275"/>
      <c r="B461" s="78"/>
      <c r="C461" s="189"/>
      <c r="D461" s="185"/>
      <c r="E461" s="186"/>
      <c r="F461" s="187"/>
    </row>
    <row r="462" spans="1:6" x14ac:dyDescent="0.2">
      <c r="A462" s="275"/>
      <c r="B462" s="78"/>
      <c r="C462" s="189"/>
      <c r="D462" s="185"/>
      <c r="E462" s="186"/>
      <c r="F462" s="187"/>
    </row>
    <row r="463" spans="1:6" x14ac:dyDescent="0.2">
      <c r="A463" s="275"/>
      <c r="B463" s="78"/>
      <c r="C463" s="189"/>
      <c r="D463" s="185"/>
      <c r="E463" s="186"/>
      <c r="F463" s="187"/>
    </row>
    <row r="464" spans="1:6" x14ac:dyDescent="0.2">
      <c r="A464" s="275"/>
      <c r="B464" s="78"/>
      <c r="C464" s="189"/>
      <c r="D464" s="185"/>
      <c r="E464" s="186"/>
      <c r="F464" s="187"/>
    </row>
    <row r="465" spans="1:6" x14ac:dyDescent="0.2">
      <c r="A465" s="275"/>
      <c r="B465" s="78"/>
      <c r="C465" s="189"/>
      <c r="D465" s="185"/>
      <c r="E465" s="186"/>
      <c r="F465" s="187"/>
    </row>
    <row r="466" spans="1:6" x14ac:dyDescent="0.2">
      <c r="A466" s="275"/>
      <c r="B466" s="78"/>
      <c r="C466" s="189"/>
      <c r="D466" s="185"/>
      <c r="E466" s="186"/>
      <c r="F466" s="187"/>
    </row>
    <row r="467" spans="1:6" x14ac:dyDescent="0.2">
      <c r="A467" s="275"/>
      <c r="B467" s="78"/>
      <c r="C467" s="189"/>
      <c r="D467" s="185"/>
      <c r="E467" s="186"/>
      <c r="F467" s="187"/>
    </row>
    <row r="468" spans="1:6" x14ac:dyDescent="0.2">
      <c r="A468" s="275"/>
      <c r="B468" s="78"/>
      <c r="C468" s="189"/>
      <c r="D468" s="185"/>
      <c r="E468" s="186"/>
      <c r="F468" s="187"/>
    </row>
    <row r="469" spans="1:6" x14ac:dyDescent="0.2">
      <c r="A469" s="275"/>
      <c r="B469" s="78"/>
      <c r="C469" s="189"/>
      <c r="D469" s="185"/>
      <c r="E469" s="186"/>
      <c r="F469" s="187"/>
    </row>
    <row r="470" spans="1:6" x14ac:dyDescent="0.2">
      <c r="A470" s="275"/>
      <c r="B470" s="78"/>
      <c r="C470" s="189"/>
      <c r="D470" s="185"/>
      <c r="E470" s="186"/>
      <c r="F470" s="187"/>
    </row>
    <row r="471" spans="1:6" x14ac:dyDescent="0.2">
      <c r="A471" s="275"/>
      <c r="B471" s="78"/>
      <c r="C471" s="189"/>
      <c r="D471" s="185"/>
      <c r="E471" s="186"/>
      <c r="F471" s="187"/>
    </row>
    <row r="472" spans="1:6" x14ac:dyDescent="0.2">
      <c r="A472" s="275"/>
      <c r="B472" s="78"/>
      <c r="C472" s="189"/>
      <c r="D472" s="185"/>
      <c r="E472" s="186"/>
      <c r="F472" s="187"/>
    </row>
    <row r="473" spans="1:6" x14ac:dyDescent="0.2">
      <c r="A473" s="275"/>
      <c r="B473" s="78"/>
      <c r="C473" s="189"/>
      <c r="D473" s="185"/>
      <c r="E473" s="186"/>
      <c r="F473" s="187"/>
    </row>
    <row r="474" spans="1:6" x14ac:dyDescent="0.2">
      <c r="A474" s="275"/>
      <c r="B474" s="78"/>
      <c r="C474" s="189"/>
      <c r="D474" s="185"/>
      <c r="E474" s="186"/>
      <c r="F474" s="187"/>
    </row>
    <row r="475" spans="1:6" x14ac:dyDescent="0.2">
      <c r="A475" s="275"/>
      <c r="B475" s="78"/>
      <c r="C475" s="189"/>
      <c r="D475" s="185"/>
      <c r="E475" s="186"/>
      <c r="F475" s="187"/>
    </row>
    <row r="476" spans="1:6" x14ac:dyDescent="0.2">
      <c r="A476" s="275"/>
      <c r="B476" s="78"/>
      <c r="C476" s="189"/>
      <c r="D476" s="185"/>
      <c r="E476" s="186"/>
      <c r="F476" s="187"/>
    </row>
    <row r="477" spans="1:6" x14ac:dyDescent="0.2">
      <c r="A477" s="275"/>
      <c r="B477" s="78"/>
      <c r="C477" s="189"/>
      <c r="D477" s="185"/>
      <c r="E477" s="186"/>
      <c r="F477" s="187"/>
    </row>
    <row r="478" spans="1:6" x14ac:dyDescent="0.2">
      <c r="A478" s="275"/>
      <c r="B478" s="78"/>
      <c r="C478" s="189"/>
      <c r="D478" s="185"/>
      <c r="E478" s="186"/>
      <c r="F478" s="187"/>
    </row>
    <row r="479" spans="1:6" x14ac:dyDescent="0.2">
      <c r="A479" s="275"/>
      <c r="B479" s="78"/>
      <c r="C479" s="189"/>
      <c r="D479" s="185"/>
      <c r="E479" s="186"/>
      <c r="F479" s="187"/>
    </row>
    <row r="480" spans="1:6" x14ac:dyDescent="0.2">
      <c r="A480" s="275"/>
      <c r="B480" s="78"/>
      <c r="C480" s="189"/>
      <c r="D480" s="185"/>
      <c r="E480" s="186"/>
      <c r="F480" s="187"/>
    </row>
    <row r="481" spans="1:6" x14ac:dyDescent="0.2">
      <c r="A481" s="275"/>
      <c r="B481" s="78"/>
      <c r="C481" s="189"/>
      <c r="D481" s="185"/>
      <c r="E481" s="186"/>
      <c r="F481" s="187"/>
    </row>
    <row r="482" spans="1:6" x14ac:dyDescent="0.2">
      <c r="A482" s="275"/>
      <c r="B482" s="78"/>
      <c r="C482" s="189"/>
      <c r="D482" s="185"/>
      <c r="E482" s="186"/>
      <c r="F482" s="187"/>
    </row>
    <row r="483" spans="1:6" x14ac:dyDescent="0.2">
      <c r="A483" s="275"/>
      <c r="B483" s="78"/>
      <c r="C483" s="189"/>
      <c r="D483" s="185"/>
      <c r="E483" s="186"/>
      <c r="F483" s="187"/>
    </row>
    <row r="484" spans="1:6" x14ac:dyDescent="0.2">
      <c r="A484" s="275"/>
      <c r="B484" s="78"/>
      <c r="C484" s="189"/>
      <c r="D484" s="185"/>
      <c r="E484" s="186"/>
      <c r="F484" s="187"/>
    </row>
    <row r="485" spans="1:6" x14ac:dyDescent="0.2">
      <c r="A485" s="275"/>
      <c r="B485" s="78"/>
      <c r="C485" s="189"/>
      <c r="D485" s="185"/>
      <c r="E485" s="186"/>
      <c r="F485" s="187"/>
    </row>
    <row r="486" spans="1:6" x14ac:dyDescent="0.2">
      <c r="A486" s="275"/>
      <c r="B486" s="78"/>
      <c r="C486" s="189"/>
      <c r="D486" s="185"/>
      <c r="E486" s="186"/>
      <c r="F486" s="187"/>
    </row>
    <row r="487" spans="1:6" x14ac:dyDescent="0.2">
      <c r="A487" s="275"/>
      <c r="B487" s="78"/>
      <c r="C487" s="189"/>
      <c r="D487" s="185"/>
      <c r="E487" s="186"/>
      <c r="F487" s="187"/>
    </row>
    <row r="488" spans="1:6" x14ac:dyDescent="0.2">
      <c r="A488" s="275"/>
      <c r="B488" s="78"/>
      <c r="C488" s="189"/>
      <c r="D488" s="185"/>
      <c r="E488" s="186"/>
      <c r="F488" s="187"/>
    </row>
    <row r="489" spans="1:6" x14ac:dyDescent="0.2">
      <c r="A489" s="275"/>
      <c r="B489" s="78"/>
      <c r="C489" s="189"/>
      <c r="D489" s="185"/>
      <c r="E489" s="186"/>
      <c r="F489" s="187"/>
    </row>
    <row r="490" spans="1:6" x14ac:dyDescent="0.2">
      <c r="A490" s="275"/>
      <c r="B490" s="78"/>
      <c r="C490" s="189"/>
      <c r="D490" s="185"/>
      <c r="E490" s="186"/>
      <c r="F490" s="187"/>
    </row>
    <row r="491" spans="1:6" x14ac:dyDescent="0.2">
      <c r="A491" s="275"/>
      <c r="B491" s="78"/>
      <c r="C491" s="189"/>
      <c r="D491" s="185"/>
      <c r="E491" s="186"/>
      <c r="F491" s="187"/>
    </row>
    <row r="492" spans="1:6" x14ac:dyDescent="0.2">
      <c r="A492" s="275"/>
      <c r="B492" s="78"/>
      <c r="C492" s="189"/>
      <c r="D492" s="185"/>
      <c r="E492" s="186"/>
      <c r="F492" s="187"/>
    </row>
    <row r="493" spans="1:6" x14ac:dyDescent="0.2">
      <c r="A493" s="275"/>
      <c r="B493" s="78"/>
      <c r="C493" s="189"/>
      <c r="D493" s="185"/>
      <c r="E493" s="186"/>
      <c r="F493" s="187"/>
    </row>
    <row r="494" spans="1:6" x14ac:dyDescent="0.2">
      <c r="A494" s="275"/>
      <c r="B494" s="78"/>
      <c r="C494" s="189"/>
      <c r="D494" s="185"/>
      <c r="E494" s="186"/>
      <c r="F494" s="187"/>
    </row>
    <row r="495" spans="1:6" x14ac:dyDescent="0.2">
      <c r="A495" s="275"/>
      <c r="B495" s="78"/>
      <c r="C495" s="189"/>
      <c r="D495" s="185"/>
      <c r="E495" s="186"/>
      <c r="F495" s="187"/>
    </row>
    <row r="496" spans="1:6" x14ac:dyDescent="0.2">
      <c r="A496" s="275"/>
      <c r="B496" s="78"/>
      <c r="C496" s="189"/>
      <c r="D496" s="185"/>
      <c r="E496" s="186"/>
      <c r="F496" s="187"/>
    </row>
    <row r="497" spans="1:6" x14ac:dyDescent="0.2">
      <c r="A497" s="275"/>
      <c r="B497" s="78"/>
      <c r="C497" s="189"/>
      <c r="D497" s="185"/>
      <c r="E497" s="186"/>
      <c r="F497" s="187"/>
    </row>
    <row r="498" spans="1:6" x14ac:dyDescent="0.2">
      <c r="A498" s="275"/>
      <c r="B498" s="78"/>
      <c r="C498" s="189"/>
      <c r="D498" s="185"/>
      <c r="E498" s="186"/>
      <c r="F498" s="187"/>
    </row>
    <row r="499" spans="1:6" x14ac:dyDescent="0.2">
      <c r="A499" s="275"/>
      <c r="B499" s="78"/>
      <c r="C499" s="189"/>
      <c r="D499" s="185"/>
      <c r="E499" s="186"/>
      <c r="F499" s="187"/>
    </row>
    <row r="500" spans="1:6" x14ac:dyDescent="0.2">
      <c r="A500" s="275"/>
      <c r="B500" s="78"/>
      <c r="C500" s="189"/>
      <c r="D500" s="185"/>
      <c r="E500" s="186"/>
      <c r="F500" s="187"/>
    </row>
    <row r="501" spans="1:6" x14ac:dyDescent="0.2">
      <c r="A501" s="275"/>
      <c r="B501" s="78"/>
      <c r="C501" s="189"/>
      <c r="D501" s="185"/>
      <c r="E501" s="186"/>
      <c r="F501" s="187"/>
    </row>
    <row r="502" spans="1:6" x14ac:dyDescent="0.2">
      <c r="A502" s="275"/>
      <c r="B502" s="78"/>
      <c r="C502" s="189"/>
      <c r="D502" s="185"/>
      <c r="E502" s="186"/>
      <c r="F502" s="187"/>
    </row>
    <row r="503" spans="1:6" x14ac:dyDescent="0.2">
      <c r="A503" s="275"/>
      <c r="B503" s="78"/>
      <c r="C503" s="189"/>
      <c r="D503" s="185"/>
      <c r="E503" s="186"/>
      <c r="F503" s="187"/>
    </row>
    <row r="504" spans="1:6" x14ac:dyDescent="0.2">
      <c r="A504" s="275"/>
      <c r="B504" s="78"/>
      <c r="C504" s="189"/>
      <c r="D504" s="185"/>
      <c r="E504" s="186"/>
      <c r="F504" s="187"/>
    </row>
    <row r="505" spans="1:6" x14ac:dyDescent="0.2">
      <c r="A505" s="275"/>
      <c r="B505" s="78"/>
      <c r="C505" s="189"/>
      <c r="D505" s="185"/>
      <c r="E505" s="186"/>
      <c r="F505" s="187"/>
    </row>
    <row r="506" spans="1:6" x14ac:dyDescent="0.2">
      <c r="A506" s="275"/>
      <c r="B506" s="78"/>
      <c r="C506" s="189"/>
      <c r="D506" s="185"/>
      <c r="E506" s="186"/>
      <c r="F506" s="187"/>
    </row>
    <row r="507" spans="1:6" x14ac:dyDescent="0.2">
      <c r="A507" s="275"/>
      <c r="B507" s="78"/>
      <c r="C507" s="189"/>
      <c r="D507" s="185"/>
      <c r="E507" s="186"/>
      <c r="F507" s="187"/>
    </row>
    <row r="508" spans="1:6" x14ac:dyDescent="0.2">
      <c r="A508" s="275"/>
      <c r="B508" s="78"/>
      <c r="C508" s="189"/>
      <c r="D508" s="185"/>
      <c r="E508" s="186"/>
      <c r="F508" s="187"/>
    </row>
    <row r="509" spans="1:6" x14ac:dyDescent="0.2">
      <c r="A509" s="275"/>
      <c r="B509" s="78"/>
      <c r="C509" s="189"/>
      <c r="D509" s="185"/>
      <c r="E509" s="186"/>
      <c r="F509" s="187"/>
    </row>
    <row r="510" spans="1:6" x14ac:dyDescent="0.2">
      <c r="A510" s="275"/>
      <c r="B510" s="78"/>
      <c r="C510" s="189"/>
      <c r="D510" s="185"/>
      <c r="E510" s="186"/>
      <c r="F510" s="187"/>
    </row>
    <row r="511" spans="1:6" x14ac:dyDescent="0.2">
      <c r="A511" s="275"/>
      <c r="B511" s="78"/>
      <c r="C511" s="189"/>
      <c r="D511" s="185"/>
      <c r="E511" s="186"/>
      <c r="F511" s="187"/>
    </row>
    <row r="512" spans="1:6" x14ac:dyDescent="0.2">
      <c r="A512" s="275"/>
      <c r="B512" s="78"/>
      <c r="C512" s="189"/>
      <c r="D512" s="185"/>
      <c r="E512" s="186"/>
      <c r="F512" s="187"/>
    </row>
    <row r="513" spans="1:6" x14ac:dyDescent="0.2">
      <c r="A513" s="275"/>
      <c r="B513" s="78"/>
      <c r="C513" s="189"/>
      <c r="D513" s="185"/>
      <c r="E513" s="186"/>
      <c r="F513" s="187"/>
    </row>
    <row r="514" spans="1:6" x14ac:dyDescent="0.2">
      <c r="A514" s="275"/>
      <c r="B514" s="78"/>
      <c r="C514" s="189"/>
      <c r="D514" s="185"/>
      <c r="E514" s="186"/>
      <c r="F514" s="187"/>
    </row>
    <row r="515" spans="1:6" x14ac:dyDescent="0.2">
      <c r="A515" s="275"/>
      <c r="B515" s="78"/>
      <c r="C515" s="189"/>
      <c r="D515" s="185"/>
      <c r="E515" s="186"/>
      <c r="F515" s="187"/>
    </row>
    <row r="516" spans="1:6" x14ac:dyDescent="0.2">
      <c r="A516" s="275"/>
      <c r="B516" s="78"/>
      <c r="C516" s="189"/>
      <c r="D516" s="185"/>
      <c r="E516" s="186"/>
      <c r="F516" s="187"/>
    </row>
    <row r="517" spans="1:6" x14ac:dyDescent="0.2">
      <c r="A517" s="275"/>
      <c r="B517" s="78"/>
      <c r="C517" s="189"/>
      <c r="D517" s="185"/>
      <c r="E517" s="186"/>
      <c r="F517" s="187"/>
    </row>
    <row r="518" spans="1:6" x14ac:dyDescent="0.2">
      <c r="A518" s="275"/>
      <c r="B518" s="78"/>
      <c r="C518" s="189"/>
      <c r="D518" s="185"/>
      <c r="E518" s="186"/>
      <c r="F518" s="187"/>
    </row>
    <row r="519" spans="1:6" x14ac:dyDescent="0.2">
      <c r="A519" s="275"/>
      <c r="B519" s="78"/>
      <c r="C519" s="189"/>
      <c r="D519" s="185"/>
      <c r="E519" s="186"/>
      <c r="F519" s="187"/>
    </row>
    <row r="520" spans="1:6" x14ac:dyDescent="0.2">
      <c r="A520" s="275"/>
      <c r="B520" s="78"/>
      <c r="C520" s="189"/>
      <c r="D520" s="185"/>
      <c r="E520" s="186"/>
      <c r="F520" s="187"/>
    </row>
    <row r="521" spans="1:6" x14ac:dyDescent="0.2">
      <c r="A521" s="275"/>
      <c r="B521" s="78"/>
      <c r="C521" s="189"/>
      <c r="D521" s="185"/>
      <c r="E521" s="186"/>
      <c r="F521" s="187"/>
    </row>
    <row r="522" spans="1:6" x14ac:dyDescent="0.2">
      <c r="A522" s="275"/>
      <c r="B522" s="78"/>
      <c r="C522" s="189"/>
      <c r="D522" s="185"/>
      <c r="E522" s="186"/>
      <c r="F522" s="187"/>
    </row>
    <row r="523" spans="1:6" x14ac:dyDescent="0.2">
      <c r="A523" s="275"/>
      <c r="B523" s="78"/>
      <c r="C523" s="189"/>
      <c r="D523" s="185"/>
      <c r="E523" s="186"/>
      <c r="F523" s="187"/>
    </row>
    <row r="524" spans="1:6" x14ac:dyDescent="0.2">
      <c r="A524" s="275"/>
      <c r="B524" s="78"/>
      <c r="C524" s="189"/>
      <c r="D524" s="185"/>
      <c r="E524" s="186"/>
      <c r="F524" s="187"/>
    </row>
    <row r="525" spans="1:6" x14ac:dyDescent="0.2">
      <c r="A525" s="275"/>
      <c r="B525" s="78"/>
      <c r="C525" s="189"/>
      <c r="D525" s="185"/>
      <c r="E525" s="186"/>
      <c r="F525" s="187"/>
    </row>
    <row r="526" spans="1:6" x14ac:dyDescent="0.2">
      <c r="A526" s="275"/>
      <c r="B526" s="78"/>
      <c r="C526" s="189"/>
      <c r="D526" s="185"/>
      <c r="E526" s="186"/>
      <c r="F526" s="187"/>
    </row>
    <row r="527" spans="1:6" x14ac:dyDescent="0.2">
      <c r="A527" s="275"/>
      <c r="B527" s="78"/>
      <c r="C527" s="189"/>
      <c r="D527" s="185"/>
      <c r="E527" s="186"/>
      <c r="F527" s="187"/>
    </row>
    <row r="528" spans="1:6" x14ac:dyDescent="0.2">
      <c r="A528" s="275"/>
      <c r="B528" s="78"/>
      <c r="C528" s="189"/>
      <c r="D528" s="185"/>
      <c r="E528" s="186"/>
      <c r="F528" s="187"/>
    </row>
    <row r="529" spans="1:6" x14ac:dyDescent="0.2">
      <c r="A529" s="275"/>
      <c r="B529" s="78"/>
      <c r="C529" s="189"/>
      <c r="D529" s="185"/>
      <c r="E529" s="186"/>
      <c r="F529" s="187"/>
    </row>
    <row r="530" spans="1:6" x14ac:dyDescent="0.2">
      <c r="A530" s="275"/>
      <c r="B530" s="78"/>
      <c r="C530" s="189"/>
      <c r="D530" s="185"/>
      <c r="E530" s="186"/>
      <c r="F530" s="187"/>
    </row>
    <row r="531" spans="1:6" x14ac:dyDescent="0.2">
      <c r="A531" s="275"/>
      <c r="B531" s="78"/>
      <c r="C531" s="189"/>
      <c r="D531" s="185"/>
      <c r="E531" s="186"/>
      <c r="F531" s="187"/>
    </row>
    <row r="532" spans="1:6" x14ac:dyDescent="0.2">
      <c r="A532" s="275"/>
      <c r="B532" s="78"/>
      <c r="C532" s="189"/>
      <c r="D532" s="185"/>
      <c r="E532" s="186"/>
      <c r="F532" s="187"/>
    </row>
    <row r="533" spans="1:6" x14ac:dyDescent="0.2">
      <c r="A533" s="275"/>
      <c r="B533" s="78"/>
      <c r="C533" s="189"/>
      <c r="D533" s="185"/>
      <c r="E533" s="186"/>
      <c r="F533" s="187"/>
    </row>
    <row r="534" spans="1:6" x14ac:dyDescent="0.2">
      <c r="A534" s="275"/>
      <c r="B534" s="78"/>
      <c r="C534" s="189"/>
      <c r="D534" s="185"/>
      <c r="E534" s="186"/>
      <c r="F534" s="187"/>
    </row>
    <row r="535" spans="1:6" x14ac:dyDescent="0.2">
      <c r="A535" s="275"/>
      <c r="B535" s="78"/>
      <c r="C535" s="189"/>
      <c r="D535" s="185"/>
      <c r="E535" s="186"/>
      <c r="F535" s="187"/>
    </row>
    <row r="536" spans="1:6" x14ac:dyDescent="0.2">
      <c r="A536" s="275"/>
      <c r="B536" s="78"/>
      <c r="C536" s="189"/>
      <c r="D536" s="185"/>
      <c r="E536" s="186"/>
      <c r="F536" s="187"/>
    </row>
    <row r="537" spans="1:6" x14ac:dyDescent="0.2">
      <c r="A537" s="275"/>
      <c r="B537" s="78"/>
      <c r="C537" s="189"/>
      <c r="D537" s="185"/>
      <c r="E537" s="186"/>
      <c r="F537" s="187"/>
    </row>
    <row r="538" spans="1:6" x14ac:dyDescent="0.2">
      <c r="A538" s="275"/>
      <c r="B538" s="78"/>
      <c r="C538" s="189"/>
      <c r="D538" s="185"/>
      <c r="E538" s="186"/>
      <c r="F538" s="187"/>
    </row>
    <row r="539" spans="1:6" x14ac:dyDescent="0.2">
      <c r="A539" s="275"/>
      <c r="B539" s="78"/>
      <c r="C539" s="189"/>
      <c r="D539" s="185"/>
      <c r="E539" s="186"/>
      <c r="F539" s="187"/>
    </row>
    <row r="540" spans="1:6" x14ac:dyDescent="0.2">
      <c r="A540" s="275"/>
      <c r="B540" s="78"/>
      <c r="C540" s="189"/>
      <c r="D540" s="185"/>
      <c r="E540" s="186"/>
      <c r="F540" s="187"/>
    </row>
    <row r="541" spans="1:6" x14ac:dyDescent="0.2">
      <c r="A541" s="275"/>
      <c r="B541" s="78"/>
      <c r="C541" s="189"/>
      <c r="D541" s="185"/>
      <c r="E541" s="186"/>
      <c r="F541" s="187"/>
    </row>
    <row r="542" spans="1:6" x14ac:dyDescent="0.2">
      <c r="A542" s="275"/>
      <c r="B542" s="78"/>
      <c r="C542" s="189"/>
      <c r="D542" s="185"/>
      <c r="E542" s="186"/>
      <c r="F542" s="187"/>
    </row>
    <row r="543" spans="1:6" x14ac:dyDescent="0.2">
      <c r="A543" s="275"/>
      <c r="B543" s="78"/>
      <c r="C543" s="189"/>
      <c r="D543" s="185"/>
      <c r="E543" s="186"/>
      <c r="F543" s="187"/>
    </row>
    <row r="544" spans="1:6" x14ac:dyDescent="0.2">
      <c r="A544" s="275"/>
      <c r="B544" s="78"/>
      <c r="C544" s="189"/>
      <c r="D544" s="185"/>
      <c r="E544" s="186"/>
      <c r="F544" s="187"/>
    </row>
    <row r="545" spans="1:6" x14ac:dyDescent="0.2">
      <c r="A545" s="275"/>
      <c r="B545" s="78"/>
      <c r="C545" s="189"/>
      <c r="D545" s="185"/>
      <c r="E545" s="186"/>
      <c r="F545" s="187"/>
    </row>
    <row r="546" spans="1:6" x14ac:dyDescent="0.2">
      <c r="A546" s="275"/>
      <c r="B546" s="78"/>
      <c r="C546" s="189"/>
      <c r="D546" s="185"/>
      <c r="E546" s="186"/>
      <c r="F546" s="187"/>
    </row>
    <row r="547" spans="1:6" x14ac:dyDescent="0.2">
      <c r="A547" s="275"/>
      <c r="B547" s="78"/>
      <c r="C547" s="189"/>
      <c r="D547" s="185"/>
      <c r="E547" s="186"/>
      <c r="F547" s="187"/>
    </row>
    <row r="548" spans="1:6" x14ac:dyDescent="0.2">
      <c r="A548" s="275"/>
      <c r="B548" s="78"/>
      <c r="C548" s="189"/>
      <c r="D548" s="185"/>
      <c r="E548" s="186"/>
      <c r="F548" s="187"/>
    </row>
    <row r="549" spans="1:6" x14ac:dyDescent="0.2">
      <c r="A549" s="275"/>
      <c r="B549" s="78"/>
      <c r="C549" s="189"/>
      <c r="D549" s="185"/>
      <c r="E549" s="186"/>
      <c r="F549" s="187"/>
    </row>
    <row r="550" spans="1:6" x14ac:dyDescent="0.2">
      <c r="A550" s="275"/>
      <c r="B550" s="78"/>
      <c r="C550" s="189"/>
      <c r="D550" s="185"/>
      <c r="E550" s="186"/>
      <c r="F550" s="187"/>
    </row>
    <row r="551" spans="1:6" x14ac:dyDescent="0.2">
      <c r="A551" s="275"/>
      <c r="B551" s="78"/>
      <c r="C551" s="189"/>
      <c r="D551" s="185"/>
      <c r="E551" s="186"/>
      <c r="F551" s="187"/>
    </row>
    <row r="552" spans="1:6" x14ac:dyDescent="0.2">
      <c r="A552" s="275"/>
      <c r="B552" s="78"/>
      <c r="C552" s="189"/>
      <c r="D552" s="185"/>
      <c r="E552" s="186"/>
      <c r="F552" s="187"/>
    </row>
    <row r="553" spans="1:6" x14ac:dyDescent="0.2">
      <c r="A553" s="275"/>
      <c r="B553" s="78"/>
      <c r="C553" s="189"/>
      <c r="D553" s="185"/>
      <c r="E553" s="186"/>
      <c r="F553" s="187"/>
    </row>
    <row r="554" spans="1:6" x14ac:dyDescent="0.2">
      <c r="A554" s="275"/>
      <c r="B554" s="78"/>
      <c r="C554" s="189"/>
      <c r="D554" s="185"/>
      <c r="E554" s="186"/>
      <c r="F554" s="187"/>
    </row>
    <row r="555" spans="1:6" x14ac:dyDescent="0.2">
      <c r="A555" s="275"/>
      <c r="B555" s="78"/>
      <c r="C555" s="189"/>
      <c r="D555" s="185"/>
      <c r="E555" s="186"/>
      <c r="F555" s="187"/>
    </row>
    <row r="556" spans="1:6" x14ac:dyDescent="0.2">
      <c r="A556" s="275"/>
      <c r="B556" s="78"/>
      <c r="C556" s="189"/>
      <c r="D556" s="185"/>
      <c r="E556" s="186"/>
      <c r="F556" s="187"/>
    </row>
    <row r="557" spans="1:6" x14ac:dyDescent="0.2">
      <c r="A557" s="275"/>
      <c r="B557" s="78"/>
      <c r="C557" s="189"/>
      <c r="D557" s="185"/>
      <c r="E557" s="186"/>
      <c r="F557" s="187"/>
    </row>
    <row r="558" spans="1:6" x14ac:dyDescent="0.2">
      <c r="A558" s="275"/>
      <c r="B558" s="78"/>
      <c r="C558" s="189"/>
      <c r="D558" s="185"/>
      <c r="E558" s="186"/>
      <c r="F558" s="187"/>
    </row>
    <row r="559" spans="1:6" x14ac:dyDescent="0.2">
      <c r="A559" s="275"/>
      <c r="B559" s="78"/>
      <c r="C559" s="189"/>
      <c r="D559" s="185"/>
      <c r="E559" s="186"/>
      <c r="F559" s="187"/>
    </row>
    <row r="560" spans="1:6" x14ac:dyDescent="0.2">
      <c r="A560" s="275"/>
      <c r="B560" s="78"/>
      <c r="C560" s="189"/>
      <c r="D560" s="185"/>
      <c r="E560" s="186"/>
      <c r="F560" s="187"/>
    </row>
    <row r="561" spans="1:6" x14ac:dyDescent="0.2">
      <c r="A561" s="275"/>
      <c r="B561" s="78"/>
      <c r="C561" s="189"/>
      <c r="D561" s="185"/>
      <c r="E561" s="186"/>
      <c r="F561" s="187"/>
    </row>
    <row r="562" spans="1:6" x14ac:dyDescent="0.2">
      <c r="A562" s="275"/>
      <c r="B562" s="78"/>
      <c r="C562" s="189"/>
      <c r="D562" s="185"/>
      <c r="E562" s="186"/>
      <c r="F562" s="187"/>
    </row>
    <row r="563" spans="1:6" x14ac:dyDescent="0.2">
      <c r="A563" s="275"/>
      <c r="B563" s="78"/>
      <c r="C563" s="189"/>
      <c r="D563" s="185"/>
      <c r="E563" s="186"/>
      <c r="F563" s="187"/>
    </row>
    <row r="564" spans="1:6" x14ac:dyDescent="0.2">
      <c r="A564" s="275"/>
      <c r="B564" s="78"/>
      <c r="C564" s="189"/>
      <c r="D564" s="185"/>
      <c r="E564" s="186"/>
      <c r="F564" s="187"/>
    </row>
    <row r="565" spans="1:6" x14ac:dyDescent="0.2">
      <c r="A565" s="275"/>
      <c r="B565" s="78"/>
      <c r="C565" s="189"/>
      <c r="D565" s="185"/>
      <c r="E565" s="186"/>
      <c r="F565" s="187"/>
    </row>
    <row r="566" spans="1:6" x14ac:dyDescent="0.2">
      <c r="A566" s="275"/>
      <c r="B566" s="78"/>
      <c r="C566" s="189"/>
      <c r="D566" s="185"/>
      <c r="E566" s="186"/>
      <c r="F566" s="187"/>
    </row>
    <row r="567" spans="1:6" x14ac:dyDescent="0.2">
      <c r="A567" s="275"/>
      <c r="B567" s="78"/>
      <c r="C567" s="189"/>
      <c r="D567" s="185"/>
      <c r="E567" s="186"/>
      <c r="F567" s="187"/>
    </row>
    <row r="568" spans="1:6" x14ac:dyDescent="0.2">
      <c r="A568" s="275"/>
      <c r="B568" s="78"/>
      <c r="C568" s="189"/>
      <c r="D568" s="185"/>
      <c r="E568" s="186"/>
      <c r="F568" s="187"/>
    </row>
    <row r="569" spans="1:6" x14ac:dyDescent="0.2">
      <c r="A569" s="275"/>
      <c r="B569" s="78"/>
      <c r="C569" s="189"/>
      <c r="D569" s="185"/>
      <c r="E569" s="186"/>
      <c r="F569" s="187"/>
    </row>
    <row r="570" spans="1:6" x14ac:dyDescent="0.2">
      <c r="A570" s="275"/>
      <c r="B570" s="78"/>
      <c r="C570" s="189"/>
      <c r="D570" s="185"/>
      <c r="E570" s="186"/>
      <c r="F570" s="187"/>
    </row>
    <row r="571" spans="1:6" x14ac:dyDescent="0.2">
      <c r="A571" s="275"/>
      <c r="B571" s="78"/>
      <c r="C571" s="189"/>
      <c r="D571" s="185"/>
      <c r="E571" s="186"/>
      <c r="F571" s="187"/>
    </row>
    <row r="572" spans="1:6" x14ac:dyDescent="0.2">
      <c r="A572" s="275"/>
      <c r="B572" s="78"/>
      <c r="C572" s="189"/>
      <c r="D572" s="185"/>
      <c r="E572" s="186"/>
      <c r="F572" s="187"/>
    </row>
    <row r="573" spans="1:6" x14ac:dyDescent="0.2">
      <c r="A573" s="275"/>
      <c r="B573" s="78"/>
      <c r="C573" s="189"/>
      <c r="D573" s="185"/>
      <c r="E573" s="186"/>
      <c r="F573" s="187"/>
    </row>
    <row r="574" spans="1:6" x14ac:dyDescent="0.2">
      <c r="A574" s="275"/>
      <c r="B574" s="78"/>
      <c r="C574" s="189"/>
      <c r="D574" s="185"/>
      <c r="E574" s="186"/>
      <c r="F574" s="187"/>
    </row>
    <row r="575" spans="1:6" x14ac:dyDescent="0.2">
      <c r="A575" s="275"/>
      <c r="B575" s="78"/>
      <c r="C575" s="189"/>
      <c r="D575" s="185"/>
      <c r="E575" s="186"/>
      <c r="F575" s="187"/>
    </row>
    <row r="576" spans="1:6" x14ac:dyDescent="0.2">
      <c r="A576" s="275"/>
      <c r="B576" s="78"/>
      <c r="C576" s="189"/>
      <c r="D576" s="185"/>
      <c r="E576" s="186"/>
      <c r="F576" s="187"/>
    </row>
    <row r="577" spans="1:6" x14ac:dyDescent="0.2">
      <c r="A577" s="275"/>
      <c r="B577" s="78"/>
      <c r="C577" s="189"/>
      <c r="D577" s="185"/>
      <c r="E577" s="186"/>
      <c r="F577" s="187"/>
    </row>
    <row r="578" spans="1:6" x14ac:dyDescent="0.2">
      <c r="A578" s="275"/>
      <c r="B578" s="78"/>
      <c r="C578" s="189"/>
      <c r="D578" s="185"/>
      <c r="E578" s="186"/>
      <c r="F578" s="187"/>
    </row>
    <row r="579" spans="1:6" x14ac:dyDescent="0.2">
      <c r="A579" s="275"/>
      <c r="B579" s="78"/>
      <c r="C579" s="189"/>
      <c r="D579" s="185"/>
      <c r="E579" s="186"/>
      <c r="F579" s="187"/>
    </row>
    <row r="580" spans="1:6" x14ac:dyDescent="0.2">
      <c r="A580" s="275"/>
      <c r="B580" s="78"/>
      <c r="C580" s="189"/>
      <c r="D580" s="185"/>
      <c r="E580" s="186"/>
      <c r="F580" s="187"/>
    </row>
    <row r="581" spans="1:6" x14ac:dyDescent="0.2">
      <c r="A581" s="275"/>
      <c r="B581" s="78"/>
      <c r="C581" s="189"/>
      <c r="D581" s="185"/>
      <c r="E581" s="186"/>
      <c r="F581" s="187"/>
    </row>
    <row r="582" spans="1:6" x14ac:dyDescent="0.2">
      <c r="A582" s="275"/>
      <c r="B582" s="78"/>
      <c r="C582" s="189"/>
      <c r="D582" s="185"/>
      <c r="E582" s="186"/>
      <c r="F582" s="187"/>
    </row>
    <row r="583" spans="1:6" x14ac:dyDescent="0.2">
      <c r="A583" s="275"/>
      <c r="B583" s="78"/>
      <c r="C583" s="189"/>
      <c r="D583" s="185"/>
      <c r="E583" s="186"/>
      <c r="F583" s="187"/>
    </row>
    <row r="584" spans="1:6" x14ac:dyDescent="0.2">
      <c r="A584" s="275"/>
      <c r="B584" s="78"/>
      <c r="C584" s="189"/>
      <c r="D584" s="185"/>
      <c r="E584" s="186"/>
      <c r="F584" s="187"/>
    </row>
    <row r="585" spans="1:6" x14ac:dyDescent="0.2">
      <c r="A585" s="275"/>
      <c r="B585" s="78"/>
      <c r="C585" s="189"/>
      <c r="D585" s="185"/>
      <c r="E585" s="186"/>
      <c r="F585" s="187"/>
    </row>
    <row r="586" spans="1:6" x14ac:dyDescent="0.2">
      <c r="A586" s="275"/>
      <c r="B586" s="78"/>
      <c r="C586" s="189"/>
      <c r="D586" s="185"/>
      <c r="E586" s="186"/>
      <c r="F586" s="187"/>
    </row>
    <row r="587" spans="1:6" x14ac:dyDescent="0.2">
      <c r="A587" s="275"/>
      <c r="B587" s="78"/>
      <c r="C587" s="189"/>
      <c r="D587" s="185"/>
      <c r="E587" s="186"/>
      <c r="F587" s="187"/>
    </row>
    <row r="588" spans="1:6" x14ac:dyDescent="0.2">
      <c r="A588" s="275"/>
      <c r="B588" s="78"/>
      <c r="C588" s="189"/>
      <c r="D588" s="185"/>
      <c r="E588" s="186"/>
      <c r="F588" s="187"/>
    </row>
    <row r="589" spans="1:6" x14ac:dyDescent="0.2">
      <c r="A589" s="275"/>
      <c r="B589" s="78"/>
      <c r="C589" s="189"/>
      <c r="D589" s="185"/>
      <c r="E589" s="186"/>
      <c r="F589" s="187"/>
    </row>
    <row r="590" spans="1:6" x14ac:dyDescent="0.2">
      <c r="A590" s="275"/>
      <c r="B590" s="78"/>
      <c r="C590" s="189"/>
      <c r="D590" s="185"/>
      <c r="E590" s="186"/>
      <c r="F590" s="187"/>
    </row>
    <row r="591" spans="1:6" x14ac:dyDescent="0.2">
      <c r="A591" s="275"/>
      <c r="B591" s="78"/>
      <c r="C591" s="189"/>
      <c r="D591" s="185"/>
      <c r="E591" s="186"/>
      <c r="F591" s="187"/>
    </row>
    <row r="592" spans="1:6" x14ac:dyDescent="0.2">
      <c r="A592" s="275"/>
      <c r="B592" s="78"/>
      <c r="C592" s="189"/>
      <c r="D592" s="185"/>
      <c r="E592" s="186"/>
      <c r="F592" s="187"/>
    </row>
    <row r="593" spans="1:6" x14ac:dyDescent="0.2">
      <c r="A593" s="275"/>
      <c r="B593" s="78"/>
      <c r="C593" s="189"/>
      <c r="D593" s="185"/>
      <c r="E593" s="186"/>
      <c r="F593" s="187"/>
    </row>
    <row r="594" spans="1:6" x14ac:dyDescent="0.2">
      <c r="A594" s="275"/>
      <c r="B594" s="78"/>
      <c r="C594" s="189"/>
      <c r="D594" s="185"/>
      <c r="E594" s="186"/>
      <c r="F594" s="187"/>
    </row>
    <row r="595" spans="1:6" x14ac:dyDescent="0.2">
      <c r="A595" s="275"/>
      <c r="B595" s="78"/>
      <c r="C595" s="189"/>
      <c r="D595" s="185"/>
      <c r="E595" s="186"/>
      <c r="F595" s="187"/>
    </row>
    <row r="596" spans="1:6" x14ac:dyDescent="0.2">
      <c r="A596" s="275"/>
      <c r="B596" s="78"/>
      <c r="C596" s="189"/>
      <c r="D596" s="185"/>
      <c r="E596" s="186"/>
      <c r="F596" s="187"/>
    </row>
    <row r="597" spans="1:6" x14ac:dyDescent="0.2">
      <c r="A597" s="275"/>
      <c r="B597" s="78"/>
      <c r="C597" s="189"/>
      <c r="D597" s="185"/>
      <c r="E597" s="186"/>
      <c r="F597" s="187"/>
    </row>
    <row r="598" spans="1:6" x14ac:dyDescent="0.2">
      <c r="A598" s="275"/>
      <c r="B598" s="78"/>
      <c r="C598" s="189"/>
      <c r="D598" s="185"/>
      <c r="E598" s="186"/>
      <c r="F598" s="187"/>
    </row>
    <row r="599" spans="1:6" x14ac:dyDescent="0.2">
      <c r="A599" s="275"/>
      <c r="B599" s="78"/>
      <c r="C599" s="189"/>
      <c r="D599" s="185"/>
      <c r="E599" s="186"/>
      <c r="F599" s="187"/>
    </row>
    <row r="600" spans="1:6" x14ac:dyDescent="0.2">
      <c r="A600" s="275"/>
      <c r="B600" s="78"/>
      <c r="C600" s="189"/>
      <c r="D600" s="185"/>
      <c r="E600" s="186"/>
      <c r="F600" s="187"/>
    </row>
    <row r="601" spans="1:6" x14ac:dyDescent="0.2">
      <c r="A601" s="275"/>
      <c r="B601" s="78"/>
      <c r="C601" s="189"/>
      <c r="D601" s="185"/>
      <c r="E601" s="186"/>
      <c r="F601" s="187"/>
    </row>
    <row r="602" spans="1:6" x14ac:dyDescent="0.2">
      <c r="A602" s="275"/>
      <c r="B602" s="78"/>
      <c r="C602" s="189"/>
      <c r="D602" s="185"/>
      <c r="E602" s="186"/>
      <c r="F602" s="187"/>
    </row>
    <row r="603" spans="1:6" x14ac:dyDescent="0.2">
      <c r="A603" s="275"/>
      <c r="B603" s="78"/>
      <c r="C603" s="189"/>
      <c r="D603" s="185"/>
      <c r="E603" s="186"/>
      <c r="F603" s="187"/>
    </row>
    <row r="604" spans="1:6" x14ac:dyDescent="0.2">
      <c r="A604" s="275"/>
      <c r="B604" s="78"/>
      <c r="C604" s="189"/>
      <c r="D604" s="185"/>
      <c r="E604" s="186"/>
      <c r="F604" s="187"/>
    </row>
    <row r="605" spans="1:6" x14ac:dyDescent="0.2">
      <c r="A605" s="275"/>
      <c r="B605" s="78"/>
      <c r="C605" s="189"/>
      <c r="D605" s="185"/>
      <c r="E605" s="186"/>
      <c r="F605" s="187"/>
    </row>
    <row r="606" spans="1:6" x14ac:dyDescent="0.2">
      <c r="A606" s="275"/>
      <c r="B606" s="78"/>
      <c r="C606" s="189"/>
      <c r="D606" s="185"/>
      <c r="E606" s="186"/>
      <c r="F606" s="187"/>
    </row>
    <row r="607" spans="1:6" x14ac:dyDescent="0.2">
      <c r="A607" s="275"/>
      <c r="B607" s="78"/>
      <c r="C607" s="189"/>
      <c r="D607" s="185"/>
      <c r="E607" s="186"/>
      <c r="F607" s="187"/>
    </row>
    <row r="608" spans="1:6" x14ac:dyDescent="0.2">
      <c r="A608" s="275"/>
      <c r="B608" s="78"/>
      <c r="C608" s="189"/>
      <c r="D608" s="185"/>
      <c r="E608" s="186"/>
      <c r="F608" s="187"/>
    </row>
    <row r="609" spans="1:6" x14ac:dyDescent="0.2">
      <c r="A609" s="275"/>
      <c r="B609" s="78"/>
      <c r="C609" s="189"/>
      <c r="D609" s="185"/>
      <c r="E609" s="186"/>
      <c r="F609" s="187"/>
    </row>
    <row r="610" spans="1:6" x14ac:dyDescent="0.2">
      <c r="A610" s="275"/>
      <c r="B610" s="78"/>
      <c r="C610" s="189"/>
      <c r="D610" s="185"/>
      <c r="E610" s="186"/>
      <c r="F610" s="187"/>
    </row>
    <row r="611" spans="1:6" x14ac:dyDescent="0.2">
      <c r="A611" s="275"/>
      <c r="B611" s="78"/>
      <c r="C611" s="189"/>
      <c r="D611" s="185"/>
      <c r="E611" s="186"/>
      <c r="F611" s="187"/>
    </row>
    <row r="612" spans="1:6" x14ac:dyDescent="0.2">
      <c r="A612" s="275"/>
      <c r="B612" s="78"/>
      <c r="C612" s="189"/>
      <c r="D612" s="185"/>
      <c r="E612" s="186"/>
      <c r="F612" s="187"/>
    </row>
    <row r="613" spans="1:6" x14ac:dyDescent="0.2">
      <c r="A613" s="275"/>
      <c r="B613" s="78"/>
      <c r="C613" s="189"/>
      <c r="D613" s="185"/>
      <c r="E613" s="186"/>
      <c r="F613" s="187"/>
    </row>
    <row r="614" spans="1:6" x14ac:dyDescent="0.2">
      <c r="A614" s="275"/>
      <c r="B614" s="78"/>
      <c r="C614" s="189"/>
      <c r="D614" s="185"/>
      <c r="E614" s="186"/>
      <c r="F614" s="187"/>
    </row>
    <row r="615" spans="1:6" x14ac:dyDescent="0.2">
      <c r="A615" s="275"/>
      <c r="B615" s="78"/>
      <c r="C615" s="189"/>
      <c r="D615" s="185"/>
      <c r="E615" s="186"/>
      <c r="F615" s="187"/>
    </row>
    <row r="616" spans="1:6" x14ac:dyDescent="0.2">
      <c r="A616" s="275"/>
      <c r="B616" s="78"/>
      <c r="C616" s="189"/>
      <c r="D616" s="185"/>
      <c r="E616" s="186"/>
      <c r="F616" s="187"/>
    </row>
    <row r="617" spans="1:6" x14ac:dyDescent="0.2">
      <c r="A617" s="275"/>
      <c r="B617" s="78"/>
      <c r="C617" s="189"/>
      <c r="D617" s="185"/>
      <c r="E617" s="186"/>
      <c r="F617" s="187"/>
    </row>
    <row r="618" spans="1:6" x14ac:dyDescent="0.2">
      <c r="A618" s="275"/>
      <c r="B618" s="78"/>
      <c r="C618" s="189"/>
      <c r="D618" s="185"/>
      <c r="E618" s="186"/>
      <c r="F618" s="187"/>
    </row>
    <row r="619" spans="1:6" x14ac:dyDescent="0.2">
      <c r="A619" s="275"/>
      <c r="B619" s="78"/>
      <c r="C619" s="189"/>
      <c r="D619" s="185"/>
      <c r="E619" s="186"/>
      <c r="F619" s="187"/>
    </row>
    <row r="620" spans="1:6" x14ac:dyDescent="0.2">
      <c r="A620" s="275"/>
      <c r="B620" s="78"/>
      <c r="C620" s="189"/>
      <c r="D620" s="185"/>
      <c r="E620" s="186"/>
      <c r="F620" s="187"/>
    </row>
    <row r="621" spans="1:6" x14ac:dyDescent="0.2">
      <c r="A621" s="275"/>
      <c r="B621" s="78"/>
      <c r="C621" s="189"/>
      <c r="D621" s="185"/>
      <c r="E621" s="186"/>
      <c r="F621" s="187"/>
    </row>
    <row r="622" spans="1:6" x14ac:dyDescent="0.2">
      <c r="A622" s="275"/>
      <c r="B622" s="78"/>
      <c r="C622" s="189"/>
      <c r="D622" s="185"/>
      <c r="E622" s="186"/>
      <c r="F622" s="187"/>
    </row>
    <row r="623" spans="1:6" x14ac:dyDescent="0.2">
      <c r="A623" s="275"/>
      <c r="B623" s="78"/>
      <c r="C623" s="189"/>
      <c r="D623" s="185"/>
      <c r="E623" s="186"/>
      <c r="F623" s="187"/>
    </row>
    <row r="624" spans="1:6" x14ac:dyDescent="0.2">
      <c r="A624" s="275"/>
      <c r="B624" s="78"/>
      <c r="C624" s="189"/>
      <c r="D624" s="185"/>
      <c r="E624" s="186"/>
      <c r="F624" s="187"/>
    </row>
    <row r="625" spans="1:6" x14ac:dyDescent="0.2">
      <c r="A625" s="275"/>
      <c r="B625" s="78"/>
      <c r="C625" s="189"/>
      <c r="D625" s="185"/>
      <c r="E625" s="186"/>
      <c r="F625" s="187"/>
    </row>
    <row r="626" spans="1:6" x14ac:dyDescent="0.2">
      <c r="A626" s="275"/>
      <c r="B626" s="78"/>
      <c r="C626" s="189"/>
      <c r="D626" s="185"/>
      <c r="E626" s="186"/>
      <c r="F626" s="187"/>
    </row>
    <row r="627" spans="1:6" x14ac:dyDescent="0.2">
      <c r="A627" s="275"/>
      <c r="B627" s="78"/>
      <c r="C627" s="189"/>
      <c r="D627" s="185"/>
      <c r="E627" s="186"/>
      <c r="F627" s="187"/>
    </row>
    <row r="628" spans="1:6" x14ac:dyDescent="0.2">
      <c r="A628" s="275"/>
      <c r="B628" s="78"/>
      <c r="C628" s="189"/>
      <c r="D628" s="185"/>
      <c r="E628" s="186"/>
      <c r="F628" s="187"/>
    </row>
    <row r="629" spans="1:6" x14ac:dyDescent="0.2">
      <c r="A629" s="275"/>
      <c r="B629" s="78"/>
      <c r="C629" s="189"/>
      <c r="D629" s="185"/>
      <c r="E629" s="186"/>
      <c r="F629" s="187"/>
    </row>
    <row r="630" spans="1:6" x14ac:dyDescent="0.2">
      <c r="A630" s="275"/>
      <c r="B630" s="78"/>
      <c r="C630" s="189"/>
      <c r="D630" s="185"/>
      <c r="E630" s="186"/>
      <c r="F630" s="187"/>
    </row>
    <row r="631" spans="1:6" x14ac:dyDescent="0.2">
      <c r="A631" s="275"/>
      <c r="B631" s="78"/>
      <c r="C631" s="189"/>
      <c r="D631" s="185"/>
      <c r="E631" s="186"/>
      <c r="F631" s="187"/>
    </row>
    <row r="632" spans="1:6" x14ac:dyDescent="0.2">
      <c r="A632" s="275"/>
      <c r="B632" s="78"/>
      <c r="C632" s="189"/>
      <c r="D632" s="185"/>
      <c r="E632" s="186"/>
      <c r="F632" s="187"/>
    </row>
    <row r="633" spans="1:6" x14ac:dyDescent="0.2">
      <c r="A633" s="275"/>
      <c r="B633" s="78"/>
      <c r="C633" s="189"/>
      <c r="D633" s="185"/>
      <c r="E633" s="186"/>
      <c r="F633" s="187"/>
    </row>
    <row r="634" spans="1:6" x14ac:dyDescent="0.2">
      <c r="A634" s="275"/>
      <c r="B634" s="78"/>
      <c r="C634" s="189"/>
      <c r="D634" s="185"/>
      <c r="E634" s="186"/>
      <c r="F634" s="187"/>
    </row>
    <row r="635" spans="1:6" x14ac:dyDescent="0.2">
      <c r="A635" s="275"/>
      <c r="B635" s="78"/>
      <c r="C635" s="189"/>
      <c r="D635" s="185"/>
      <c r="E635" s="186"/>
      <c r="F635" s="187"/>
    </row>
    <row r="636" spans="1:6" x14ac:dyDescent="0.2">
      <c r="A636" s="275"/>
      <c r="B636" s="78"/>
      <c r="C636" s="189"/>
      <c r="D636" s="185"/>
      <c r="E636" s="186"/>
      <c r="F636" s="187"/>
    </row>
    <row r="637" spans="1:6" x14ac:dyDescent="0.2">
      <c r="A637" s="275"/>
      <c r="B637" s="78"/>
      <c r="C637" s="189"/>
      <c r="D637" s="185"/>
      <c r="E637" s="186"/>
      <c r="F637" s="187"/>
    </row>
    <row r="638" spans="1:6" x14ac:dyDescent="0.2">
      <c r="A638" s="275"/>
      <c r="B638" s="78"/>
      <c r="C638" s="189"/>
      <c r="D638" s="185"/>
      <c r="E638" s="186"/>
      <c r="F638" s="187"/>
    </row>
    <row r="639" spans="1:6" x14ac:dyDescent="0.2">
      <c r="A639" s="275"/>
      <c r="B639" s="78"/>
      <c r="C639" s="189"/>
      <c r="D639" s="185"/>
      <c r="E639" s="186"/>
      <c r="F639" s="187"/>
    </row>
    <row r="640" spans="1:6" x14ac:dyDescent="0.2">
      <c r="A640" s="275"/>
      <c r="B640" s="78"/>
      <c r="C640" s="189"/>
      <c r="D640" s="185"/>
      <c r="E640" s="186"/>
      <c r="F640" s="187"/>
    </row>
    <row r="641" spans="1:6" x14ac:dyDescent="0.2">
      <c r="A641" s="275"/>
      <c r="B641" s="78"/>
      <c r="C641" s="189"/>
      <c r="D641" s="185"/>
      <c r="E641" s="186"/>
      <c r="F641" s="187"/>
    </row>
    <row r="642" spans="1:6" x14ac:dyDescent="0.2">
      <c r="A642" s="275"/>
      <c r="B642" s="78"/>
      <c r="C642" s="189"/>
      <c r="D642" s="185"/>
      <c r="E642" s="186"/>
      <c r="F642" s="187"/>
    </row>
    <row r="643" spans="1:6" x14ac:dyDescent="0.2">
      <c r="A643" s="275"/>
      <c r="B643" s="78"/>
      <c r="C643" s="189"/>
      <c r="D643" s="185"/>
      <c r="E643" s="186"/>
      <c r="F643" s="187"/>
    </row>
    <row r="644" spans="1:6" x14ac:dyDescent="0.2">
      <c r="A644" s="275"/>
      <c r="B644" s="78"/>
      <c r="C644" s="189"/>
      <c r="D644" s="185"/>
      <c r="E644" s="186"/>
      <c r="F644" s="187"/>
    </row>
    <row r="645" spans="1:6" x14ac:dyDescent="0.2">
      <c r="A645" s="275"/>
      <c r="B645" s="78"/>
      <c r="C645" s="189"/>
      <c r="D645" s="185"/>
      <c r="E645" s="186"/>
      <c r="F645" s="187"/>
    </row>
    <row r="646" spans="1:6" x14ac:dyDescent="0.2">
      <c r="A646" s="275"/>
      <c r="B646" s="78"/>
      <c r="C646" s="189"/>
      <c r="D646" s="185"/>
      <c r="E646" s="186"/>
      <c r="F646" s="187"/>
    </row>
    <row r="647" spans="1:6" x14ac:dyDescent="0.2">
      <c r="A647" s="275"/>
      <c r="B647" s="78"/>
      <c r="C647" s="189"/>
      <c r="D647" s="185"/>
      <c r="E647" s="186"/>
      <c r="F647" s="187"/>
    </row>
    <row r="648" spans="1:6" x14ac:dyDescent="0.2">
      <c r="A648" s="275"/>
      <c r="B648" s="78"/>
      <c r="C648" s="189"/>
      <c r="D648" s="185"/>
      <c r="E648" s="186"/>
      <c r="F648" s="187"/>
    </row>
    <row r="649" spans="1:6" x14ac:dyDescent="0.2">
      <c r="A649" s="275"/>
      <c r="B649" s="78"/>
      <c r="C649" s="189"/>
      <c r="D649" s="185"/>
      <c r="E649" s="186"/>
      <c r="F649" s="187"/>
    </row>
    <row r="650" spans="1:6" x14ac:dyDescent="0.2">
      <c r="A650" s="275"/>
      <c r="B650" s="78"/>
      <c r="C650" s="189"/>
      <c r="D650" s="185"/>
      <c r="E650" s="186"/>
      <c r="F650" s="187"/>
    </row>
    <row r="651" spans="1:6" x14ac:dyDescent="0.2">
      <c r="A651" s="275"/>
      <c r="B651" s="78"/>
      <c r="C651" s="189"/>
      <c r="D651" s="185"/>
      <c r="E651" s="186"/>
      <c r="F651" s="187"/>
    </row>
    <row r="652" spans="1:6" x14ac:dyDescent="0.2">
      <c r="A652" s="275"/>
      <c r="B652" s="78"/>
      <c r="C652" s="189"/>
      <c r="D652" s="185"/>
      <c r="E652" s="186"/>
      <c r="F652" s="187"/>
    </row>
    <row r="653" spans="1:6" x14ac:dyDescent="0.2">
      <c r="A653" s="275"/>
      <c r="B653" s="78"/>
      <c r="C653" s="189"/>
      <c r="D653" s="185"/>
      <c r="E653" s="186"/>
      <c r="F653" s="187"/>
    </row>
    <row r="654" spans="1:6" x14ac:dyDescent="0.2">
      <c r="A654" s="275"/>
      <c r="B654" s="78"/>
      <c r="C654" s="189"/>
      <c r="D654" s="185"/>
      <c r="E654" s="186"/>
      <c r="F654" s="187"/>
    </row>
    <row r="655" spans="1:6" x14ac:dyDescent="0.2">
      <c r="A655" s="275"/>
      <c r="B655" s="78"/>
      <c r="C655" s="189"/>
      <c r="D655" s="185"/>
      <c r="E655" s="186"/>
      <c r="F655" s="187"/>
    </row>
    <row r="656" spans="1:6" x14ac:dyDescent="0.2">
      <c r="A656" s="275"/>
      <c r="B656" s="78"/>
      <c r="C656" s="189"/>
      <c r="D656" s="185"/>
      <c r="E656" s="186"/>
      <c r="F656" s="187"/>
    </row>
    <row r="657" spans="1:6" x14ac:dyDescent="0.2">
      <c r="A657" s="275"/>
      <c r="B657" s="78"/>
      <c r="C657" s="189"/>
      <c r="D657" s="185"/>
      <c r="E657" s="186"/>
      <c r="F657" s="187"/>
    </row>
    <row r="658" spans="1:6" x14ac:dyDescent="0.2">
      <c r="A658" s="275"/>
      <c r="B658" s="78"/>
      <c r="C658" s="189"/>
      <c r="D658" s="185"/>
      <c r="E658" s="186"/>
      <c r="F658" s="187"/>
    </row>
    <row r="659" spans="1:6" x14ac:dyDescent="0.2">
      <c r="A659" s="275"/>
      <c r="B659" s="78"/>
      <c r="C659" s="189"/>
      <c r="D659" s="185"/>
      <c r="E659" s="186"/>
      <c r="F659" s="187"/>
    </row>
    <row r="660" spans="1:6" x14ac:dyDescent="0.2">
      <c r="A660" s="275"/>
      <c r="B660" s="78"/>
      <c r="C660" s="189"/>
      <c r="D660" s="185"/>
      <c r="E660" s="186"/>
      <c r="F660" s="187"/>
    </row>
    <row r="661" spans="1:6" x14ac:dyDescent="0.2">
      <c r="A661" s="275"/>
      <c r="B661" s="78"/>
      <c r="C661" s="189"/>
      <c r="D661" s="185"/>
      <c r="E661" s="186"/>
      <c r="F661" s="187"/>
    </row>
    <row r="662" spans="1:6" x14ac:dyDescent="0.2">
      <c r="A662" s="275"/>
      <c r="B662" s="78"/>
      <c r="C662" s="189"/>
      <c r="D662" s="185"/>
      <c r="E662" s="186"/>
      <c r="F662" s="187"/>
    </row>
    <row r="663" spans="1:6" x14ac:dyDescent="0.2">
      <c r="A663" s="275"/>
      <c r="B663" s="78"/>
      <c r="C663" s="189"/>
      <c r="D663" s="185"/>
      <c r="E663" s="186"/>
      <c r="F663" s="187"/>
    </row>
    <row r="664" spans="1:6" x14ac:dyDescent="0.2">
      <c r="A664" s="275"/>
      <c r="B664" s="78"/>
      <c r="C664" s="189"/>
      <c r="D664" s="185"/>
      <c r="E664" s="186"/>
      <c r="F664" s="187"/>
    </row>
    <row r="665" spans="1:6" x14ac:dyDescent="0.2">
      <c r="A665" s="275"/>
      <c r="B665" s="78"/>
      <c r="C665" s="189"/>
      <c r="D665" s="185"/>
      <c r="E665" s="186"/>
      <c r="F665" s="187"/>
    </row>
    <row r="666" spans="1:6" x14ac:dyDescent="0.2">
      <c r="A666" s="275"/>
      <c r="B666" s="78"/>
      <c r="C666" s="189"/>
      <c r="D666" s="185"/>
      <c r="E666" s="186"/>
      <c r="F666" s="187"/>
    </row>
    <row r="667" spans="1:6" x14ac:dyDescent="0.2">
      <c r="A667" s="275"/>
      <c r="B667" s="78"/>
      <c r="C667" s="189"/>
      <c r="D667" s="185"/>
      <c r="E667" s="186"/>
      <c r="F667" s="187"/>
    </row>
    <row r="668" spans="1:6" x14ac:dyDescent="0.2">
      <c r="A668" s="275"/>
      <c r="B668" s="78"/>
      <c r="C668" s="189"/>
      <c r="D668" s="185"/>
      <c r="E668" s="186"/>
      <c r="F668" s="187"/>
    </row>
    <row r="669" spans="1:6" x14ac:dyDescent="0.2">
      <c r="A669" s="275"/>
      <c r="B669" s="78"/>
      <c r="C669" s="189"/>
      <c r="D669" s="185"/>
      <c r="E669" s="186"/>
      <c r="F669" s="187"/>
    </row>
    <row r="670" spans="1:6" x14ac:dyDescent="0.2">
      <c r="A670" s="275"/>
      <c r="B670" s="78"/>
      <c r="C670" s="189"/>
      <c r="D670" s="185"/>
      <c r="E670" s="186"/>
      <c r="F670" s="187"/>
    </row>
    <row r="671" spans="1:6" x14ac:dyDescent="0.2">
      <c r="A671" s="275"/>
      <c r="B671" s="78"/>
      <c r="C671" s="189"/>
      <c r="D671" s="185"/>
      <c r="E671" s="186"/>
      <c r="F671" s="187"/>
    </row>
    <row r="672" spans="1:6" x14ac:dyDescent="0.2">
      <c r="A672" s="275"/>
      <c r="B672" s="78"/>
      <c r="C672" s="189"/>
      <c r="D672" s="185"/>
      <c r="E672" s="186"/>
      <c r="F672" s="187"/>
    </row>
    <row r="673" spans="1:6" x14ac:dyDescent="0.2">
      <c r="A673" s="275"/>
      <c r="B673" s="78"/>
      <c r="C673" s="189"/>
      <c r="D673" s="185"/>
      <c r="E673" s="186"/>
      <c r="F673" s="187"/>
    </row>
    <row r="674" spans="1:6" x14ac:dyDescent="0.2">
      <c r="A674" s="275"/>
      <c r="B674" s="78"/>
      <c r="C674" s="189"/>
      <c r="D674" s="185"/>
      <c r="E674" s="186"/>
      <c r="F674" s="187"/>
    </row>
    <row r="675" spans="1:6" x14ac:dyDescent="0.2">
      <c r="A675" s="275"/>
      <c r="B675" s="78"/>
      <c r="C675" s="189"/>
      <c r="D675" s="185"/>
      <c r="E675" s="186"/>
      <c r="F675" s="187"/>
    </row>
    <row r="676" spans="1:6" x14ac:dyDescent="0.2">
      <c r="A676" s="275"/>
      <c r="B676" s="78"/>
      <c r="C676" s="189"/>
      <c r="D676" s="185"/>
      <c r="E676" s="186"/>
      <c r="F676" s="187"/>
    </row>
    <row r="677" spans="1:6" x14ac:dyDescent="0.2">
      <c r="A677" s="275"/>
      <c r="B677" s="78"/>
      <c r="C677" s="189"/>
      <c r="D677" s="185"/>
      <c r="E677" s="186"/>
      <c r="F677" s="187"/>
    </row>
    <row r="678" spans="1:6" x14ac:dyDescent="0.2">
      <c r="A678" s="275"/>
      <c r="B678" s="78"/>
      <c r="C678" s="189"/>
      <c r="D678" s="185"/>
      <c r="E678" s="186"/>
      <c r="F678" s="187"/>
    </row>
    <row r="679" spans="1:6" x14ac:dyDescent="0.2">
      <c r="A679" s="275"/>
      <c r="B679" s="78"/>
      <c r="C679" s="189"/>
      <c r="D679" s="185"/>
      <c r="E679" s="186"/>
      <c r="F679" s="187"/>
    </row>
    <row r="680" spans="1:6" x14ac:dyDescent="0.2">
      <c r="A680" s="275"/>
      <c r="B680" s="78"/>
      <c r="C680" s="189"/>
      <c r="D680" s="185"/>
      <c r="E680" s="186"/>
      <c r="F680" s="187"/>
    </row>
    <row r="681" spans="1:6" x14ac:dyDescent="0.2">
      <c r="A681" s="275"/>
      <c r="B681" s="78"/>
      <c r="C681" s="189"/>
      <c r="D681" s="185"/>
      <c r="E681" s="186"/>
      <c r="F681" s="187"/>
    </row>
    <row r="682" spans="1:6" x14ac:dyDescent="0.2">
      <c r="A682" s="275"/>
      <c r="B682" s="78"/>
      <c r="C682" s="189"/>
      <c r="D682" s="185"/>
      <c r="E682" s="186"/>
      <c r="F682" s="187"/>
    </row>
    <row r="683" spans="1:6" x14ac:dyDescent="0.2">
      <c r="A683" s="275"/>
      <c r="B683" s="78"/>
      <c r="C683" s="189"/>
      <c r="D683" s="185"/>
      <c r="E683" s="186"/>
      <c r="F683" s="187"/>
    </row>
    <row r="684" spans="1:6" x14ac:dyDescent="0.2">
      <c r="A684" s="275"/>
      <c r="B684" s="78"/>
      <c r="C684" s="189"/>
      <c r="D684" s="185"/>
      <c r="E684" s="186"/>
      <c r="F684" s="187"/>
    </row>
    <row r="685" spans="1:6" x14ac:dyDescent="0.2">
      <c r="A685" s="275"/>
      <c r="B685" s="78"/>
      <c r="C685" s="189"/>
      <c r="D685" s="185"/>
      <c r="E685" s="186"/>
      <c r="F685" s="187"/>
    </row>
    <row r="686" spans="1:6" x14ac:dyDescent="0.2">
      <c r="A686" s="275"/>
      <c r="B686" s="78"/>
      <c r="C686" s="189"/>
      <c r="D686" s="185"/>
      <c r="E686" s="186"/>
      <c r="F686" s="187"/>
    </row>
    <row r="687" spans="1:6" x14ac:dyDescent="0.2">
      <c r="A687" s="275"/>
      <c r="B687" s="78"/>
      <c r="C687" s="189"/>
      <c r="D687" s="185"/>
      <c r="E687" s="186"/>
      <c r="F687" s="187"/>
    </row>
    <row r="688" spans="1:6" x14ac:dyDescent="0.2">
      <c r="A688" s="275"/>
      <c r="B688" s="78"/>
      <c r="C688" s="189"/>
      <c r="D688" s="185"/>
      <c r="E688" s="186"/>
      <c r="F688" s="187"/>
    </row>
    <row r="689" spans="1:6" x14ac:dyDescent="0.2">
      <c r="A689" s="275"/>
      <c r="B689" s="78"/>
      <c r="C689" s="189"/>
      <c r="D689" s="185"/>
      <c r="E689" s="186"/>
      <c r="F689" s="187"/>
    </row>
    <row r="690" spans="1:6" x14ac:dyDescent="0.2">
      <c r="A690" s="275"/>
      <c r="B690" s="78"/>
      <c r="C690" s="189"/>
      <c r="D690" s="185"/>
      <c r="E690" s="186"/>
      <c r="F690" s="187"/>
    </row>
    <row r="691" spans="1:6" x14ac:dyDescent="0.2">
      <c r="A691" s="275"/>
      <c r="B691" s="78"/>
      <c r="C691" s="189"/>
      <c r="D691" s="185"/>
      <c r="E691" s="186"/>
      <c r="F691" s="187"/>
    </row>
    <row r="692" spans="1:6" x14ac:dyDescent="0.2">
      <c r="A692" s="275"/>
      <c r="B692" s="78"/>
      <c r="C692" s="189"/>
      <c r="D692" s="185"/>
      <c r="E692" s="186"/>
      <c r="F692" s="187"/>
    </row>
    <row r="693" spans="1:6" x14ac:dyDescent="0.2">
      <c r="A693" s="275"/>
      <c r="B693" s="78"/>
      <c r="C693" s="189"/>
      <c r="D693" s="185"/>
      <c r="E693" s="186"/>
      <c r="F693" s="187"/>
    </row>
    <row r="694" spans="1:6" x14ac:dyDescent="0.2">
      <c r="A694" s="275"/>
      <c r="B694" s="78"/>
      <c r="C694" s="189"/>
      <c r="D694" s="185"/>
      <c r="E694" s="186"/>
      <c r="F694" s="187"/>
    </row>
    <row r="695" spans="1:6" x14ac:dyDescent="0.2">
      <c r="A695" s="275"/>
      <c r="B695" s="78"/>
      <c r="C695" s="189"/>
      <c r="D695" s="185"/>
      <c r="E695" s="186"/>
      <c r="F695" s="187"/>
    </row>
    <row r="696" spans="1:6" x14ac:dyDescent="0.2">
      <c r="A696" s="275"/>
      <c r="B696" s="78"/>
      <c r="C696" s="189"/>
      <c r="D696" s="185"/>
      <c r="E696" s="186"/>
      <c r="F696" s="187"/>
    </row>
    <row r="697" spans="1:6" x14ac:dyDescent="0.2">
      <c r="A697" s="275"/>
      <c r="B697" s="78"/>
      <c r="C697" s="189"/>
      <c r="D697" s="185"/>
      <c r="E697" s="186"/>
      <c r="F697" s="187"/>
    </row>
    <row r="698" spans="1:6" x14ac:dyDescent="0.2">
      <c r="A698" s="275"/>
      <c r="B698" s="78"/>
      <c r="C698" s="189"/>
      <c r="D698" s="185"/>
      <c r="E698" s="186"/>
      <c r="F698" s="187"/>
    </row>
    <row r="699" spans="1:6" x14ac:dyDescent="0.2">
      <c r="A699" s="275"/>
      <c r="B699" s="78"/>
      <c r="C699" s="189"/>
      <c r="D699" s="185"/>
      <c r="E699" s="186"/>
      <c r="F699" s="187"/>
    </row>
    <row r="700" spans="1:6" x14ac:dyDescent="0.2">
      <c r="A700" s="275"/>
      <c r="B700" s="78"/>
      <c r="C700" s="189"/>
      <c r="D700" s="185"/>
      <c r="E700" s="186"/>
      <c r="F700" s="187"/>
    </row>
    <row r="701" spans="1:6" x14ac:dyDescent="0.2">
      <c r="A701" s="275"/>
      <c r="B701" s="78"/>
      <c r="C701" s="189"/>
      <c r="D701" s="185"/>
      <c r="E701" s="186"/>
      <c r="F701" s="187"/>
    </row>
    <row r="702" spans="1:6" x14ac:dyDescent="0.2">
      <c r="A702" s="275"/>
      <c r="B702" s="78"/>
      <c r="C702" s="189"/>
      <c r="D702" s="185"/>
      <c r="E702" s="186"/>
      <c r="F702" s="187"/>
    </row>
    <row r="703" spans="1:6" x14ac:dyDescent="0.2">
      <c r="A703" s="275"/>
      <c r="B703" s="78"/>
      <c r="C703" s="189"/>
      <c r="D703" s="185"/>
      <c r="E703" s="186"/>
      <c r="F703" s="187"/>
    </row>
    <row r="704" spans="1:6" x14ac:dyDescent="0.2">
      <c r="A704" s="275"/>
      <c r="B704" s="78"/>
      <c r="C704" s="189"/>
      <c r="D704" s="185"/>
      <c r="E704" s="186"/>
      <c r="F704" s="187"/>
    </row>
    <row r="705" spans="1:6" x14ac:dyDescent="0.2">
      <c r="A705" s="275"/>
      <c r="B705" s="78"/>
      <c r="C705" s="189"/>
      <c r="D705" s="185"/>
      <c r="E705" s="186"/>
      <c r="F705" s="187"/>
    </row>
    <row r="706" spans="1:6" x14ac:dyDescent="0.2">
      <c r="A706" s="275"/>
      <c r="B706" s="78"/>
      <c r="C706" s="189"/>
      <c r="D706" s="185"/>
      <c r="E706" s="186"/>
      <c r="F706" s="187"/>
    </row>
    <row r="707" spans="1:6" x14ac:dyDescent="0.2">
      <c r="A707" s="275"/>
      <c r="B707" s="78"/>
      <c r="C707" s="189"/>
      <c r="D707" s="185"/>
      <c r="E707" s="186"/>
      <c r="F707" s="187"/>
    </row>
    <row r="708" spans="1:6" x14ac:dyDescent="0.2">
      <c r="A708" s="275"/>
      <c r="B708" s="78"/>
      <c r="C708" s="189"/>
      <c r="D708" s="185"/>
      <c r="E708" s="186"/>
      <c r="F708" s="187"/>
    </row>
    <row r="709" spans="1:6" x14ac:dyDescent="0.2">
      <c r="A709" s="275"/>
      <c r="B709" s="78"/>
      <c r="C709" s="189"/>
      <c r="D709" s="185"/>
      <c r="E709" s="186"/>
      <c r="F709" s="187"/>
    </row>
    <row r="710" spans="1:6" x14ac:dyDescent="0.2">
      <c r="A710" s="275"/>
      <c r="B710" s="78"/>
      <c r="C710" s="189"/>
      <c r="D710" s="185"/>
      <c r="E710" s="186"/>
      <c r="F710" s="187"/>
    </row>
    <row r="711" spans="1:6" x14ac:dyDescent="0.2">
      <c r="A711" s="275"/>
      <c r="B711" s="78"/>
      <c r="C711" s="189"/>
      <c r="D711" s="185"/>
      <c r="E711" s="186"/>
      <c r="F711" s="187"/>
    </row>
    <row r="712" spans="1:6" x14ac:dyDescent="0.2">
      <c r="A712" s="275"/>
      <c r="B712" s="78"/>
      <c r="C712" s="189"/>
      <c r="D712" s="185"/>
      <c r="E712" s="186"/>
      <c r="F712" s="187"/>
    </row>
    <row r="713" spans="1:6" x14ac:dyDescent="0.2">
      <c r="A713" s="275"/>
      <c r="B713" s="78"/>
      <c r="C713" s="189"/>
      <c r="D713" s="185"/>
      <c r="E713" s="186"/>
      <c r="F713" s="187"/>
    </row>
    <row r="714" spans="1:6" x14ac:dyDescent="0.2">
      <c r="A714" s="275"/>
      <c r="B714" s="78"/>
      <c r="C714" s="189"/>
      <c r="D714" s="185"/>
      <c r="E714" s="186"/>
      <c r="F714" s="187"/>
    </row>
    <row r="715" spans="1:6" x14ac:dyDescent="0.2">
      <c r="A715" s="275"/>
      <c r="B715" s="78"/>
      <c r="C715" s="189"/>
      <c r="D715" s="185"/>
      <c r="E715" s="186"/>
      <c r="F715" s="187"/>
    </row>
    <row r="716" spans="1:6" x14ac:dyDescent="0.2">
      <c r="A716" s="275"/>
      <c r="B716" s="78"/>
      <c r="C716" s="189"/>
      <c r="D716" s="185"/>
      <c r="E716" s="186"/>
      <c r="F716" s="187"/>
    </row>
    <row r="717" spans="1:6" x14ac:dyDescent="0.2">
      <c r="A717" s="275"/>
      <c r="B717" s="78"/>
      <c r="C717" s="189"/>
      <c r="D717" s="185"/>
      <c r="E717" s="186"/>
      <c r="F717" s="187"/>
    </row>
    <row r="718" spans="1:6" x14ac:dyDescent="0.2">
      <c r="A718" s="275"/>
      <c r="B718" s="78"/>
      <c r="C718" s="189"/>
      <c r="D718" s="185"/>
      <c r="E718" s="186"/>
      <c r="F718" s="187"/>
    </row>
    <row r="719" spans="1:6" x14ac:dyDescent="0.2">
      <c r="A719" s="275"/>
      <c r="B719" s="78"/>
      <c r="C719" s="189"/>
      <c r="D719" s="185"/>
      <c r="E719" s="186"/>
      <c r="F719" s="187"/>
    </row>
    <row r="720" spans="1:6" x14ac:dyDescent="0.2">
      <c r="A720" s="275"/>
      <c r="B720" s="78"/>
      <c r="C720" s="189"/>
      <c r="D720" s="185"/>
      <c r="E720" s="186"/>
      <c r="F720" s="187"/>
    </row>
    <row r="721" spans="1:6" x14ac:dyDescent="0.2">
      <c r="A721" s="275"/>
      <c r="B721" s="78"/>
      <c r="C721" s="189"/>
      <c r="D721" s="185"/>
      <c r="E721" s="186"/>
      <c r="F721" s="187"/>
    </row>
    <row r="722" spans="1:6" x14ac:dyDescent="0.2">
      <c r="A722" s="275"/>
      <c r="B722" s="78"/>
      <c r="C722" s="189"/>
      <c r="D722" s="185"/>
      <c r="E722" s="186"/>
      <c r="F722" s="187"/>
    </row>
    <row r="723" spans="1:6" x14ac:dyDescent="0.2">
      <c r="A723" s="275"/>
      <c r="B723" s="78"/>
      <c r="C723" s="189"/>
      <c r="D723" s="185"/>
      <c r="E723" s="186"/>
      <c r="F723" s="187"/>
    </row>
    <row r="724" spans="1:6" x14ac:dyDescent="0.2">
      <c r="A724" s="275"/>
      <c r="B724" s="78"/>
      <c r="C724" s="189"/>
      <c r="D724" s="185"/>
      <c r="E724" s="186"/>
      <c r="F724" s="187"/>
    </row>
    <row r="725" spans="1:6" x14ac:dyDescent="0.2">
      <c r="A725" s="275"/>
      <c r="B725" s="78"/>
      <c r="C725" s="189"/>
      <c r="D725" s="185"/>
      <c r="E725" s="186"/>
      <c r="F725" s="187"/>
    </row>
    <row r="726" spans="1:6" x14ac:dyDescent="0.2">
      <c r="A726" s="275"/>
      <c r="B726" s="78"/>
      <c r="C726" s="189"/>
      <c r="D726" s="185"/>
      <c r="E726" s="186"/>
      <c r="F726" s="187"/>
    </row>
    <row r="727" spans="1:6" x14ac:dyDescent="0.2">
      <c r="A727" s="275"/>
      <c r="B727" s="78"/>
      <c r="C727" s="189"/>
      <c r="D727" s="185"/>
      <c r="E727" s="186"/>
      <c r="F727" s="187"/>
    </row>
    <row r="728" spans="1:6" x14ac:dyDescent="0.2">
      <c r="A728" s="275"/>
      <c r="B728" s="78"/>
      <c r="C728" s="189"/>
      <c r="D728" s="185"/>
      <c r="E728" s="186"/>
      <c r="F728" s="187"/>
    </row>
    <row r="729" spans="1:6" x14ac:dyDescent="0.2">
      <c r="A729" s="275"/>
      <c r="B729" s="78"/>
      <c r="C729" s="189"/>
      <c r="D729" s="185"/>
      <c r="E729" s="186"/>
      <c r="F729" s="187"/>
    </row>
    <row r="730" spans="1:6" x14ac:dyDescent="0.2">
      <c r="A730" s="275"/>
      <c r="B730" s="78"/>
      <c r="C730" s="189"/>
      <c r="D730" s="185"/>
      <c r="E730" s="186"/>
      <c r="F730" s="187"/>
    </row>
    <row r="731" spans="1:6" x14ac:dyDescent="0.2">
      <c r="A731" s="275"/>
      <c r="B731" s="78"/>
      <c r="C731" s="189"/>
      <c r="D731" s="185"/>
      <c r="E731" s="186"/>
      <c r="F731" s="187"/>
    </row>
    <row r="732" spans="1:6" x14ac:dyDescent="0.2">
      <c r="A732" s="275"/>
      <c r="B732" s="78"/>
      <c r="C732" s="189"/>
      <c r="D732" s="185"/>
      <c r="E732" s="186"/>
      <c r="F732" s="187"/>
    </row>
    <row r="733" spans="1:6" x14ac:dyDescent="0.2">
      <c r="A733" s="275"/>
      <c r="B733" s="78"/>
      <c r="C733" s="189"/>
      <c r="D733" s="185"/>
      <c r="E733" s="186"/>
      <c r="F733" s="187"/>
    </row>
    <row r="734" spans="1:6" x14ac:dyDescent="0.2">
      <c r="A734" s="275"/>
      <c r="B734" s="78"/>
      <c r="C734" s="189"/>
      <c r="D734" s="185"/>
      <c r="E734" s="186"/>
      <c r="F734" s="187"/>
    </row>
    <row r="735" spans="1:6" x14ac:dyDescent="0.2">
      <c r="A735" s="275"/>
      <c r="B735" s="78"/>
      <c r="C735" s="189"/>
      <c r="D735" s="185"/>
      <c r="E735" s="186"/>
      <c r="F735" s="187"/>
    </row>
    <row r="736" spans="1:6" x14ac:dyDescent="0.2">
      <c r="A736" s="275"/>
      <c r="B736" s="78"/>
      <c r="C736" s="189"/>
      <c r="D736" s="185"/>
      <c r="E736" s="186"/>
      <c r="F736" s="187"/>
    </row>
    <row r="737" spans="1:6" x14ac:dyDescent="0.2">
      <c r="A737" s="275"/>
      <c r="B737" s="78"/>
      <c r="C737" s="189"/>
      <c r="D737" s="185"/>
      <c r="E737" s="186"/>
      <c r="F737" s="187"/>
    </row>
    <row r="738" spans="1:6" x14ac:dyDescent="0.2">
      <c r="A738" s="275"/>
      <c r="B738" s="78"/>
      <c r="C738" s="189"/>
      <c r="D738" s="185"/>
      <c r="E738" s="186"/>
      <c r="F738" s="187"/>
    </row>
    <row r="739" spans="1:6" x14ac:dyDescent="0.2">
      <c r="A739" s="275"/>
      <c r="B739" s="78"/>
      <c r="C739" s="189"/>
      <c r="D739" s="185"/>
      <c r="E739" s="186"/>
      <c r="F739" s="187"/>
    </row>
    <row r="740" spans="1:6" x14ac:dyDescent="0.2">
      <c r="A740" s="275"/>
      <c r="B740" s="78"/>
      <c r="C740" s="189"/>
      <c r="D740" s="185"/>
      <c r="E740" s="186"/>
      <c r="F740" s="187"/>
    </row>
    <row r="741" spans="1:6" x14ac:dyDescent="0.2">
      <c r="A741" s="275"/>
      <c r="B741" s="78"/>
      <c r="C741" s="189"/>
      <c r="D741" s="185"/>
      <c r="E741" s="186"/>
      <c r="F741" s="187"/>
    </row>
    <row r="742" spans="1:6" x14ac:dyDescent="0.2">
      <c r="A742" s="275"/>
      <c r="B742" s="78"/>
      <c r="C742" s="189"/>
      <c r="D742" s="185"/>
      <c r="E742" s="186"/>
      <c r="F742" s="187"/>
    </row>
    <row r="743" spans="1:6" x14ac:dyDescent="0.2">
      <c r="A743" s="275"/>
      <c r="B743" s="78"/>
      <c r="C743" s="189"/>
      <c r="D743" s="185"/>
      <c r="E743" s="186"/>
      <c r="F743" s="187"/>
    </row>
    <row r="744" spans="1:6" x14ac:dyDescent="0.2">
      <c r="A744" s="275"/>
      <c r="B744" s="78"/>
      <c r="C744" s="189"/>
      <c r="D744" s="185"/>
      <c r="E744" s="186"/>
      <c r="F744" s="187"/>
    </row>
    <row r="745" spans="1:6" x14ac:dyDescent="0.2">
      <c r="A745" s="275"/>
      <c r="B745" s="78"/>
      <c r="C745" s="189"/>
      <c r="D745" s="185"/>
      <c r="E745" s="186"/>
      <c r="F745" s="187"/>
    </row>
    <row r="746" spans="1:6" x14ac:dyDescent="0.2">
      <c r="A746" s="275"/>
      <c r="B746" s="78"/>
      <c r="C746" s="189"/>
      <c r="D746" s="185"/>
      <c r="E746" s="186"/>
      <c r="F746" s="187"/>
    </row>
    <row r="747" spans="1:6" x14ac:dyDescent="0.2">
      <c r="A747" s="275"/>
      <c r="B747" s="78"/>
      <c r="C747" s="189"/>
      <c r="D747" s="185"/>
      <c r="E747" s="186"/>
      <c r="F747" s="187"/>
    </row>
    <row r="748" spans="1:6" x14ac:dyDescent="0.2">
      <c r="A748" s="275"/>
      <c r="B748" s="78"/>
      <c r="C748" s="189"/>
      <c r="D748" s="185"/>
      <c r="E748" s="186"/>
      <c r="F748" s="187"/>
    </row>
    <row r="749" spans="1:6" x14ac:dyDescent="0.2">
      <c r="A749" s="275"/>
      <c r="B749" s="78"/>
      <c r="C749" s="189"/>
      <c r="D749" s="185"/>
      <c r="E749" s="186"/>
      <c r="F749" s="187"/>
    </row>
    <row r="750" spans="1:6" x14ac:dyDescent="0.2">
      <c r="A750" s="275"/>
      <c r="B750" s="78"/>
      <c r="C750" s="189"/>
      <c r="D750" s="185"/>
      <c r="E750" s="186"/>
      <c r="F750" s="187"/>
    </row>
    <row r="751" spans="1:6" x14ac:dyDescent="0.2">
      <c r="A751" s="275"/>
      <c r="B751" s="78"/>
      <c r="C751" s="189"/>
      <c r="D751" s="185"/>
      <c r="E751" s="186"/>
      <c r="F751" s="187"/>
    </row>
    <row r="752" spans="1:6" x14ac:dyDescent="0.2">
      <c r="A752" s="275"/>
      <c r="B752" s="78"/>
      <c r="C752" s="189"/>
      <c r="D752" s="185"/>
      <c r="E752" s="186"/>
      <c r="F752" s="187"/>
    </row>
    <row r="753" spans="1:6" x14ac:dyDescent="0.2">
      <c r="A753" s="275"/>
      <c r="B753" s="78"/>
      <c r="C753" s="189"/>
      <c r="D753" s="185"/>
      <c r="E753" s="186"/>
      <c r="F753" s="187"/>
    </row>
    <row r="754" spans="1:6" x14ac:dyDescent="0.2">
      <c r="A754" s="275"/>
      <c r="B754" s="78"/>
      <c r="C754" s="189"/>
      <c r="D754" s="185"/>
      <c r="E754" s="186"/>
      <c r="F754" s="187"/>
    </row>
    <row r="755" spans="1:6" x14ac:dyDescent="0.2">
      <c r="A755" s="275"/>
      <c r="B755" s="78"/>
      <c r="C755" s="189"/>
      <c r="D755" s="185"/>
      <c r="E755" s="186"/>
      <c r="F755" s="187"/>
    </row>
    <row r="756" spans="1:6" x14ac:dyDescent="0.2">
      <c r="A756" s="275"/>
      <c r="B756" s="78"/>
      <c r="C756" s="189"/>
      <c r="D756" s="185"/>
      <c r="E756" s="186"/>
      <c r="F756" s="187"/>
    </row>
    <row r="757" spans="1:6" x14ac:dyDescent="0.2">
      <c r="A757" s="275"/>
      <c r="B757" s="78"/>
      <c r="C757" s="189"/>
      <c r="D757" s="185"/>
      <c r="E757" s="186"/>
      <c r="F757" s="187"/>
    </row>
    <row r="758" spans="1:6" x14ac:dyDescent="0.2">
      <c r="A758" s="275"/>
      <c r="B758" s="78"/>
      <c r="C758" s="189"/>
      <c r="D758" s="185"/>
      <c r="E758" s="186"/>
      <c r="F758" s="187"/>
    </row>
    <row r="759" spans="1:6" x14ac:dyDescent="0.2">
      <c r="A759" s="275"/>
      <c r="B759" s="78"/>
      <c r="C759" s="189"/>
      <c r="D759" s="185"/>
      <c r="E759" s="186"/>
      <c r="F759" s="187"/>
    </row>
    <row r="760" spans="1:6" x14ac:dyDescent="0.2">
      <c r="A760" s="275"/>
      <c r="B760" s="78"/>
      <c r="C760" s="189"/>
      <c r="D760" s="185"/>
      <c r="E760" s="186"/>
      <c r="F760" s="187"/>
    </row>
    <row r="761" spans="1:6" x14ac:dyDescent="0.2">
      <c r="A761" s="275"/>
      <c r="B761" s="78"/>
      <c r="C761" s="189"/>
      <c r="D761" s="185"/>
      <c r="E761" s="186"/>
      <c r="F761" s="187"/>
    </row>
    <row r="762" spans="1:6" x14ac:dyDescent="0.2">
      <c r="A762" s="275"/>
      <c r="B762" s="78"/>
      <c r="C762" s="189"/>
      <c r="D762" s="185"/>
      <c r="E762" s="186"/>
      <c r="F762" s="187"/>
    </row>
    <row r="763" spans="1:6" x14ac:dyDescent="0.2">
      <c r="A763" s="275"/>
      <c r="B763" s="78"/>
      <c r="C763" s="189"/>
      <c r="D763" s="185"/>
      <c r="E763" s="186"/>
      <c r="F763" s="187"/>
    </row>
    <row r="764" spans="1:6" x14ac:dyDescent="0.2">
      <c r="A764" s="275"/>
      <c r="B764" s="78"/>
      <c r="C764" s="189"/>
      <c r="D764" s="185"/>
      <c r="E764" s="186"/>
      <c r="F764" s="187"/>
    </row>
    <row r="765" spans="1:6" x14ac:dyDescent="0.2">
      <c r="A765" s="275"/>
      <c r="B765" s="78"/>
      <c r="C765" s="189"/>
      <c r="D765" s="185"/>
      <c r="E765" s="186"/>
      <c r="F765" s="187"/>
    </row>
    <row r="766" spans="1:6" x14ac:dyDescent="0.2">
      <c r="A766" s="275"/>
      <c r="B766" s="78"/>
      <c r="C766" s="189"/>
      <c r="D766" s="185"/>
      <c r="E766" s="186"/>
      <c r="F766" s="187"/>
    </row>
    <row r="767" spans="1:6" x14ac:dyDescent="0.2">
      <c r="A767" s="275"/>
      <c r="B767" s="78"/>
      <c r="C767" s="189"/>
      <c r="D767" s="185"/>
      <c r="E767" s="186"/>
      <c r="F767" s="187"/>
    </row>
    <row r="768" spans="1:6" x14ac:dyDescent="0.2">
      <c r="A768" s="275"/>
      <c r="B768" s="78"/>
      <c r="C768" s="189"/>
      <c r="D768" s="185"/>
      <c r="E768" s="186"/>
      <c r="F768" s="187"/>
    </row>
    <row r="769" spans="1:6" x14ac:dyDescent="0.2">
      <c r="A769" s="275"/>
      <c r="B769" s="78"/>
      <c r="C769" s="189"/>
      <c r="D769" s="185"/>
      <c r="E769" s="186"/>
      <c r="F769" s="187"/>
    </row>
    <row r="770" spans="1:6" x14ac:dyDescent="0.2">
      <c r="A770" s="275"/>
      <c r="B770" s="78"/>
      <c r="C770" s="189"/>
      <c r="D770" s="185"/>
      <c r="E770" s="186"/>
      <c r="F770" s="187"/>
    </row>
    <row r="771" spans="1:6" x14ac:dyDescent="0.2">
      <c r="A771" s="275"/>
      <c r="B771" s="78"/>
      <c r="C771" s="189"/>
      <c r="D771" s="185"/>
      <c r="E771" s="186"/>
      <c r="F771" s="187"/>
    </row>
    <row r="772" spans="1:6" x14ac:dyDescent="0.2">
      <c r="A772" s="275"/>
      <c r="B772" s="78"/>
      <c r="C772" s="189"/>
      <c r="D772" s="185"/>
      <c r="E772" s="186"/>
      <c r="F772" s="187"/>
    </row>
    <row r="773" spans="1:6" x14ac:dyDescent="0.2">
      <c r="A773" s="275"/>
      <c r="B773" s="78"/>
      <c r="C773" s="189"/>
      <c r="D773" s="185"/>
      <c r="E773" s="186"/>
      <c r="F773" s="187"/>
    </row>
    <row r="774" spans="1:6" x14ac:dyDescent="0.2">
      <c r="A774" s="275"/>
      <c r="B774" s="78"/>
      <c r="C774" s="189"/>
      <c r="D774" s="185"/>
      <c r="E774" s="186"/>
      <c r="F774" s="187"/>
    </row>
    <row r="775" spans="1:6" x14ac:dyDescent="0.2">
      <c r="A775" s="275"/>
      <c r="B775" s="78"/>
      <c r="C775" s="189"/>
      <c r="D775" s="185"/>
      <c r="E775" s="186"/>
      <c r="F775" s="187"/>
    </row>
    <row r="776" spans="1:6" x14ac:dyDescent="0.2">
      <c r="A776" s="275"/>
      <c r="B776" s="78"/>
      <c r="C776" s="189"/>
      <c r="D776" s="185"/>
      <c r="E776" s="186"/>
      <c r="F776" s="187"/>
    </row>
    <row r="777" spans="1:6" x14ac:dyDescent="0.2">
      <c r="A777" s="275"/>
      <c r="B777" s="78"/>
      <c r="C777" s="189"/>
      <c r="D777" s="185"/>
      <c r="E777" s="186"/>
      <c r="F777" s="187"/>
    </row>
    <row r="778" spans="1:6" x14ac:dyDescent="0.2">
      <c r="A778" s="275"/>
      <c r="B778" s="78"/>
      <c r="C778" s="189"/>
      <c r="D778" s="185"/>
      <c r="E778" s="186"/>
      <c r="F778" s="187"/>
    </row>
    <row r="779" spans="1:6" x14ac:dyDescent="0.2">
      <c r="A779" s="275"/>
      <c r="B779" s="78"/>
      <c r="C779" s="189"/>
      <c r="D779" s="185"/>
      <c r="E779" s="186"/>
      <c r="F779" s="187"/>
    </row>
    <row r="780" spans="1:6" x14ac:dyDescent="0.2">
      <c r="A780" s="275"/>
      <c r="B780" s="78"/>
      <c r="C780" s="189"/>
      <c r="D780" s="185"/>
      <c r="E780" s="186"/>
      <c r="F780" s="187"/>
    </row>
    <row r="781" spans="1:6" x14ac:dyDescent="0.2">
      <c r="A781" s="275"/>
      <c r="B781" s="78"/>
      <c r="C781" s="189"/>
      <c r="D781" s="185"/>
      <c r="E781" s="186"/>
      <c r="F781" s="187"/>
    </row>
    <row r="782" spans="1:6" x14ac:dyDescent="0.2">
      <c r="A782" s="275"/>
      <c r="B782" s="78"/>
      <c r="C782" s="189"/>
      <c r="D782" s="185"/>
      <c r="E782" s="186"/>
      <c r="F782" s="187"/>
    </row>
    <row r="783" spans="1:6" x14ac:dyDescent="0.2">
      <c r="A783" s="275"/>
      <c r="B783" s="78"/>
      <c r="C783" s="189"/>
      <c r="D783" s="185"/>
      <c r="E783" s="186"/>
      <c r="F783" s="187"/>
    </row>
    <row r="784" spans="1:6" x14ac:dyDescent="0.2">
      <c r="A784" s="275"/>
      <c r="B784" s="78"/>
      <c r="C784" s="189"/>
      <c r="D784" s="185"/>
      <c r="E784" s="186"/>
      <c r="F784" s="187"/>
    </row>
    <row r="785" spans="1:6" x14ac:dyDescent="0.2">
      <c r="A785" s="275"/>
      <c r="B785" s="78"/>
      <c r="C785" s="189"/>
      <c r="D785" s="185"/>
      <c r="E785" s="186"/>
      <c r="F785" s="187"/>
    </row>
    <row r="786" spans="1:6" x14ac:dyDescent="0.2">
      <c r="A786" s="275"/>
      <c r="B786" s="78"/>
      <c r="C786" s="189"/>
      <c r="D786" s="185"/>
      <c r="E786" s="186"/>
      <c r="F786" s="187"/>
    </row>
    <row r="787" spans="1:6" x14ac:dyDescent="0.2">
      <c r="A787" s="275"/>
      <c r="B787" s="78"/>
      <c r="C787" s="189"/>
      <c r="D787" s="185"/>
      <c r="E787" s="186"/>
      <c r="F787" s="187"/>
    </row>
    <row r="788" spans="1:6" x14ac:dyDescent="0.2">
      <c r="A788" s="275"/>
      <c r="B788" s="78"/>
      <c r="C788" s="189"/>
      <c r="D788" s="185"/>
      <c r="E788" s="186"/>
      <c r="F788" s="187"/>
    </row>
    <row r="789" spans="1:6" x14ac:dyDescent="0.2">
      <c r="A789" s="275"/>
      <c r="B789" s="78"/>
      <c r="C789" s="189"/>
      <c r="D789" s="185"/>
      <c r="E789" s="186"/>
      <c r="F789" s="187"/>
    </row>
    <row r="790" spans="1:6" x14ac:dyDescent="0.2">
      <c r="A790" s="275"/>
      <c r="B790" s="78"/>
      <c r="C790" s="189"/>
      <c r="D790" s="185"/>
      <c r="E790" s="186"/>
      <c r="F790" s="187"/>
    </row>
    <row r="791" spans="1:6" x14ac:dyDescent="0.2">
      <c r="A791" s="275"/>
      <c r="B791" s="78"/>
      <c r="C791" s="189"/>
      <c r="D791" s="185"/>
      <c r="E791" s="186"/>
      <c r="F791" s="187"/>
    </row>
    <row r="792" spans="1:6" x14ac:dyDescent="0.2">
      <c r="A792" s="275"/>
      <c r="B792" s="78"/>
      <c r="C792" s="189"/>
      <c r="D792" s="185"/>
      <c r="E792" s="186"/>
      <c r="F792" s="187"/>
    </row>
    <row r="793" spans="1:6" x14ac:dyDescent="0.2">
      <c r="A793" s="275"/>
      <c r="B793" s="78"/>
      <c r="C793" s="189"/>
      <c r="D793" s="185"/>
      <c r="E793" s="186"/>
      <c r="F793" s="187"/>
    </row>
    <row r="794" spans="1:6" x14ac:dyDescent="0.2">
      <c r="A794" s="275"/>
      <c r="B794" s="78"/>
      <c r="C794" s="189"/>
      <c r="D794" s="185"/>
      <c r="E794" s="186"/>
      <c r="F794" s="187"/>
    </row>
    <row r="795" spans="1:6" x14ac:dyDescent="0.2">
      <c r="A795" s="275"/>
      <c r="B795" s="78"/>
      <c r="C795" s="189"/>
      <c r="D795" s="185"/>
      <c r="E795" s="186"/>
      <c r="F795" s="187"/>
    </row>
    <row r="796" spans="1:6" x14ac:dyDescent="0.2">
      <c r="A796" s="275"/>
      <c r="B796" s="78"/>
      <c r="C796" s="189"/>
      <c r="D796" s="185"/>
      <c r="E796" s="186"/>
      <c r="F796" s="187"/>
    </row>
    <row r="797" spans="1:6" x14ac:dyDescent="0.2">
      <c r="A797" s="275"/>
      <c r="B797" s="78"/>
      <c r="C797" s="189"/>
      <c r="D797" s="185"/>
      <c r="E797" s="186"/>
      <c r="F797" s="187"/>
    </row>
    <row r="798" spans="1:6" x14ac:dyDescent="0.2">
      <c r="A798" s="275"/>
      <c r="B798" s="78"/>
      <c r="C798" s="189"/>
      <c r="D798" s="185"/>
      <c r="E798" s="186"/>
      <c r="F798" s="187"/>
    </row>
    <row r="799" spans="1:6" x14ac:dyDescent="0.2">
      <c r="A799" s="275"/>
      <c r="B799" s="78"/>
      <c r="C799" s="189"/>
      <c r="D799" s="185"/>
      <c r="E799" s="186"/>
      <c r="F799" s="187"/>
    </row>
    <row r="800" spans="1:6" x14ac:dyDescent="0.2">
      <c r="A800" s="275"/>
      <c r="B800" s="78"/>
      <c r="C800" s="189"/>
      <c r="D800" s="185"/>
      <c r="E800" s="186"/>
      <c r="F800" s="187"/>
    </row>
    <row r="801" spans="1:6" x14ac:dyDescent="0.2">
      <c r="A801" s="275"/>
      <c r="B801" s="78"/>
      <c r="C801" s="189"/>
      <c r="D801" s="185"/>
      <c r="E801" s="186"/>
      <c r="F801" s="187"/>
    </row>
    <row r="802" spans="1:6" x14ac:dyDescent="0.2">
      <c r="A802" s="275"/>
      <c r="B802" s="78"/>
      <c r="C802" s="189"/>
      <c r="D802" s="185"/>
      <c r="E802" s="186"/>
      <c r="F802" s="187"/>
    </row>
    <row r="803" spans="1:6" x14ac:dyDescent="0.2">
      <c r="A803" s="275"/>
      <c r="B803" s="78"/>
      <c r="C803" s="189"/>
      <c r="D803" s="185"/>
      <c r="E803" s="186"/>
      <c r="F803" s="187"/>
    </row>
    <row r="804" spans="1:6" x14ac:dyDescent="0.2">
      <c r="A804" s="275"/>
      <c r="B804" s="78"/>
      <c r="C804" s="189"/>
      <c r="D804" s="185"/>
      <c r="E804" s="186"/>
      <c r="F804" s="187"/>
    </row>
    <row r="805" spans="1:6" x14ac:dyDescent="0.2">
      <c r="A805" s="275"/>
      <c r="B805" s="78"/>
      <c r="C805" s="189"/>
      <c r="D805" s="185"/>
      <c r="E805" s="186"/>
      <c r="F805" s="187"/>
    </row>
    <row r="806" spans="1:6" x14ac:dyDescent="0.2">
      <c r="A806" s="275"/>
      <c r="B806" s="78"/>
      <c r="C806" s="189"/>
      <c r="D806" s="185"/>
      <c r="E806" s="186"/>
      <c r="F806" s="187"/>
    </row>
    <row r="807" spans="1:6" x14ac:dyDescent="0.2">
      <c r="A807" s="275"/>
      <c r="B807" s="78"/>
      <c r="C807" s="189"/>
      <c r="D807" s="185"/>
      <c r="E807" s="186"/>
      <c r="F807" s="187"/>
    </row>
    <row r="808" spans="1:6" x14ac:dyDescent="0.2">
      <c r="A808" s="275"/>
      <c r="B808" s="78"/>
      <c r="C808" s="189"/>
      <c r="D808" s="185"/>
      <c r="E808" s="186"/>
      <c r="F808" s="187"/>
    </row>
    <row r="809" spans="1:6" x14ac:dyDescent="0.2">
      <c r="A809" s="275"/>
      <c r="B809" s="78"/>
      <c r="C809" s="189"/>
      <c r="D809" s="185"/>
      <c r="E809" s="186"/>
      <c r="F809" s="187"/>
    </row>
    <row r="810" spans="1:6" x14ac:dyDescent="0.2">
      <c r="A810" s="275"/>
      <c r="B810" s="78"/>
      <c r="C810" s="189"/>
      <c r="D810" s="185"/>
      <c r="E810" s="186"/>
      <c r="F810" s="187"/>
    </row>
    <row r="811" spans="1:6" x14ac:dyDescent="0.2">
      <c r="A811" s="275"/>
      <c r="B811" s="78"/>
      <c r="C811" s="189"/>
      <c r="D811" s="185"/>
      <c r="E811" s="186"/>
      <c r="F811" s="187"/>
    </row>
    <row r="812" spans="1:6" x14ac:dyDescent="0.2">
      <c r="A812" s="275"/>
      <c r="B812" s="78"/>
      <c r="C812" s="189"/>
      <c r="D812" s="185"/>
      <c r="E812" s="186"/>
      <c r="F812" s="187"/>
    </row>
    <row r="813" spans="1:6" x14ac:dyDescent="0.2">
      <c r="A813" s="275"/>
      <c r="B813" s="78"/>
      <c r="C813" s="189"/>
      <c r="D813" s="185"/>
      <c r="E813" s="186"/>
      <c r="F813" s="187"/>
    </row>
    <row r="814" spans="1:6" x14ac:dyDescent="0.2">
      <c r="A814" s="275"/>
      <c r="B814" s="78"/>
      <c r="C814" s="189"/>
      <c r="D814" s="185"/>
      <c r="E814" s="186"/>
      <c r="F814" s="187"/>
    </row>
    <row r="815" spans="1:6" x14ac:dyDescent="0.2">
      <c r="A815" s="275"/>
      <c r="B815" s="78"/>
      <c r="C815" s="189"/>
      <c r="D815" s="185"/>
      <c r="E815" s="186"/>
      <c r="F815" s="187"/>
    </row>
    <row r="816" spans="1:6" x14ac:dyDescent="0.2">
      <c r="A816" s="275"/>
      <c r="B816" s="78"/>
      <c r="C816" s="189"/>
      <c r="D816" s="185"/>
      <c r="E816" s="186"/>
      <c r="F816" s="187"/>
    </row>
    <row r="817" spans="1:6" x14ac:dyDescent="0.2">
      <c r="A817" s="275"/>
      <c r="B817" s="78"/>
      <c r="C817" s="189"/>
      <c r="D817" s="185"/>
      <c r="E817" s="186"/>
      <c r="F817" s="187"/>
    </row>
    <row r="818" spans="1:6" x14ac:dyDescent="0.2">
      <c r="A818" s="275"/>
      <c r="B818" s="78"/>
      <c r="C818" s="189"/>
      <c r="D818" s="185"/>
      <c r="E818" s="186"/>
      <c r="F818" s="187"/>
    </row>
    <row r="819" spans="1:6" x14ac:dyDescent="0.2">
      <c r="A819" s="275"/>
      <c r="B819" s="78"/>
      <c r="C819" s="189"/>
      <c r="D819" s="185"/>
      <c r="E819" s="186"/>
      <c r="F819" s="187"/>
    </row>
    <row r="820" spans="1:6" x14ac:dyDescent="0.2">
      <c r="A820" s="275"/>
      <c r="B820" s="78"/>
      <c r="C820" s="189"/>
      <c r="D820" s="185"/>
      <c r="E820" s="186"/>
      <c r="F820" s="187"/>
    </row>
    <row r="821" spans="1:6" x14ac:dyDescent="0.2">
      <c r="A821" s="275"/>
      <c r="B821" s="78"/>
      <c r="C821" s="189"/>
      <c r="D821" s="185"/>
      <c r="E821" s="186"/>
      <c r="F821" s="187"/>
    </row>
    <row r="822" spans="1:6" x14ac:dyDescent="0.2">
      <c r="A822" s="275"/>
      <c r="B822" s="78"/>
      <c r="C822" s="189"/>
      <c r="D822" s="185"/>
      <c r="E822" s="186"/>
      <c r="F822" s="187"/>
    </row>
    <row r="823" spans="1:6" x14ac:dyDescent="0.2">
      <c r="A823" s="275"/>
      <c r="B823" s="78"/>
      <c r="C823" s="189"/>
      <c r="D823" s="185"/>
      <c r="E823" s="186"/>
      <c r="F823" s="187"/>
    </row>
    <row r="824" spans="1:6" x14ac:dyDescent="0.2">
      <c r="A824" s="275"/>
      <c r="B824" s="78"/>
      <c r="C824" s="189"/>
      <c r="D824" s="185"/>
      <c r="E824" s="186"/>
      <c r="F824" s="187"/>
    </row>
    <row r="825" spans="1:6" x14ac:dyDescent="0.2">
      <c r="A825" s="275"/>
      <c r="B825" s="78"/>
      <c r="C825" s="189"/>
      <c r="D825" s="185"/>
      <c r="E825" s="186"/>
      <c r="F825" s="187"/>
    </row>
    <row r="826" spans="1:6" x14ac:dyDescent="0.2">
      <c r="A826" s="275"/>
      <c r="B826" s="78"/>
      <c r="C826" s="189"/>
      <c r="D826" s="185"/>
      <c r="E826" s="186"/>
      <c r="F826" s="187"/>
    </row>
    <row r="827" spans="1:6" x14ac:dyDescent="0.2">
      <c r="A827" s="275"/>
      <c r="B827" s="78"/>
      <c r="C827" s="189"/>
      <c r="D827" s="185"/>
      <c r="E827" s="186"/>
      <c r="F827" s="187"/>
    </row>
    <row r="828" spans="1:6" x14ac:dyDescent="0.2">
      <c r="A828" s="275"/>
      <c r="B828" s="78"/>
      <c r="C828" s="189"/>
      <c r="D828" s="185"/>
      <c r="E828" s="186"/>
      <c r="F828" s="187"/>
    </row>
    <row r="829" spans="1:6" x14ac:dyDescent="0.2">
      <c r="A829" s="275"/>
      <c r="B829" s="78"/>
      <c r="C829" s="189"/>
      <c r="D829" s="185"/>
      <c r="E829" s="186"/>
      <c r="F829" s="187"/>
    </row>
    <row r="830" spans="1:6" x14ac:dyDescent="0.2">
      <c r="A830" s="275"/>
      <c r="B830" s="78"/>
      <c r="C830" s="189"/>
      <c r="D830" s="185"/>
      <c r="E830" s="186"/>
      <c r="F830" s="187"/>
    </row>
    <row r="831" spans="1:6" x14ac:dyDescent="0.2">
      <c r="A831" s="275"/>
      <c r="B831" s="78"/>
      <c r="C831" s="189"/>
      <c r="D831" s="185"/>
      <c r="E831" s="186"/>
      <c r="F831" s="187"/>
    </row>
    <row r="832" spans="1:6" x14ac:dyDescent="0.2">
      <c r="A832" s="275"/>
      <c r="B832" s="78"/>
      <c r="C832" s="189"/>
      <c r="D832" s="185"/>
      <c r="E832" s="186"/>
      <c r="F832" s="187"/>
    </row>
    <row r="833" spans="1:6" x14ac:dyDescent="0.2">
      <c r="A833" s="275"/>
      <c r="B833" s="78"/>
      <c r="C833" s="189"/>
      <c r="D833" s="185"/>
      <c r="E833" s="186"/>
      <c r="F833" s="187"/>
    </row>
    <row r="834" spans="1:6" x14ac:dyDescent="0.2">
      <c r="A834" s="275"/>
      <c r="B834" s="78"/>
      <c r="C834" s="189"/>
      <c r="D834" s="185"/>
      <c r="E834" s="186"/>
      <c r="F834" s="187"/>
    </row>
    <row r="835" spans="1:6" x14ac:dyDescent="0.2">
      <c r="A835" s="275"/>
      <c r="B835" s="78"/>
      <c r="C835" s="189"/>
      <c r="D835" s="185"/>
      <c r="E835" s="186"/>
      <c r="F835" s="187"/>
    </row>
    <row r="836" spans="1:6" x14ac:dyDescent="0.2">
      <c r="A836" s="275"/>
      <c r="B836" s="78"/>
      <c r="C836" s="189"/>
      <c r="D836" s="185"/>
      <c r="E836" s="186"/>
      <c r="F836" s="187"/>
    </row>
    <row r="837" spans="1:6" x14ac:dyDescent="0.2">
      <c r="A837" s="275"/>
      <c r="B837" s="78"/>
      <c r="C837" s="189"/>
      <c r="D837" s="185"/>
      <c r="E837" s="186"/>
      <c r="F837" s="187"/>
    </row>
    <row r="838" spans="1:6" x14ac:dyDescent="0.2">
      <c r="A838" s="275"/>
      <c r="B838" s="78"/>
      <c r="C838" s="189"/>
      <c r="D838" s="185"/>
      <c r="E838" s="186"/>
      <c r="F838" s="187"/>
    </row>
    <row r="839" spans="1:6" x14ac:dyDescent="0.2">
      <c r="A839" s="275"/>
      <c r="B839" s="78"/>
      <c r="C839" s="189"/>
      <c r="D839" s="185"/>
      <c r="E839" s="186"/>
      <c r="F839" s="187"/>
    </row>
    <row r="840" spans="1:6" x14ac:dyDescent="0.2">
      <c r="A840" s="275"/>
      <c r="B840" s="78"/>
      <c r="C840" s="189"/>
      <c r="D840" s="185"/>
      <c r="E840" s="186"/>
      <c r="F840" s="187"/>
    </row>
    <row r="841" spans="1:6" x14ac:dyDescent="0.2">
      <c r="A841" s="275"/>
      <c r="B841" s="78"/>
      <c r="C841" s="189"/>
      <c r="D841" s="185"/>
      <c r="E841" s="186"/>
      <c r="F841" s="187"/>
    </row>
    <row r="842" spans="1:6" x14ac:dyDescent="0.2">
      <c r="A842" s="275"/>
      <c r="B842" s="78"/>
      <c r="C842" s="189"/>
      <c r="D842" s="185"/>
      <c r="E842" s="186"/>
      <c r="F842" s="187"/>
    </row>
    <row r="843" spans="1:6" x14ac:dyDescent="0.2">
      <c r="A843" s="275"/>
      <c r="B843" s="78"/>
      <c r="C843" s="189"/>
      <c r="D843" s="185"/>
      <c r="E843" s="186"/>
      <c r="F843" s="187"/>
    </row>
    <row r="844" spans="1:6" x14ac:dyDescent="0.2">
      <c r="A844" s="275"/>
      <c r="B844" s="78"/>
      <c r="C844" s="189"/>
      <c r="D844" s="185"/>
      <c r="E844" s="186"/>
      <c r="F844" s="187"/>
    </row>
    <row r="845" spans="1:6" x14ac:dyDescent="0.2">
      <c r="A845" s="275"/>
      <c r="B845" s="78"/>
      <c r="C845" s="189"/>
      <c r="D845" s="185"/>
      <c r="E845" s="186"/>
      <c r="F845" s="187"/>
    </row>
    <row r="846" spans="1:6" x14ac:dyDescent="0.2">
      <c r="A846" s="275"/>
      <c r="B846" s="78"/>
      <c r="C846" s="189"/>
      <c r="D846" s="185"/>
      <c r="E846" s="186"/>
      <c r="F846" s="187"/>
    </row>
    <row r="847" spans="1:6" x14ac:dyDescent="0.2">
      <c r="A847" s="275"/>
      <c r="B847" s="78"/>
      <c r="C847" s="189"/>
      <c r="D847" s="185"/>
      <c r="E847" s="186"/>
      <c r="F847" s="187"/>
    </row>
    <row r="848" spans="1:6" x14ac:dyDescent="0.2">
      <c r="A848" s="275"/>
      <c r="B848" s="78"/>
      <c r="C848" s="189"/>
      <c r="D848" s="185"/>
      <c r="E848" s="186"/>
      <c r="F848" s="187"/>
    </row>
    <row r="849" spans="1:6" x14ac:dyDescent="0.2">
      <c r="A849" s="275"/>
      <c r="B849" s="78"/>
      <c r="C849" s="189"/>
      <c r="D849" s="185"/>
      <c r="E849" s="186"/>
      <c r="F849" s="187"/>
    </row>
    <row r="850" spans="1:6" x14ac:dyDescent="0.2">
      <c r="A850" s="275"/>
      <c r="B850" s="78"/>
      <c r="C850" s="189"/>
      <c r="D850" s="185"/>
      <c r="E850" s="186"/>
      <c r="F850" s="187"/>
    </row>
    <row r="851" spans="1:6" x14ac:dyDescent="0.2">
      <c r="A851" s="275"/>
      <c r="B851" s="78"/>
      <c r="C851" s="189"/>
      <c r="D851" s="185"/>
      <c r="E851" s="186"/>
      <c r="F851" s="187"/>
    </row>
    <row r="852" spans="1:6" x14ac:dyDescent="0.2">
      <c r="A852" s="275"/>
      <c r="B852" s="78"/>
      <c r="C852" s="189"/>
      <c r="D852" s="185"/>
      <c r="E852" s="186"/>
      <c r="F852" s="187"/>
    </row>
    <row r="853" spans="1:6" x14ac:dyDescent="0.2">
      <c r="A853" s="275"/>
      <c r="B853" s="78"/>
      <c r="C853" s="189"/>
      <c r="D853" s="185"/>
      <c r="E853" s="186"/>
      <c r="F853" s="187"/>
    </row>
    <row r="854" spans="1:6" x14ac:dyDescent="0.2">
      <c r="A854" s="275"/>
      <c r="B854" s="78"/>
      <c r="C854" s="189"/>
      <c r="D854" s="185"/>
      <c r="E854" s="186"/>
      <c r="F854" s="187"/>
    </row>
    <row r="855" spans="1:6" x14ac:dyDescent="0.2">
      <c r="A855" s="275"/>
      <c r="B855" s="78"/>
      <c r="C855" s="189"/>
      <c r="D855" s="185"/>
      <c r="E855" s="186"/>
      <c r="F855" s="187"/>
    </row>
    <row r="856" spans="1:6" x14ac:dyDescent="0.2">
      <c r="A856" s="275"/>
      <c r="B856" s="78"/>
      <c r="C856" s="189"/>
      <c r="D856" s="185"/>
      <c r="E856" s="186"/>
      <c r="F856" s="187"/>
    </row>
    <row r="857" spans="1:6" x14ac:dyDescent="0.2">
      <c r="A857" s="275"/>
      <c r="B857" s="78"/>
      <c r="C857" s="189"/>
      <c r="D857" s="185"/>
      <c r="E857" s="186"/>
      <c r="F857" s="187"/>
    </row>
    <row r="858" spans="1:6" x14ac:dyDescent="0.2">
      <c r="A858" s="275"/>
      <c r="B858" s="78"/>
      <c r="C858" s="189"/>
      <c r="D858" s="185"/>
      <c r="E858" s="186"/>
      <c r="F858" s="187"/>
    </row>
    <row r="859" spans="1:6" x14ac:dyDescent="0.2">
      <c r="A859" s="275"/>
      <c r="B859" s="78"/>
      <c r="C859" s="189"/>
      <c r="D859" s="185"/>
      <c r="E859" s="186"/>
      <c r="F859" s="187"/>
    </row>
    <row r="860" spans="1:6" x14ac:dyDescent="0.2">
      <c r="A860" s="275"/>
      <c r="B860" s="78"/>
      <c r="C860" s="189"/>
      <c r="D860" s="185"/>
      <c r="E860" s="186"/>
      <c r="F860" s="187"/>
    </row>
    <row r="861" spans="1:6" x14ac:dyDescent="0.2">
      <c r="A861" s="275"/>
      <c r="B861" s="78"/>
      <c r="C861" s="189"/>
      <c r="D861" s="185"/>
      <c r="E861" s="186"/>
      <c r="F861" s="187"/>
    </row>
    <row r="862" spans="1:6" x14ac:dyDescent="0.2">
      <c r="A862" s="275"/>
      <c r="B862" s="78"/>
      <c r="C862" s="189"/>
      <c r="D862" s="185"/>
      <c r="E862" s="186"/>
      <c r="F862" s="187"/>
    </row>
    <row r="863" spans="1:6" x14ac:dyDescent="0.2">
      <c r="A863" s="275"/>
      <c r="B863" s="78"/>
      <c r="C863" s="189"/>
      <c r="D863" s="185"/>
      <c r="E863" s="186"/>
      <c r="F863" s="187"/>
    </row>
    <row r="864" spans="1:6" x14ac:dyDescent="0.2">
      <c r="A864" s="275"/>
      <c r="B864" s="78"/>
      <c r="C864" s="189"/>
      <c r="D864" s="185"/>
      <c r="E864" s="186"/>
      <c r="F864" s="187"/>
    </row>
    <row r="865" spans="1:6" x14ac:dyDescent="0.2">
      <c r="A865" s="275"/>
      <c r="B865" s="78"/>
      <c r="C865" s="189"/>
      <c r="D865" s="185"/>
      <c r="E865" s="186"/>
      <c r="F865" s="187"/>
    </row>
    <row r="866" spans="1:6" x14ac:dyDescent="0.2">
      <c r="A866" s="275"/>
      <c r="B866" s="78"/>
      <c r="C866" s="189"/>
      <c r="D866" s="185"/>
      <c r="E866" s="186"/>
      <c r="F866" s="187"/>
    </row>
    <row r="867" spans="1:6" x14ac:dyDescent="0.2">
      <c r="A867" s="275"/>
      <c r="B867" s="78"/>
      <c r="C867" s="189"/>
      <c r="D867" s="185"/>
      <c r="E867" s="186"/>
      <c r="F867" s="187"/>
    </row>
    <row r="868" spans="1:6" x14ac:dyDescent="0.2">
      <c r="A868" s="275"/>
      <c r="B868" s="78"/>
      <c r="C868" s="189"/>
      <c r="D868" s="185"/>
      <c r="E868" s="186"/>
      <c r="F868" s="187"/>
    </row>
    <row r="869" spans="1:6" x14ac:dyDescent="0.2">
      <c r="A869" s="275"/>
      <c r="B869" s="78"/>
      <c r="C869" s="189"/>
      <c r="D869" s="185"/>
      <c r="E869" s="186"/>
      <c r="F869" s="187"/>
    </row>
    <row r="870" spans="1:6" x14ac:dyDescent="0.2">
      <c r="A870" s="275"/>
      <c r="B870" s="78"/>
      <c r="C870" s="189"/>
      <c r="D870" s="185"/>
      <c r="E870" s="186"/>
      <c r="F870" s="187"/>
    </row>
    <row r="871" spans="1:6" x14ac:dyDescent="0.2">
      <c r="A871" s="275"/>
      <c r="B871" s="78"/>
      <c r="C871" s="189"/>
      <c r="D871" s="185"/>
      <c r="E871" s="186"/>
      <c r="F871" s="187"/>
    </row>
    <row r="872" spans="1:6" x14ac:dyDescent="0.2">
      <c r="A872" s="275"/>
      <c r="B872" s="78"/>
      <c r="C872" s="189"/>
      <c r="D872" s="185"/>
      <c r="E872" s="186"/>
      <c r="F872" s="187"/>
    </row>
    <row r="873" spans="1:6" x14ac:dyDescent="0.2">
      <c r="A873" s="275"/>
      <c r="B873" s="78"/>
      <c r="C873" s="189"/>
      <c r="D873" s="185"/>
      <c r="E873" s="186"/>
      <c r="F873" s="187"/>
    </row>
    <row r="874" spans="1:6" x14ac:dyDescent="0.2">
      <c r="A874" s="275"/>
      <c r="B874" s="78"/>
      <c r="C874" s="189"/>
      <c r="D874" s="185"/>
      <c r="E874" s="186"/>
      <c r="F874" s="187"/>
    </row>
    <row r="875" spans="1:6" x14ac:dyDescent="0.2">
      <c r="A875" s="275"/>
      <c r="B875" s="78"/>
      <c r="C875" s="189"/>
      <c r="D875" s="185"/>
      <c r="E875" s="186"/>
      <c r="F875" s="187"/>
    </row>
    <row r="876" spans="1:6" x14ac:dyDescent="0.2">
      <c r="A876" s="275"/>
      <c r="B876" s="78"/>
      <c r="C876" s="189"/>
      <c r="D876" s="185"/>
      <c r="E876" s="186"/>
      <c r="F876" s="187"/>
    </row>
    <row r="877" spans="1:6" x14ac:dyDescent="0.2">
      <c r="A877" s="275"/>
      <c r="B877" s="78"/>
      <c r="C877" s="189"/>
      <c r="D877" s="185"/>
      <c r="E877" s="186"/>
      <c r="F877" s="187"/>
    </row>
    <row r="878" spans="1:6" x14ac:dyDescent="0.2">
      <c r="A878" s="275"/>
      <c r="B878" s="78"/>
      <c r="C878" s="189"/>
      <c r="D878" s="185"/>
      <c r="E878" s="186"/>
      <c r="F878" s="187"/>
    </row>
    <row r="879" spans="1:6" x14ac:dyDescent="0.2">
      <c r="A879" s="275"/>
      <c r="B879" s="78"/>
      <c r="C879" s="189"/>
      <c r="D879" s="185"/>
      <c r="E879" s="186"/>
      <c r="F879" s="187"/>
    </row>
    <row r="880" spans="1:6" x14ac:dyDescent="0.2">
      <c r="A880" s="275"/>
      <c r="B880" s="78"/>
      <c r="C880" s="189"/>
      <c r="D880" s="185"/>
      <c r="E880" s="186"/>
      <c r="F880" s="187"/>
    </row>
    <row r="881" spans="1:6" x14ac:dyDescent="0.2">
      <c r="A881" s="275"/>
      <c r="B881" s="78"/>
      <c r="C881" s="189"/>
      <c r="D881" s="185"/>
      <c r="E881" s="186"/>
      <c r="F881" s="187"/>
    </row>
    <row r="882" spans="1:6" x14ac:dyDescent="0.2">
      <c r="A882" s="275"/>
      <c r="B882" s="78"/>
      <c r="C882" s="189"/>
      <c r="D882" s="185"/>
      <c r="E882" s="186"/>
      <c r="F882" s="187"/>
    </row>
    <row r="883" spans="1:6" x14ac:dyDescent="0.2">
      <c r="A883" s="275"/>
      <c r="B883" s="78"/>
      <c r="C883" s="189"/>
      <c r="D883" s="185"/>
      <c r="E883" s="186"/>
      <c r="F883" s="187"/>
    </row>
    <row r="884" spans="1:6" x14ac:dyDescent="0.2">
      <c r="A884" s="275"/>
      <c r="B884" s="78"/>
      <c r="C884" s="189"/>
      <c r="D884" s="185"/>
      <c r="E884" s="186"/>
      <c r="F884" s="187"/>
    </row>
    <row r="885" spans="1:6" x14ac:dyDescent="0.2">
      <c r="A885" s="275"/>
      <c r="B885" s="78"/>
      <c r="C885" s="189"/>
      <c r="D885" s="185"/>
      <c r="E885" s="186"/>
      <c r="F885" s="187"/>
    </row>
    <row r="886" spans="1:6" x14ac:dyDescent="0.2">
      <c r="A886" s="275"/>
      <c r="B886" s="78"/>
      <c r="C886" s="189"/>
      <c r="D886" s="185"/>
      <c r="E886" s="186"/>
      <c r="F886" s="187"/>
    </row>
    <row r="887" spans="1:6" x14ac:dyDescent="0.2">
      <c r="A887" s="275"/>
      <c r="B887" s="78"/>
      <c r="C887" s="189"/>
      <c r="D887" s="185"/>
      <c r="E887" s="186"/>
      <c r="F887" s="187"/>
    </row>
    <row r="888" spans="1:6" x14ac:dyDescent="0.2">
      <c r="A888" s="275"/>
      <c r="B888" s="78"/>
      <c r="C888" s="189"/>
      <c r="D888" s="185"/>
      <c r="E888" s="186"/>
      <c r="F888" s="187"/>
    </row>
    <row r="889" spans="1:6" x14ac:dyDescent="0.2">
      <c r="A889" s="275"/>
      <c r="B889" s="78"/>
      <c r="C889" s="189"/>
      <c r="D889" s="185"/>
      <c r="E889" s="186"/>
      <c r="F889" s="187"/>
    </row>
    <row r="890" spans="1:6" x14ac:dyDescent="0.2">
      <c r="A890" s="275"/>
      <c r="B890" s="78"/>
      <c r="C890" s="189"/>
      <c r="D890" s="185"/>
      <c r="E890" s="186"/>
      <c r="F890" s="187"/>
    </row>
    <row r="891" spans="1:6" x14ac:dyDescent="0.2">
      <c r="A891" s="275"/>
      <c r="B891" s="78"/>
      <c r="C891" s="189"/>
      <c r="D891" s="185"/>
      <c r="E891" s="186"/>
      <c r="F891" s="187"/>
    </row>
    <row r="892" spans="1:6" x14ac:dyDescent="0.2">
      <c r="A892" s="275"/>
      <c r="B892" s="78"/>
      <c r="C892" s="189"/>
      <c r="D892" s="185"/>
      <c r="E892" s="186"/>
      <c r="F892" s="187"/>
    </row>
    <row r="893" spans="1:6" x14ac:dyDescent="0.2">
      <c r="A893" s="275"/>
      <c r="B893" s="78"/>
      <c r="C893" s="189"/>
      <c r="D893" s="185"/>
      <c r="E893" s="186"/>
      <c r="F893" s="187"/>
    </row>
    <row r="894" spans="1:6" x14ac:dyDescent="0.2">
      <c r="A894" s="275"/>
      <c r="B894" s="78"/>
      <c r="C894" s="189"/>
      <c r="D894" s="185"/>
      <c r="E894" s="186"/>
      <c r="F894" s="187"/>
    </row>
    <row r="895" spans="1:6" x14ac:dyDescent="0.2">
      <c r="A895" s="275"/>
      <c r="B895" s="78"/>
      <c r="C895" s="189"/>
      <c r="D895" s="185"/>
      <c r="E895" s="186"/>
      <c r="F895" s="187"/>
    </row>
    <row r="896" spans="1:6" x14ac:dyDescent="0.2">
      <c r="A896" s="275"/>
      <c r="B896" s="78"/>
      <c r="C896" s="189"/>
      <c r="D896" s="185"/>
      <c r="E896" s="186"/>
      <c r="F896" s="187"/>
    </row>
    <row r="897" spans="1:6" x14ac:dyDescent="0.2">
      <c r="A897" s="275"/>
      <c r="B897" s="78"/>
      <c r="C897" s="189"/>
      <c r="D897" s="185"/>
      <c r="E897" s="186"/>
      <c r="F897" s="187"/>
    </row>
    <row r="898" spans="1:6" x14ac:dyDescent="0.2">
      <c r="A898" s="275"/>
      <c r="B898" s="78"/>
      <c r="C898" s="189"/>
      <c r="D898" s="185"/>
      <c r="E898" s="186"/>
      <c r="F898" s="187"/>
    </row>
    <row r="899" spans="1:6" x14ac:dyDescent="0.2">
      <c r="A899" s="275"/>
      <c r="B899" s="78"/>
      <c r="C899" s="189"/>
      <c r="D899" s="185"/>
      <c r="E899" s="186"/>
      <c r="F899" s="187"/>
    </row>
    <row r="900" spans="1:6" x14ac:dyDescent="0.2">
      <c r="A900" s="275"/>
      <c r="B900" s="78"/>
      <c r="C900" s="189"/>
      <c r="D900" s="185"/>
      <c r="E900" s="186"/>
      <c r="F900" s="187"/>
    </row>
    <row r="901" spans="1:6" x14ac:dyDescent="0.2">
      <c r="A901" s="275"/>
      <c r="B901" s="78"/>
      <c r="C901" s="189"/>
      <c r="D901" s="185"/>
      <c r="E901" s="186"/>
      <c r="F901" s="187"/>
    </row>
    <row r="902" spans="1:6" x14ac:dyDescent="0.2">
      <c r="A902" s="275"/>
      <c r="B902" s="78"/>
      <c r="C902" s="189"/>
      <c r="D902" s="185"/>
      <c r="E902" s="186"/>
      <c r="F902" s="187"/>
    </row>
    <row r="903" spans="1:6" x14ac:dyDescent="0.2">
      <c r="A903" s="275"/>
      <c r="B903" s="78"/>
      <c r="C903" s="189"/>
      <c r="D903" s="185"/>
      <c r="E903" s="186"/>
      <c r="F903" s="187"/>
    </row>
    <row r="904" spans="1:6" x14ac:dyDescent="0.2">
      <c r="A904" s="275"/>
      <c r="B904" s="78"/>
      <c r="C904" s="189"/>
      <c r="D904" s="185"/>
      <c r="E904" s="186"/>
      <c r="F904" s="187"/>
    </row>
    <row r="905" spans="1:6" x14ac:dyDescent="0.2">
      <c r="A905" s="275"/>
      <c r="B905" s="78"/>
      <c r="C905" s="189"/>
      <c r="D905" s="185"/>
      <c r="E905" s="186"/>
      <c r="F905" s="187"/>
    </row>
    <row r="906" spans="1:6" x14ac:dyDescent="0.2">
      <c r="A906" s="275"/>
      <c r="B906" s="78"/>
      <c r="C906" s="189"/>
      <c r="D906" s="185"/>
      <c r="E906" s="186"/>
      <c r="F906" s="187"/>
    </row>
    <row r="907" spans="1:6" x14ac:dyDescent="0.2">
      <c r="A907" s="275"/>
      <c r="B907" s="78"/>
      <c r="C907" s="189"/>
      <c r="D907" s="185"/>
      <c r="E907" s="186"/>
      <c r="F907" s="187"/>
    </row>
    <row r="908" spans="1:6" x14ac:dyDescent="0.2">
      <c r="A908" s="275"/>
      <c r="B908" s="78"/>
      <c r="C908" s="189"/>
      <c r="D908" s="185"/>
      <c r="E908" s="186"/>
      <c r="F908" s="187"/>
    </row>
    <row r="909" spans="1:6" x14ac:dyDescent="0.2">
      <c r="A909" s="275"/>
      <c r="B909" s="78"/>
      <c r="C909" s="189"/>
      <c r="D909" s="185"/>
      <c r="E909" s="186"/>
      <c r="F909" s="187"/>
    </row>
    <row r="910" spans="1:6" x14ac:dyDescent="0.2">
      <c r="A910" s="275"/>
      <c r="B910" s="78"/>
      <c r="C910" s="189"/>
      <c r="D910" s="185"/>
      <c r="E910" s="186"/>
      <c r="F910" s="187"/>
    </row>
    <row r="911" spans="1:6" x14ac:dyDescent="0.2">
      <c r="A911" s="275"/>
      <c r="B911" s="78"/>
      <c r="C911" s="189"/>
      <c r="D911" s="185"/>
      <c r="E911" s="186"/>
      <c r="F911" s="187"/>
    </row>
    <row r="912" spans="1:6" x14ac:dyDescent="0.2">
      <c r="A912" s="275"/>
      <c r="B912" s="78"/>
      <c r="C912" s="189"/>
      <c r="D912" s="185"/>
      <c r="E912" s="186"/>
      <c r="F912" s="187"/>
    </row>
    <row r="913" spans="1:6" x14ac:dyDescent="0.2">
      <c r="A913" s="275"/>
      <c r="B913" s="78"/>
      <c r="C913" s="189"/>
      <c r="D913" s="185"/>
      <c r="E913" s="186"/>
      <c r="F913" s="187"/>
    </row>
    <row r="914" spans="1:6" x14ac:dyDescent="0.2">
      <c r="A914" s="275"/>
      <c r="B914" s="78"/>
      <c r="C914" s="189"/>
      <c r="D914" s="185"/>
      <c r="E914" s="186"/>
      <c r="F914" s="187"/>
    </row>
    <row r="915" spans="1:6" x14ac:dyDescent="0.2">
      <c r="A915" s="275"/>
      <c r="B915" s="78"/>
      <c r="C915" s="189"/>
      <c r="D915" s="185"/>
      <c r="E915" s="186"/>
      <c r="F915" s="187"/>
    </row>
    <row r="916" spans="1:6" x14ac:dyDescent="0.2">
      <c r="A916" s="275"/>
      <c r="B916" s="78"/>
      <c r="C916" s="189"/>
      <c r="D916" s="185"/>
      <c r="E916" s="186"/>
      <c r="F916" s="187"/>
    </row>
    <row r="917" spans="1:6" x14ac:dyDescent="0.2">
      <c r="A917" s="275"/>
      <c r="B917" s="78"/>
      <c r="C917" s="189"/>
      <c r="D917" s="185"/>
      <c r="E917" s="186"/>
      <c r="F917" s="187"/>
    </row>
    <row r="918" spans="1:6" x14ac:dyDescent="0.2">
      <c r="A918" s="275"/>
      <c r="B918" s="78"/>
      <c r="C918" s="189"/>
      <c r="D918" s="185"/>
      <c r="E918" s="186"/>
      <c r="F918" s="187"/>
    </row>
    <row r="919" spans="1:6" x14ac:dyDescent="0.2">
      <c r="A919" s="275"/>
      <c r="B919" s="78"/>
      <c r="C919" s="189"/>
      <c r="D919" s="185"/>
      <c r="E919" s="186"/>
      <c r="F919" s="187"/>
    </row>
    <row r="920" spans="1:6" x14ac:dyDescent="0.2">
      <c r="A920" s="275"/>
      <c r="B920" s="78"/>
      <c r="C920" s="189"/>
      <c r="D920" s="185"/>
      <c r="E920" s="186"/>
      <c r="F920" s="187"/>
    </row>
    <row r="921" spans="1:6" x14ac:dyDescent="0.2">
      <c r="A921" s="275"/>
      <c r="B921" s="78"/>
      <c r="C921" s="189"/>
      <c r="D921" s="185"/>
      <c r="E921" s="186"/>
      <c r="F921" s="187"/>
    </row>
    <row r="922" spans="1:6" x14ac:dyDescent="0.2">
      <c r="A922" s="275"/>
      <c r="B922" s="78"/>
      <c r="C922" s="189"/>
      <c r="D922" s="185"/>
      <c r="E922" s="186"/>
      <c r="F922" s="187"/>
    </row>
    <row r="923" spans="1:6" x14ac:dyDescent="0.2">
      <c r="A923" s="275"/>
      <c r="B923" s="78"/>
      <c r="C923" s="189"/>
      <c r="D923" s="185"/>
      <c r="E923" s="186"/>
      <c r="F923" s="187"/>
    </row>
    <row r="924" spans="1:6" x14ac:dyDescent="0.2">
      <c r="A924" s="275"/>
      <c r="B924" s="78"/>
      <c r="C924" s="189"/>
      <c r="D924" s="185"/>
      <c r="E924" s="186"/>
      <c r="F924" s="187"/>
    </row>
    <row r="925" spans="1:6" x14ac:dyDescent="0.2">
      <c r="A925" s="275"/>
      <c r="B925" s="78"/>
      <c r="C925" s="189"/>
      <c r="D925" s="185"/>
      <c r="E925" s="186"/>
      <c r="F925" s="187"/>
    </row>
    <row r="926" spans="1:6" x14ac:dyDescent="0.2">
      <c r="A926" s="275"/>
      <c r="B926" s="78"/>
      <c r="C926" s="189"/>
      <c r="D926" s="185"/>
      <c r="E926" s="186"/>
      <c r="F926" s="187"/>
    </row>
    <row r="927" spans="1:6" x14ac:dyDescent="0.2">
      <c r="A927" s="275"/>
      <c r="B927" s="78"/>
      <c r="C927" s="189"/>
      <c r="D927" s="185"/>
      <c r="E927" s="186"/>
      <c r="F927" s="187"/>
    </row>
    <row r="928" spans="1:6" x14ac:dyDescent="0.2">
      <c r="A928" s="275"/>
      <c r="B928" s="78"/>
      <c r="C928" s="189"/>
      <c r="D928" s="185"/>
      <c r="E928" s="186"/>
      <c r="F928" s="187"/>
    </row>
    <row r="929" spans="1:6" x14ac:dyDescent="0.2">
      <c r="A929" s="275"/>
      <c r="B929" s="78"/>
      <c r="C929" s="189"/>
      <c r="D929" s="185"/>
      <c r="E929" s="186"/>
      <c r="F929" s="187"/>
    </row>
    <row r="930" spans="1:6" x14ac:dyDescent="0.2">
      <c r="A930" s="275"/>
      <c r="B930" s="78"/>
      <c r="C930" s="189"/>
      <c r="D930" s="185"/>
      <c r="E930" s="186"/>
      <c r="F930" s="187"/>
    </row>
    <row r="931" spans="1:6" x14ac:dyDescent="0.2">
      <c r="A931" s="275"/>
      <c r="B931" s="78"/>
      <c r="C931" s="189"/>
      <c r="D931" s="185"/>
      <c r="E931" s="186"/>
      <c r="F931" s="187"/>
    </row>
    <row r="932" spans="1:6" x14ac:dyDescent="0.2">
      <c r="A932" s="275"/>
      <c r="B932" s="78"/>
      <c r="C932" s="189"/>
      <c r="D932" s="185"/>
      <c r="E932" s="186"/>
      <c r="F932" s="187"/>
    </row>
    <row r="933" spans="1:6" x14ac:dyDescent="0.2">
      <c r="A933" s="275"/>
      <c r="B933" s="78"/>
      <c r="C933" s="189"/>
      <c r="D933" s="185"/>
      <c r="E933" s="186"/>
      <c r="F933" s="187"/>
    </row>
    <row r="934" spans="1:6" x14ac:dyDescent="0.2">
      <c r="A934" s="275"/>
      <c r="B934" s="78"/>
      <c r="C934" s="189"/>
      <c r="D934" s="185"/>
      <c r="E934" s="186"/>
      <c r="F934" s="187"/>
    </row>
    <row r="935" spans="1:6" x14ac:dyDescent="0.2">
      <c r="A935" s="275"/>
      <c r="B935" s="78"/>
      <c r="C935" s="189"/>
      <c r="D935" s="185"/>
      <c r="E935" s="186"/>
      <c r="F935" s="187"/>
    </row>
    <row r="936" spans="1:6" x14ac:dyDescent="0.2">
      <c r="A936" s="275"/>
      <c r="B936" s="78"/>
      <c r="C936" s="189"/>
      <c r="D936" s="185"/>
      <c r="E936" s="186"/>
      <c r="F936" s="187"/>
    </row>
    <row r="937" spans="1:6" x14ac:dyDescent="0.2">
      <c r="A937" s="275"/>
      <c r="B937" s="78"/>
      <c r="C937" s="189"/>
      <c r="D937" s="185"/>
      <c r="E937" s="186"/>
      <c r="F937" s="187"/>
    </row>
    <row r="938" spans="1:6" x14ac:dyDescent="0.2">
      <c r="A938" s="275"/>
      <c r="B938" s="78"/>
      <c r="C938" s="189"/>
      <c r="D938" s="185"/>
      <c r="E938" s="186"/>
      <c r="F938" s="187"/>
    </row>
    <row r="939" spans="1:6" x14ac:dyDescent="0.2">
      <c r="A939" s="275"/>
      <c r="B939" s="78"/>
      <c r="C939" s="189"/>
      <c r="D939" s="185"/>
      <c r="E939" s="186"/>
      <c r="F939" s="187"/>
    </row>
    <row r="940" spans="1:6" x14ac:dyDescent="0.2">
      <c r="A940" s="275"/>
      <c r="B940" s="78"/>
      <c r="C940" s="189"/>
      <c r="D940" s="185"/>
      <c r="E940" s="186"/>
      <c r="F940" s="187"/>
    </row>
    <row r="941" spans="1:6" x14ac:dyDescent="0.2">
      <c r="A941" s="275"/>
      <c r="B941" s="78"/>
      <c r="C941" s="189"/>
      <c r="D941" s="185"/>
      <c r="E941" s="186"/>
      <c r="F941" s="187"/>
    </row>
    <row r="942" spans="1:6" x14ac:dyDescent="0.2">
      <c r="A942" s="275"/>
      <c r="B942" s="78"/>
      <c r="C942" s="189"/>
      <c r="D942" s="185"/>
      <c r="E942" s="186"/>
      <c r="F942" s="187"/>
    </row>
    <row r="943" spans="1:6" x14ac:dyDescent="0.2">
      <c r="A943" s="275"/>
      <c r="B943" s="78"/>
      <c r="C943" s="189"/>
      <c r="D943" s="185"/>
      <c r="E943" s="186"/>
      <c r="F943" s="187"/>
    </row>
    <row r="944" spans="1:6" x14ac:dyDescent="0.2">
      <c r="A944" s="275"/>
      <c r="B944" s="78"/>
      <c r="C944" s="189"/>
      <c r="D944" s="185"/>
      <c r="E944" s="186"/>
      <c r="F944" s="187"/>
    </row>
    <row r="945" spans="1:6" x14ac:dyDescent="0.2">
      <c r="A945" s="275"/>
      <c r="B945" s="78"/>
      <c r="C945" s="189"/>
      <c r="D945" s="185"/>
      <c r="E945" s="186"/>
      <c r="F945" s="187"/>
    </row>
    <row r="946" spans="1:6" x14ac:dyDescent="0.2">
      <c r="A946" s="275"/>
      <c r="B946" s="78"/>
      <c r="C946" s="189"/>
      <c r="D946" s="185"/>
      <c r="E946" s="186"/>
      <c r="F946" s="187"/>
    </row>
    <row r="947" spans="1:6" x14ac:dyDescent="0.2">
      <c r="A947" s="275"/>
      <c r="B947" s="78"/>
      <c r="C947" s="189"/>
      <c r="D947" s="185"/>
      <c r="E947" s="186"/>
      <c r="F947" s="187"/>
    </row>
    <row r="948" spans="1:6" x14ac:dyDescent="0.2">
      <c r="A948" s="275"/>
      <c r="B948" s="78"/>
      <c r="C948" s="189"/>
      <c r="D948" s="185"/>
      <c r="E948" s="186"/>
      <c r="F948" s="187"/>
    </row>
    <row r="949" spans="1:6" x14ac:dyDescent="0.2">
      <c r="A949" s="275"/>
      <c r="B949" s="78"/>
      <c r="C949" s="189"/>
      <c r="D949" s="185"/>
      <c r="E949" s="186"/>
      <c r="F949" s="187"/>
    </row>
    <row r="950" spans="1:6" x14ac:dyDescent="0.2">
      <c r="A950" s="275"/>
      <c r="B950" s="78"/>
      <c r="C950" s="189"/>
      <c r="D950" s="185"/>
      <c r="E950" s="186"/>
      <c r="F950" s="187"/>
    </row>
    <row r="951" spans="1:6" x14ac:dyDescent="0.2">
      <c r="A951" s="275"/>
      <c r="B951" s="78"/>
      <c r="C951" s="189"/>
      <c r="D951" s="185"/>
      <c r="E951" s="186"/>
      <c r="F951" s="187"/>
    </row>
    <row r="952" spans="1:6" x14ac:dyDescent="0.2">
      <c r="A952" s="275"/>
      <c r="B952" s="78"/>
      <c r="C952" s="189"/>
      <c r="D952" s="185"/>
      <c r="E952" s="186"/>
      <c r="F952" s="187"/>
    </row>
    <row r="953" spans="1:6" x14ac:dyDescent="0.2">
      <c r="A953" s="275"/>
      <c r="B953" s="78"/>
      <c r="C953" s="189"/>
      <c r="D953" s="185"/>
      <c r="E953" s="186"/>
      <c r="F953" s="187"/>
    </row>
    <row r="954" spans="1:6" x14ac:dyDescent="0.2">
      <c r="A954" s="275"/>
      <c r="B954" s="78"/>
      <c r="C954" s="189"/>
      <c r="D954" s="185"/>
      <c r="E954" s="186"/>
      <c r="F954" s="187"/>
    </row>
    <row r="955" spans="1:6" x14ac:dyDescent="0.2">
      <c r="A955" s="275"/>
      <c r="B955" s="78"/>
      <c r="C955" s="189"/>
      <c r="D955" s="185"/>
      <c r="E955" s="186"/>
      <c r="F955" s="187"/>
    </row>
    <row r="956" spans="1:6" x14ac:dyDescent="0.2">
      <c r="A956" s="275"/>
      <c r="B956" s="78"/>
      <c r="C956" s="189"/>
      <c r="D956" s="185"/>
      <c r="E956" s="186"/>
      <c r="F956" s="187"/>
    </row>
    <row r="957" spans="1:6" x14ac:dyDescent="0.2">
      <c r="A957" s="275"/>
      <c r="B957" s="78"/>
      <c r="C957" s="189"/>
      <c r="D957" s="185"/>
      <c r="E957" s="186"/>
      <c r="F957" s="187"/>
    </row>
    <row r="958" spans="1:6" x14ac:dyDescent="0.2">
      <c r="A958" s="275"/>
      <c r="B958" s="78"/>
      <c r="C958" s="189"/>
      <c r="D958" s="185"/>
      <c r="E958" s="186"/>
      <c r="F958" s="187"/>
    </row>
    <row r="959" spans="1:6" x14ac:dyDescent="0.2">
      <c r="A959" s="275"/>
      <c r="B959" s="78"/>
      <c r="C959" s="189"/>
      <c r="D959" s="185"/>
      <c r="E959" s="186"/>
      <c r="F959" s="187"/>
    </row>
    <row r="960" spans="1:6" x14ac:dyDescent="0.2">
      <c r="A960" s="275"/>
      <c r="B960" s="78"/>
      <c r="C960" s="189"/>
      <c r="D960" s="185"/>
      <c r="E960" s="186"/>
      <c r="F960" s="187"/>
    </row>
    <row r="961" spans="1:6" x14ac:dyDescent="0.2">
      <c r="A961" s="275"/>
      <c r="B961" s="78"/>
      <c r="C961" s="189"/>
      <c r="D961" s="185"/>
      <c r="E961" s="186"/>
      <c r="F961" s="187"/>
    </row>
    <row r="962" spans="1:6" x14ac:dyDescent="0.2">
      <c r="A962" s="275"/>
      <c r="B962" s="78"/>
      <c r="C962" s="189"/>
      <c r="D962" s="185"/>
      <c r="E962" s="186"/>
      <c r="F962" s="187"/>
    </row>
    <row r="963" spans="1:6" x14ac:dyDescent="0.2">
      <c r="A963" s="275"/>
      <c r="B963" s="78"/>
      <c r="C963" s="189"/>
      <c r="D963" s="185"/>
      <c r="E963" s="186"/>
      <c r="F963" s="187"/>
    </row>
    <row r="964" spans="1:6" x14ac:dyDescent="0.2">
      <c r="A964" s="275"/>
      <c r="B964" s="78"/>
      <c r="C964" s="189"/>
      <c r="D964" s="185"/>
      <c r="E964" s="186"/>
      <c r="F964" s="187"/>
    </row>
    <row r="965" spans="1:6" x14ac:dyDescent="0.2">
      <c r="A965" s="275"/>
      <c r="B965" s="78"/>
      <c r="C965" s="189"/>
      <c r="D965" s="185"/>
      <c r="E965" s="186"/>
      <c r="F965" s="187"/>
    </row>
    <row r="966" spans="1:6" x14ac:dyDescent="0.2">
      <c r="A966" s="275"/>
      <c r="B966" s="78"/>
      <c r="C966" s="189"/>
      <c r="D966" s="185"/>
      <c r="E966" s="186"/>
      <c r="F966" s="187"/>
    </row>
    <row r="967" spans="1:6" x14ac:dyDescent="0.2">
      <c r="A967" s="275"/>
      <c r="B967" s="78"/>
      <c r="C967" s="189"/>
      <c r="D967" s="185"/>
      <c r="E967" s="186"/>
      <c r="F967" s="187"/>
    </row>
    <row r="968" spans="1:6" x14ac:dyDescent="0.2">
      <c r="A968" s="275"/>
      <c r="B968" s="78"/>
      <c r="C968" s="189"/>
      <c r="D968" s="185"/>
      <c r="E968" s="186"/>
      <c r="F968" s="187"/>
    </row>
    <row r="969" spans="1:6" x14ac:dyDescent="0.2">
      <c r="A969" s="275"/>
      <c r="B969" s="78"/>
      <c r="C969" s="189"/>
      <c r="D969" s="185"/>
      <c r="E969" s="186"/>
      <c r="F969" s="187"/>
    </row>
    <row r="970" spans="1:6" x14ac:dyDescent="0.2">
      <c r="A970" s="275"/>
      <c r="B970" s="78"/>
      <c r="C970" s="189"/>
      <c r="D970" s="185"/>
      <c r="E970" s="186"/>
      <c r="F970" s="187"/>
    </row>
    <row r="971" spans="1:6" x14ac:dyDescent="0.2">
      <c r="A971" s="275"/>
      <c r="B971" s="78"/>
      <c r="C971" s="189"/>
      <c r="D971" s="185"/>
      <c r="E971" s="186"/>
      <c r="F971" s="187"/>
    </row>
    <row r="972" spans="1:6" x14ac:dyDescent="0.2">
      <c r="A972" s="275"/>
      <c r="B972" s="78"/>
      <c r="C972" s="189"/>
      <c r="D972" s="185"/>
      <c r="E972" s="186"/>
      <c r="F972" s="187"/>
    </row>
    <row r="973" spans="1:6" x14ac:dyDescent="0.2">
      <c r="A973" s="275"/>
      <c r="B973" s="78"/>
      <c r="C973" s="189"/>
      <c r="D973" s="185"/>
      <c r="E973" s="186"/>
      <c r="F973" s="187"/>
    </row>
    <row r="974" spans="1:6" x14ac:dyDescent="0.2">
      <c r="A974" s="275"/>
      <c r="B974" s="78"/>
      <c r="C974" s="189"/>
      <c r="D974" s="185"/>
      <c r="E974" s="186"/>
      <c r="F974" s="187"/>
    </row>
    <row r="975" spans="1:6" x14ac:dyDescent="0.2">
      <c r="A975" s="275"/>
      <c r="B975" s="78"/>
      <c r="C975" s="189"/>
      <c r="D975" s="185"/>
      <c r="E975" s="186"/>
      <c r="F975" s="187"/>
    </row>
    <row r="976" spans="1:6" x14ac:dyDescent="0.2">
      <c r="A976" s="275"/>
      <c r="B976" s="78"/>
      <c r="C976" s="189"/>
      <c r="D976" s="185"/>
      <c r="E976" s="186"/>
      <c r="F976" s="187"/>
    </row>
    <row r="977" spans="1:6" x14ac:dyDescent="0.2">
      <c r="A977" s="275"/>
      <c r="B977" s="78"/>
      <c r="C977" s="189"/>
      <c r="D977" s="185"/>
      <c r="E977" s="186"/>
      <c r="F977" s="187"/>
    </row>
    <row r="978" spans="1:6" x14ac:dyDescent="0.2">
      <c r="A978" s="275"/>
      <c r="B978" s="78"/>
      <c r="C978" s="189"/>
      <c r="D978" s="185"/>
      <c r="E978" s="186"/>
      <c r="F978" s="187"/>
    </row>
    <row r="979" spans="1:6" x14ac:dyDescent="0.2">
      <c r="A979" s="275"/>
      <c r="B979" s="78"/>
      <c r="C979" s="189"/>
      <c r="D979" s="185"/>
      <c r="E979" s="186"/>
      <c r="F979" s="187"/>
    </row>
    <row r="980" spans="1:6" x14ac:dyDescent="0.2">
      <c r="A980" s="275"/>
      <c r="B980" s="78"/>
      <c r="C980" s="189"/>
      <c r="D980" s="185"/>
      <c r="E980" s="186"/>
      <c r="F980" s="187"/>
    </row>
    <row r="981" spans="1:6" x14ac:dyDescent="0.2">
      <c r="A981" s="275"/>
      <c r="B981" s="78"/>
      <c r="C981" s="189"/>
      <c r="D981" s="185"/>
      <c r="E981" s="186"/>
      <c r="F981" s="187"/>
    </row>
    <row r="982" spans="1:6" x14ac:dyDescent="0.2">
      <c r="A982" s="275"/>
      <c r="B982" s="78"/>
      <c r="C982" s="189"/>
      <c r="D982" s="185"/>
      <c r="E982" s="186"/>
      <c r="F982" s="187"/>
    </row>
    <row r="983" spans="1:6" x14ac:dyDescent="0.2">
      <c r="A983" s="275"/>
      <c r="B983" s="78"/>
      <c r="C983" s="189"/>
      <c r="D983" s="185"/>
      <c r="E983" s="186"/>
      <c r="F983" s="187"/>
    </row>
    <row r="984" spans="1:6" x14ac:dyDescent="0.2">
      <c r="A984" s="275"/>
      <c r="B984" s="78"/>
      <c r="C984" s="189"/>
      <c r="D984" s="185"/>
      <c r="E984" s="186"/>
      <c r="F984" s="187"/>
    </row>
    <row r="985" spans="1:6" x14ac:dyDescent="0.2">
      <c r="A985" s="275"/>
      <c r="B985" s="78"/>
      <c r="C985" s="189"/>
      <c r="D985" s="185"/>
      <c r="E985" s="186"/>
      <c r="F985" s="187"/>
    </row>
    <row r="986" spans="1:6" x14ac:dyDescent="0.2">
      <c r="A986" s="275"/>
      <c r="B986" s="78"/>
      <c r="C986" s="189"/>
      <c r="D986" s="185"/>
      <c r="E986" s="186"/>
      <c r="F986" s="187"/>
    </row>
    <row r="987" spans="1:6" x14ac:dyDescent="0.2">
      <c r="A987" s="275"/>
      <c r="B987" s="78"/>
      <c r="C987" s="189"/>
      <c r="D987" s="185"/>
      <c r="E987" s="186"/>
      <c r="F987" s="187"/>
    </row>
    <row r="988" spans="1:6" x14ac:dyDescent="0.2">
      <c r="A988" s="275"/>
      <c r="B988" s="78"/>
      <c r="C988" s="189"/>
      <c r="D988" s="185"/>
      <c r="E988" s="186"/>
      <c r="F988" s="187"/>
    </row>
    <row r="989" spans="1:6" x14ac:dyDescent="0.2">
      <c r="A989" s="275"/>
      <c r="B989" s="78"/>
      <c r="C989" s="189"/>
      <c r="D989" s="185"/>
      <c r="E989" s="186"/>
      <c r="F989" s="187"/>
    </row>
    <row r="990" spans="1:6" x14ac:dyDescent="0.2">
      <c r="A990" s="275"/>
      <c r="B990" s="78"/>
      <c r="C990" s="189"/>
      <c r="D990" s="185"/>
      <c r="E990" s="186"/>
      <c r="F990" s="187"/>
    </row>
    <row r="991" spans="1:6" x14ac:dyDescent="0.2">
      <c r="A991" s="275"/>
      <c r="B991" s="78"/>
      <c r="C991" s="189"/>
      <c r="D991" s="185"/>
      <c r="E991" s="186"/>
      <c r="F991" s="187"/>
    </row>
    <row r="992" spans="1:6" x14ac:dyDescent="0.2">
      <c r="A992" s="275"/>
      <c r="B992" s="78"/>
      <c r="C992" s="189"/>
      <c r="D992" s="185"/>
      <c r="E992" s="186"/>
      <c r="F992" s="187"/>
    </row>
    <row r="993" spans="1:6" x14ac:dyDescent="0.2">
      <c r="A993" s="275"/>
      <c r="B993" s="78"/>
      <c r="C993" s="189"/>
      <c r="D993" s="185"/>
      <c r="E993" s="186"/>
      <c r="F993" s="187"/>
    </row>
    <row r="994" spans="1:6" x14ac:dyDescent="0.2">
      <c r="A994" s="275"/>
      <c r="B994" s="78"/>
      <c r="C994" s="189"/>
      <c r="D994" s="185"/>
      <c r="E994" s="186"/>
      <c r="F994" s="187"/>
    </row>
    <row r="995" spans="1:6" x14ac:dyDescent="0.2">
      <c r="A995" s="275"/>
      <c r="B995" s="78"/>
      <c r="C995" s="189"/>
      <c r="D995" s="185"/>
      <c r="E995" s="186"/>
      <c r="F995" s="187"/>
    </row>
    <row r="996" spans="1:6" x14ac:dyDescent="0.2">
      <c r="A996" s="275"/>
      <c r="B996" s="78"/>
      <c r="C996" s="189"/>
      <c r="D996" s="185"/>
      <c r="E996" s="186"/>
      <c r="F996" s="187"/>
    </row>
    <row r="997" spans="1:6" x14ac:dyDescent="0.2">
      <c r="A997" s="275"/>
      <c r="B997" s="78"/>
      <c r="C997" s="189"/>
      <c r="D997" s="185"/>
      <c r="E997" s="186"/>
      <c r="F997" s="187"/>
    </row>
    <row r="998" spans="1:6" x14ac:dyDescent="0.2">
      <c r="A998" s="275"/>
      <c r="B998" s="78"/>
      <c r="C998" s="189"/>
      <c r="D998" s="185"/>
      <c r="E998" s="186"/>
      <c r="F998" s="187"/>
    </row>
    <row r="999" spans="1:6" x14ac:dyDescent="0.2">
      <c r="A999" s="275"/>
      <c r="B999" s="78"/>
      <c r="C999" s="189"/>
      <c r="D999" s="185"/>
      <c r="E999" s="186"/>
      <c r="F999" s="187"/>
    </row>
    <row r="1000" spans="1:6" x14ac:dyDescent="0.2">
      <c r="A1000" s="275"/>
      <c r="B1000" s="78"/>
      <c r="C1000" s="189"/>
      <c r="D1000" s="185"/>
      <c r="E1000" s="186"/>
      <c r="F1000" s="187"/>
    </row>
    <row r="1001" spans="1:6" x14ac:dyDescent="0.2">
      <c r="A1001" s="275"/>
      <c r="B1001" s="78"/>
      <c r="C1001" s="189"/>
      <c r="D1001" s="185"/>
      <c r="E1001" s="186"/>
      <c r="F1001" s="187"/>
    </row>
    <row r="1002" spans="1:6" x14ac:dyDescent="0.2">
      <c r="A1002" s="275"/>
      <c r="B1002" s="78"/>
      <c r="C1002" s="189"/>
      <c r="D1002" s="185"/>
      <c r="E1002" s="186"/>
      <c r="F1002" s="187"/>
    </row>
    <row r="1003" spans="1:6" x14ac:dyDescent="0.2">
      <c r="A1003" s="275"/>
      <c r="B1003" s="78"/>
      <c r="C1003" s="189"/>
      <c r="D1003" s="185"/>
      <c r="E1003" s="186"/>
      <c r="F1003" s="187"/>
    </row>
    <row r="1004" spans="1:6" x14ac:dyDescent="0.2">
      <c r="A1004" s="275"/>
      <c r="B1004" s="78"/>
      <c r="C1004" s="189"/>
      <c r="D1004" s="185"/>
      <c r="E1004" s="186"/>
      <c r="F1004" s="187"/>
    </row>
    <row r="1005" spans="1:6" x14ac:dyDescent="0.2">
      <c r="A1005" s="275"/>
      <c r="B1005" s="78"/>
      <c r="C1005" s="189"/>
      <c r="D1005" s="185"/>
      <c r="E1005" s="186"/>
      <c r="F1005" s="187"/>
    </row>
    <row r="1006" spans="1:6" x14ac:dyDescent="0.2">
      <c r="A1006" s="275"/>
      <c r="B1006" s="78"/>
      <c r="C1006" s="189"/>
      <c r="D1006" s="185"/>
      <c r="E1006" s="186"/>
      <c r="F1006" s="187"/>
    </row>
    <row r="1007" spans="1:6" x14ac:dyDescent="0.2">
      <c r="A1007" s="275"/>
      <c r="B1007" s="78"/>
      <c r="C1007" s="189"/>
      <c r="D1007" s="185"/>
      <c r="E1007" s="186"/>
      <c r="F1007" s="187"/>
    </row>
    <row r="1008" spans="1:6" x14ac:dyDescent="0.2">
      <c r="A1008" s="275"/>
      <c r="B1008" s="78"/>
      <c r="C1008" s="189"/>
      <c r="D1008" s="185"/>
      <c r="E1008" s="186"/>
      <c r="F1008" s="187"/>
    </row>
    <row r="1009" spans="1:6" x14ac:dyDescent="0.2">
      <c r="A1009" s="275"/>
      <c r="B1009" s="78"/>
      <c r="C1009" s="189"/>
      <c r="D1009" s="185"/>
      <c r="E1009" s="186"/>
      <c r="F1009" s="187"/>
    </row>
    <row r="1010" spans="1:6" x14ac:dyDescent="0.2">
      <c r="A1010" s="275"/>
      <c r="B1010" s="78"/>
      <c r="C1010" s="189"/>
      <c r="D1010" s="185"/>
      <c r="E1010" s="186"/>
      <c r="F1010" s="187"/>
    </row>
    <row r="1011" spans="1:6" x14ac:dyDescent="0.2">
      <c r="A1011" s="275"/>
      <c r="B1011" s="78"/>
      <c r="C1011" s="189"/>
      <c r="D1011" s="185"/>
      <c r="E1011" s="186"/>
      <c r="F1011" s="187"/>
    </row>
    <row r="1012" spans="1:6" x14ac:dyDescent="0.2">
      <c r="A1012" s="275"/>
      <c r="B1012" s="78"/>
      <c r="C1012" s="189"/>
      <c r="D1012" s="185"/>
      <c r="E1012" s="186"/>
      <c r="F1012" s="187"/>
    </row>
    <row r="1013" spans="1:6" x14ac:dyDescent="0.2">
      <c r="A1013" s="275"/>
      <c r="B1013" s="78"/>
      <c r="C1013" s="189"/>
      <c r="D1013" s="185"/>
      <c r="E1013" s="186"/>
      <c r="F1013" s="187"/>
    </row>
    <row r="1014" spans="1:6" x14ac:dyDescent="0.2">
      <c r="A1014" s="275"/>
      <c r="B1014" s="78"/>
      <c r="C1014" s="189"/>
      <c r="D1014" s="185"/>
      <c r="E1014" s="186"/>
      <c r="F1014" s="187"/>
    </row>
    <row r="1015" spans="1:6" x14ac:dyDescent="0.2">
      <c r="A1015" s="275"/>
      <c r="B1015" s="78"/>
      <c r="C1015" s="189"/>
      <c r="D1015" s="185"/>
      <c r="E1015" s="186"/>
      <c r="F1015" s="187"/>
    </row>
    <row r="1016" spans="1:6" x14ac:dyDescent="0.2">
      <c r="A1016" s="275"/>
      <c r="B1016" s="78"/>
      <c r="C1016" s="189"/>
      <c r="D1016" s="185"/>
      <c r="E1016" s="186"/>
      <c r="F1016" s="187"/>
    </row>
    <row r="1017" spans="1:6" x14ac:dyDescent="0.2">
      <c r="A1017" s="275"/>
      <c r="B1017" s="78"/>
      <c r="C1017" s="189"/>
      <c r="D1017" s="185"/>
      <c r="E1017" s="186"/>
      <c r="F1017" s="187"/>
    </row>
    <row r="1018" spans="1:6" x14ac:dyDescent="0.2">
      <c r="A1018" s="275"/>
      <c r="B1018" s="78"/>
      <c r="C1018" s="189"/>
      <c r="D1018" s="185"/>
      <c r="E1018" s="186"/>
      <c r="F1018" s="187"/>
    </row>
    <row r="1019" spans="1:6" x14ac:dyDescent="0.2">
      <c r="A1019" s="275"/>
      <c r="B1019" s="78"/>
      <c r="C1019" s="189"/>
      <c r="D1019" s="185"/>
      <c r="E1019" s="186"/>
      <c r="F1019" s="187"/>
    </row>
    <row r="1020" spans="1:6" x14ac:dyDescent="0.2">
      <c r="A1020" s="275"/>
      <c r="B1020" s="78"/>
      <c r="C1020" s="189"/>
      <c r="D1020" s="185"/>
      <c r="E1020" s="186"/>
      <c r="F1020" s="187"/>
    </row>
    <row r="1021" spans="1:6" x14ac:dyDescent="0.2">
      <c r="A1021" s="275"/>
      <c r="B1021" s="78"/>
      <c r="C1021" s="189"/>
      <c r="D1021" s="185"/>
      <c r="E1021" s="186"/>
      <c r="F1021" s="187"/>
    </row>
    <row r="1022" spans="1:6" x14ac:dyDescent="0.2">
      <c r="A1022" s="275"/>
      <c r="B1022" s="78"/>
      <c r="C1022" s="189"/>
      <c r="D1022" s="185"/>
      <c r="E1022" s="186"/>
      <c r="F1022" s="187"/>
    </row>
    <row r="1023" spans="1:6" x14ac:dyDescent="0.2">
      <c r="A1023" s="275"/>
      <c r="B1023" s="78"/>
      <c r="C1023" s="189"/>
      <c r="D1023" s="185"/>
      <c r="E1023" s="186"/>
      <c r="F1023" s="187"/>
    </row>
    <row r="1024" spans="1:6" x14ac:dyDescent="0.2">
      <c r="A1024" s="275"/>
      <c r="B1024" s="78"/>
      <c r="C1024" s="189"/>
      <c r="D1024" s="185"/>
      <c r="E1024" s="186"/>
      <c r="F1024" s="187"/>
    </row>
    <row r="1025" spans="1:6" x14ac:dyDescent="0.2">
      <c r="A1025" s="275"/>
      <c r="B1025" s="78"/>
      <c r="C1025" s="189"/>
      <c r="D1025" s="185"/>
      <c r="E1025" s="186"/>
      <c r="F1025" s="187"/>
    </row>
    <row r="1026" spans="1:6" x14ac:dyDescent="0.2">
      <c r="A1026" s="275"/>
      <c r="B1026" s="78"/>
      <c r="C1026" s="189"/>
      <c r="D1026" s="185"/>
      <c r="E1026" s="186"/>
      <c r="F1026" s="187"/>
    </row>
    <row r="1027" spans="1:6" x14ac:dyDescent="0.2">
      <c r="A1027" s="275"/>
      <c r="B1027" s="78"/>
      <c r="C1027" s="189"/>
      <c r="D1027" s="185"/>
      <c r="E1027" s="186"/>
      <c r="F1027" s="187"/>
    </row>
    <row r="1028" spans="1:6" x14ac:dyDescent="0.2">
      <c r="A1028" s="275"/>
      <c r="B1028" s="78"/>
      <c r="C1028" s="189"/>
      <c r="D1028" s="185"/>
      <c r="E1028" s="186"/>
      <c r="F1028" s="187"/>
    </row>
    <row r="1029" spans="1:6" x14ac:dyDescent="0.2">
      <c r="A1029" s="275"/>
      <c r="B1029" s="78"/>
      <c r="C1029" s="189"/>
      <c r="D1029" s="185"/>
      <c r="E1029" s="186"/>
      <c r="F1029" s="187"/>
    </row>
    <row r="1030" spans="1:6" x14ac:dyDescent="0.2">
      <c r="A1030" s="275"/>
      <c r="B1030" s="78"/>
      <c r="C1030" s="189"/>
      <c r="D1030" s="185"/>
      <c r="E1030" s="186"/>
      <c r="F1030" s="187"/>
    </row>
    <row r="1031" spans="1:6" x14ac:dyDescent="0.2">
      <c r="A1031" s="275"/>
      <c r="B1031" s="78"/>
      <c r="C1031" s="189"/>
      <c r="D1031" s="185"/>
      <c r="E1031" s="186"/>
      <c r="F1031" s="187"/>
    </row>
    <row r="1032" spans="1:6" x14ac:dyDescent="0.2">
      <c r="A1032" s="275"/>
      <c r="B1032" s="78"/>
      <c r="C1032" s="189"/>
      <c r="D1032" s="185"/>
      <c r="E1032" s="186"/>
      <c r="F1032" s="187"/>
    </row>
    <row r="1033" spans="1:6" x14ac:dyDescent="0.2">
      <c r="A1033" s="275"/>
      <c r="B1033" s="78"/>
      <c r="C1033" s="189"/>
      <c r="D1033" s="185"/>
      <c r="E1033" s="186"/>
      <c r="F1033" s="187"/>
    </row>
    <row r="1034" spans="1:6" x14ac:dyDescent="0.2">
      <c r="A1034" s="275"/>
      <c r="B1034" s="78"/>
      <c r="C1034" s="189"/>
      <c r="D1034" s="185"/>
      <c r="E1034" s="186"/>
      <c r="F1034" s="187"/>
    </row>
    <row r="1035" spans="1:6" x14ac:dyDescent="0.2">
      <c r="A1035" s="275"/>
      <c r="B1035" s="78"/>
      <c r="C1035" s="189"/>
      <c r="D1035" s="185"/>
      <c r="E1035" s="186"/>
      <c r="F1035" s="187"/>
    </row>
    <row r="1036" spans="1:6" x14ac:dyDescent="0.2">
      <c r="A1036" s="275"/>
      <c r="B1036" s="78"/>
      <c r="C1036" s="189"/>
      <c r="D1036" s="185"/>
      <c r="E1036" s="186"/>
      <c r="F1036" s="187"/>
    </row>
    <row r="1037" spans="1:6" x14ac:dyDescent="0.2">
      <c r="A1037" s="275"/>
      <c r="B1037" s="78"/>
      <c r="C1037" s="189"/>
      <c r="D1037" s="185"/>
      <c r="E1037" s="186"/>
      <c r="F1037" s="187"/>
    </row>
    <row r="1038" spans="1:6" x14ac:dyDescent="0.2">
      <c r="A1038" s="275"/>
      <c r="B1038" s="78"/>
      <c r="C1038" s="189"/>
      <c r="D1038" s="185"/>
      <c r="E1038" s="186"/>
      <c r="F1038" s="187"/>
    </row>
    <row r="1039" spans="1:6" x14ac:dyDescent="0.2">
      <c r="A1039" s="275"/>
      <c r="B1039" s="78"/>
      <c r="C1039" s="189"/>
      <c r="D1039" s="185"/>
      <c r="E1039" s="186"/>
      <c r="F1039" s="187"/>
    </row>
    <row r="1040" spans="1:6" x14ac:dyDescent="0.2">
      <c r="A1040" s="275"/>
      <c r="B1040" s="78"/>
      <c r="C1040" s="189"/>
      <c r="D1040" s="185"/>
      <c r="E1040" s="186"/>
      <c r="F1040" s="187"/>
    </row>
    <row r="1041" spans="1:6" x14ac:dyDescent="0.2">
      <c r="A1041" s="275"/>
      <c r="B1041" s="78"/>
      <c r="C1041" s="189"/>
      <c r="D1041" s="185"/>
      <c r="E1041" s="186"/>
      <c r="F1041" s="187"/>
    </row>
    <row r="1042" spans="1:6" x14ac:dyDescent="0.2">
      <c r="A1042" s="275"/>
      <c r="B1042" s="78"/>
      <c r="C1042" s="189"/>
      <c r="D1042" s="185"/>
      <c r="E1042" s="186"/>
      <c r="F1042" s="187"/>
    </row>
    <row r="1043" spans="1:6" x14ac:dyDescent="0.2">
      <c r="A1043" s="275"/>
      <c r="B1043" s="78"/>
      <c r="C1043" s="189"/>
      <c r="D1043" s="185"/>
      <c r="E1043" s="186"/>
      <c r="F1043" s="187"/>
    </row>
    <row r="1044" spans="1:6" x14ac:dyDescent="0.2">
      <c r="A1044" s="275"/>
      <c r="B1044" s="78"/>
      <c r="C1044" s="189"/>
      <c r="D1044" s="185"/>
      <c r="E1044" s="186"/>
      <c r="F1044" s="187"/>
    </row>
    <row r="1045" spans="1:6" x14ac:dyDescent="0.2">
      <c r="A1045" s="275"/>
      <c r="B1045" s="78"/>
      <c r="C1045" s="189"/>
      <c r="D1045" s="185"/>
      <c r="E1045" s="186"/>
      <c r="F1045" s="187"/>
    </row>
    <row r="1046" spans="1:6" x14ac:dyDescent="0.2">
      <c r="A1046" s="275"/>
      <c r="B1046" s="78"/>
      <c r="C1046" s="189"/>
      <c r="D1046" s="185"/>
      <c r="E1046" s="186"/>
      <c r="F1046" s="187"/>
    </row>
    <row r="1047" spans="1:6" x14ac:dyDescent="0.2">
      <c r="A1047" s="275"/>
      <c r="B1047" s="78"/>
      <c r="C1047" s="189"/>
      <c r="D1047" s="185"/>
      <c r="E1047" s="186"/>
      <c r="F1047" s="187"/>
    </row>
    <row r="1048" spans="1:6" x14ac:dyDescent="0.2">
      <c r="A1048" s="275"/>
      <c r="B1048" s="78"/>
      <c r="C1048" s="189"/>
      <c r="D1048" s="185"/>
      <c r="E1048" s="186"/>
      <c r="F1048" s="187"/>
    </row>
    <row r="1049" spans="1:6" x14ac:dyDescent="0.2">
      <c r="A1049" s="275"/>
      <c r="B1049" s="78"/>
      <c r="C1049" s="189"/>
      <c r="D1049" s="185"/>
      <c r="E1049" s="186"/>
      <c r="F1049" s="187"/>
    </row>
    <row r="1050" spans="1:6" x14ac:dyDescent="0.2">
      <c r="A1050" s="275"/>
      <c r="B1050" s="78"/>
      <c r="C1050" s="189"/>
      <c r="D1050" s="185"/>
      <c r="E1050" s="186"/>
      <c r="F1050" s="187"/>
    </row>
    <row r="1051" spans="1:6" x14ac:dyDescent="0.2">
      <c r="A1051" s="275"/>
      <c r="B1051" s="78"/>
      <c r="C1051" s="189"/>
      <c r="D1051" s="185"/>
      <c r="E1051" s="186"/>
      <c r="F1051" s="187"/>
    </row>
    <row r="1052" spans="1:6" x14ac:dyDescent="0.2">
      <c r="A1052" s="275"/>
      <c r="B1052" s="78"/>
      <c r="C1052" s="189"/>
      <c r="D1052" s="185"/>
      <c r="E1052" s="186"/>
      <c r="F1052" s="187"/>
    </row>
    <row r="1053" spans="1:6" x14ac:dyDescent="0.2">
      <c r="A1053" s="275"/>
      <c r="B1053" s="78"/>
      <c r="C1053" s="189"/>
      <c r="D1053" s="185"/>
      <c r="E1053" s="186"/>
      <c r="F1053" s="187"/>
    </row>
    <row r="1054" spans="1:6" x14ac:dyDescent="0.2">
      <c r="A1054" s="275"/>
      <c r="B1054" s="78"/>
      <c r="C1054" s="189"/>
      <c r="D1054" s="185"/>
      <c r="E1054" s="186"/>
      <c r="F1054" s="187"/>
    </row>
    <row r="1055" spans="1:6" x14ac:dyDescent="0.2">
      <c r="A1055" s="275"/>
      <c r="B1055" s="78"/>
      <c r="C1055" s="189"/>
      <c r="D1055" s="185"/>
      <c r="E1055" s="186"/>
      <c r="F1055" s="187"/>
    </row>
    <row r="1056" spans="1:6" x14ac:dyDescent="0.2">
      <c r="A1056" s="275"/>
      <c r="B1056" s="78"/>
      <c r="C1056" s="189"/>
      <c r="D1056" s="185"/>
      <c r="E1056" s="186"/>
      <c r="F1056" s="187"/>
    </row>
    <row r="1057" spans="1:6" x14ac:dyDescent="0.2">
      <c r="A1057" s="275"/>
      <c r="B1057" s="78"/>
      <c r="C1057" s="189"/>
      <c r="D1057" s="185"/>
      <c r="E1057" s="186"/>
      <c r="F1057" s="187"/>
    </row>
    <row r="1058" spans="1:6" x14ac:dyDescent="0.2">
      <c r="A1058" s="275"/>
      <c r="B1058" s="78"/>
      <c r="C1058" s="189"/>
      <c r="D1058" s="185"/>
      <c r="E1058" s="186"/>
      <c r="F1058" s="187"/>
    </row>
    <row r="1059" spans="1:6" x14ac:dyDescent="0.2">
      <c r="A1059" s="275"/>
      <c r="B1059" s="78"/>
      <c r="C1059" s="189"/>
      <c r="D1059" s="185"/>
      <c r="E1059" s="186"/>
      <c r="F1059" s="187"/>
    </row>
    <row r="1060" spans="1:6" x14ac:dyDescent="0.2">
      <c r="A1060" s="275"/>
      <c r="B1060" s="78"/>
      <c r="C1060" s="189"/>
      <c r="D1060" s="185"/>
      <c r="E1060" s="186"/>
      <c r="F1060" s="187"/>
    </row>
    <row r="1061" spans="1:6" x14ac:dyDescent="0.2">
      <c r="A1061" s="275"/>
      <c r="B1061" s="78"/>
      <c r="C1061" s="189"/>
      <c r="D1061" s="185"/>
      <c r="E1061" s="186"/>
      <c r="F1061" s="187"/>
    </row>
    <row r="1062" spans="1:6" x14ac:dyDescent="0.2">
      <c r="A1062" s="275"/>
      <c r="B1062" s="78"/>
      <c r="C1062" s="189"/>
      <c r="D1062" s="185"/>
      <c r="E1062" s="186"/>
      <c r="F1062" s="187"/>
    </row>
    <row r="1063" spans="1:6" x14ac:dyDescent="0.2">
      <c r="A1063" s="275"/>
      <c r="B1063" s="78"/>
      <c r="C1063" s="189"/>
      <c r="D1063" s="185"/>
      <c r="E1063" s="186"/>
      <c r="F1063" s="187"/>
    </row>
    <row r="1064" spans="1:6" x14ac:dyDescent="0.2">
      <c r="A1064" s="275"/>
      <c r="B1064" s="78"/>
      <c r="C1064" s="189"/>
      <c r="D1064" s="185"/>
      <c r="E1064" s="186"/>
      <c r="F1064" s="187"/>
    </row>
    <row r="1065" spans="1:6" x14ac:dyDescent="0.2">
      <c r="A1065" s="275"/>
      <c r="B1065" s="78"/>
      <c r="C1065" s="189"/>
      <c r="D1065" s="185"/>
      <c r="E1065" s="186"/>
      <c r="F1065" s="187"/>
    </row>
    <row r="1066" spans="1:6" x14ac:dyDescent="0.2">
      <c r="A1066" s="275"/>
      <c r="B1066" s="78"/>
      <c r="C1066" s="189"/>
      <c r="D1066" s="185"/>
      <c r="E1066" s="186"/>
      <c r="F1066" s="187"/>
    </row>
    <row r="1067" spans="1:6" x14ac:dyDescent="0.2">
      <c r="A1067" s="275"/>
      <c r="B1067" s="78"/>
      <c r="C1067" s="189"/>
      <c r="D1067" s="185"/>
      <c r="E1067" s="186"/>
      <c r="F1067" s="187"/>
    </row>
    <row r="1068" spans="1:6" x14ac:dyDescent="0.2">
      <c r="A1068" s="275"/>
      <c r="B1068" s="78"/>
      <c r="C1068" s="189"/>
      <c r="D1068" s="185"/>
      <c r="E1068" s="186"/>
      <c r="F1068" s="187"/>
    </row>
    <row r="1069" spans="1:6" x14ac:dyDescent="0.2">
      <c r="A1069" s="275"/>
      <c r="B1069" s="78"/>
      <c r="C1069" s="189"/>
      <c r="D1069" s="185"/>
      <c r="E1069" s="186"/>
      <c r="F1069" s="187"/>
    </row>
    <row r="1070" spans="1:6" x14ac:dyDescent="0.2">
      <c r="A1070" s="275"/>
      <c r="B1070" s="78"/>
      <c r="C1070" s="189"/>
      <c r="D1070" s="185"/>
      <c r="E1070" s="186"/>
      <c r="F1070" s="187"/>
    </row>
    <row r="1071" spans="1:6" x14ac:dyDescent="0.2">
      <c r="A1071" s="275"/>
      <c r="B1071" s="78"/>
      <c r="C1071" s="189"/>
      <c r="D1071" s="185"/>
      <c r="E1071" s="186"/>
      <c r="F1071" s="187"/>
    </row>
    <row r="1072" spans="1:6" x14ac:dyDescent="0.2">
      <c r="A1072" s="275"/>
      <c r="B1072" s="78"/>
      <c r="C1072" s="189"/>
      <c r="D1072" s="185"/>
      <c r="E1072" s="186"/>
      <c r="F1072" s="187"/>
    </row>
    <row r="1073" spans="1:6" x14ac:dyDescent="0.2">
      <c r="A1073" s="275"/>
      <c r="B1073" s="78"/>
      <c r="C1073" s="189"/>
      <c r="D1073" s="185"/>
      <c r="E1073" s="186"/>
      <c r="F1073" s="187"/>
    </row>
    <row r="1074" spans="1:6" x14ac:dyDescent="0.2">
      <c r="A1074" s="275"/>
      <c r="B1074" s="78"/>
      <c r="C1074" s="189"/>
      <c r="D1074" s="185"/>
      <c r="E1074" s="186"/>
      <c r="F1074" s="187"/>
    </row>
    <row r="1075" spans="1:6" x14ac:dyDescent="0.2">
      <c r="A1075" s="275"/>
      <c r="B1075" s="78"/>
      <c r="C1075" s="189"/>
      <c r="D1075" s="185"/>
      <c r="E1075" s="186"/>
      <c r="F1075" s="187"/>
    </row>
    <row r="1076" spans="1:6" x14ac:dyDescent="0.2">
      <c r="A1076" s="275"/>
      <c r="B1076" s="78"/>
      <c r="C1076" s="189"/>
      <c r="D1076" s="185"/>
      <c r="E1076" s="186"/>
      <c r="F1076" s="187"/>
    </row>
    <row r="1077" spans="1:6" x14ac:dyDescent="0.2">
      <c r="A1077" s="275"/>
      <c r="B1077" s="78"/>
      <c r="C1077" s="189"/>
      <c r="D1077" s="185"/>
      <c r="E1077" s="186"/>
      <c r="F1077" s="187"/>
    </row>
    <row r="1078" spans="1:6" x14ac:dyDescent="0.2">
      <c r="A1078" s="275"/>
      <c r="B1078" s="78"/>
      <c r="C1078" s="189"/>
      <c r="D1078" s="185"/>
      <c r="E1078" s="186"/>
      <c r="F1078" s="187"/>
    </row>
    <row r="1079" spans="1:6" x14ac:dyDescent="0.2">
      <c r="A1079" s="275"/>
      <c r="B1079" s="78"/>
      <c r="C1079" s="189"/>
      <c r="D1079" s="185"/>
      <c r="E1079" s="186"/>
      <c r="F1079" s="187"/>
    </row>
    <row r="1080" spans="1:6" x14ac:dyDescent="0.2">
      <c r="A1080" s="275"/>
      <c r="B1080" s="78"/>
      <c r="C1080" s="189"/>
      <c r="D1080" s="185"/>
      <c r="E1080" s="186"/>
      <c r="F1080" s="187"/>
    </row>
    <row r="1081" spans="1:6" x14ac:dyDescent="0.2">
      <c r="A1081" s="275"/>
      <c r="B1081" s="78"/>
      <c r="C1081" s="189"/>
      <c r="D1081" s="185"/>
      <c r="E1081" s="186"/>
      <c r="F1081" s="187"/>
    </row>
    <row r="1082" spans="1:6" x14ac:dyDescent="0.2">
      <c r="A1082" s="275"/>
      <c r="B1082" s="78"/>
      <c r="C1082" s="189"/>
      <c r="D1082" s="185"/>
      <c r="E1082" s="186"/>
      <c r="F1082" s="187"/>
    </row>
    <row r="1083" spans="1:6" x14ac:dyDescent="0.2">
      <c r="A1083" s="275"/>
      <c r="B1083" s="78"/>
      <c r="C1083" s="189"/>
      <c r="D1083" s="185"/>
      <c r="E1083" s="186"/>
      <c r="F1083" s="187"/>
    </row>
    <row r="1084" spans="1:6" x14ac:dyDescent="0.2">
      <c r="A1084" s="275"/>
      <c r="B1084" s="78"/>
      <c r="C1084" s="189"/>
      <c r="D1084" s="185"/>
      <c r="E1084" s="186"/>
      <c r="F1084" s="187"/>
    </row>
    <row r="1085" spans="1:6" x14ac:dyDescent="0.2">
      <c r="A1085" s="275"/>
      <c r="B1085" s="78"/>
      <c r="C1085" s="189"/>
      <c r="D1085" s="185"/>
      <c r="E1085" s="186"/>
      <c r="F1085" s="187"/>
    </row>
    <row r="1086" spans="1:6" x14ac:dyDescent="0.2">
      <c r="A1086" s="275"/>
      <c r="B1086" s="78"/>
      <c r="C1086" s="189"/>
      <c r="D1086" s="185"/>
      <c r="E1086" s="186"/>
      <c r="F1086" s="187"/>
    </row>
    <row r="1087" spans="1:6" x14ac:dyDescent="0.2">
      <c r="A1087" s="275"/>
      <c r="B1087" s="78"/>
      <c r="C1087" s="189"/>
      <c r="D1087" s="185"/>
      <c r="E1087" s="186"/>
      <c r="F1087" s="187"/>
    </row>
    <row r="1088" spans="1:6" x14ac:dyDescent="0.2">
      <c r="A1088" s="275"/>
      <c r="B1088" s="78"/>
      <c r="C1088" s="189"/>
      <c r="D1088" s="185"/>
      <c r="E1088" s="186"/>
      <c r="F1088" s="187"/>
    </row>
    <row r="1089" spans="1:6" x14ac:dyDescent="0.2">
      <c r="A1089" s="275"/>
      <c r="B1089" s="78"/>
      <c r="C1089" s="189"/>
      <c r="D1089" s="185"/>
      <c r="E1089" s="186"/>
      <c r="F1089" s="187"/>
    </row>
    <row r="1090" spans="1:6" x14ac:dyDescent="0.2">
      <c r="A1090" s="275"/>
      <c r="B1090" s="78"/>
      <c r="C1090" s="189"/>
      <c r="D1090" s="185"/>
      <c r="E1090" s="186"/>
      <c r="F1090" s="187"/>
    </row>
    <row r="1091" spans="1:6" x14ac:dyDescent="0.2">
      <c r="A1091" s="275"/>
      <c r="B1091" s="78"/>
      <c r="C1091" s="189"/>
      <c r="D1091" s="185"/>
      <c r="E1091" s="186"/>
      <c r="F1091" s="187"/>
    </row>
    <row r="1092" spans="1:6" x14ac:dyDescent="0.2">
      <c r="A1092" s="275"/>
      <c r="B1092" s="78"/>
      <c r="C1092" s="189"/>
      <c r="D1092" s="185"/>
      <c r="E1092" s="186"/>
      <c r="F1092" s="187"/>
    </row>
    <row r="1093" spans="1:6" x14ac:dyDescent="0.2">
      <c r="A1093" s="275"/>
      <c r="B1093" s="78"/>
      <c r="C1093" s="189"/>
      <c r="D1093" s="185"/>
      <c r="E1093" s="186"/>
      <c r="F1093" s="187"/>
    </row>
    <row r="1094" spans="1:6" x14ac:dyDescent="0.2">
      <c r="A1094" s="275"/>
      <c r="B1094" s="78"/>
      <c r="C1094" s="189"/>
      <c r="D1094" s="185"/>
      <c r="E1094" s="186"/>
      <c r="F1094" s="187"/>
    </row>
    <row r="1095" spans="1:6" x14ac:dyDescent="0.2">
      <c r="A1095" s="275"/>
      <c r="B1095" s="78"/>
      <c r="C1095" s="189"/>
      <c r="D1095" s="185"/>
      <c r="E1095" s="186"/>
      <c r="F1095" s="187"/>
    </row>
    <row r="1096" spans="1:6" x14ac:dyDescent="0.2">
      <c r="A1096" s="275"/>
      <c r="B1096" s="78"/>
      <c r="C1096" s="189"/>
      <c r="D1096" s="185"/>
      <c r="E1096" s="186"/>
      <c r="F1096" s="187"/>
    </row>
    <row r="1097" spans="1:6" x14ac:dyDescent="0.2">
      <c r="A1097" s="275"/>
      <c r="B1097" s="78"/>
      <c r="C1097" s="189"/>
      <c r="D1097" s="185"/>
      <c r="E1097" s="186"/>
      <c r="F1097" s="187"/>
    </row>
    <row r="1098" spans="1:6" x14ac:dyDescent="0.2">
      <c r="A1098" s="275"/>
      <c r="B1098" s="78"/>
      <c r="C1098" s="189"/>
      <c r="D1098" s="185"/>
      <c r="E1098" s="186"/>
      <c r="F1098" s="187"/>
    </row>
    <row r="1099" spans="1:6" x14ac:dyDescent="0.2">
      <c r="A1099" s="275"/>
      <c r="B1099" s="78"/>
      <c r="C1099" s="189"/>
      <c r="D1099" s="185"/>
      <c r="E1099" s="186"/>
      <c r="F1099" s="187"/>
    </row>
    <row r="1100" spans="1:6" x14ac:dyDescent="0.2">
      <c r="A1100" s="275"/>
      <c r="B1100" s="78"/>
      <c r="C1100" s="189"/>
      <c r="D1100" s="185"/>
      <c r="E1100" s="186"/>
      <c r="F1100" s="187"/>
    </row>
    <row r="1101" spans="1:6" x14ac:dyDescent="0.2">
      <c r="A1101" s="275"/>
      <c r="B1101" s="78"/>
      <c r="C1101" s="189"/>
      <c r="D1101" s="185"/>
      <c r="E1101" s="186"/>
      <c r="F1101" s="187"/>
    </row>
    <row r="1102" spans="1:6" x14ac:dyDescent="0.2">
      <c r="A1102" s="275"/>
      <c r="B1102" s="78"/>
      <c r="C1102" s="189"/>
      <c r="D1102" s="185"/>
      <c r="E1102" s="186"/>
      <c r="F1102" s="187"/>
    </row>
    <row r="1103" spans="1:6" x14ac:dyDescent="0.2">
      <c r="A1103" s="275"/>
      <c r="B1103" s="78"/>
      <c r="C1103" s="189"/>
      <c r="D1103" s="185"/>
      <c r="E1103" s="186"/>
      <c r="F1103" s="187"/>
    </row>
    <row r="1104" spans="1:6" x14ac:dyDescent="0.2">
      <c r="A1104" s="275"/>
      <c r="B1104" s="78"/>
      <c r="C1104" s="189"/>
      <c r="D1104" s="185"/>
      <c r="E1104" s="186"/>
      <c r="F1104" s="187"/>
    </row>
    <row r="1105" spans="1:6" x14ac:dyDescent="0.2">
      <c r="A1105" s="275"/>
      <c r="B1105" s="78"/>
      <c r="C1105" s="189"/>
      <c r="D1105" s="185"/>
      <c r="E1105" s="186"/>
      <c r="F1105" s="187"/>
    </row>
    <row r="1106" spans="1:6" x14ac:dyDescent="0.2">
      <c r="A1106" s="275"/>
      <c r="B1106" s="78"/>
      <c r="C1106" s="189"/>
      <c r="D1106" s="185"/>
      <c r="E1106" s="186"/>
      <c r="F1106" s="187"/>
    </row>
    <row r="1107" spans="1:6" x14ac:dyDescent="0.2">
      <c r="A1107" s="275"/>
      <c r="B1107" s="78"/>
      <c r="C1107" s="189"/>
      <c r="D1107" s="185"/>
      <c r="E1107" s="186"/>
      <c r="F1107" s="187"/>
    </row>
    <row r="1108" spans="1:6" x14ac:dyDescent="0.2">
      <c r="A1108" s="275"/>
      <c r="B1108" s="78"/>
      <c r="C1108" s="189"/>
      <c r="D1108" s="185"/>
      <c r="E1108" s="186"/>
      <c r="F1108" s="187"/>
    </row>
    <row r="1109" spans="1:6" x14ac:dyDescent="0.2">
      <c r="A1109" s="275"/>
      <c r="B1109" s="78"/>
      <c r="C1109" s="189"/>
      <c r="D1109" s="185"/>
      <c r="E1109" s="186"/>
      <c r="F1109" s="187"/>
    </row>
    <row r="1110" spans="1:6" x14ac:dyDescent="0.2">
      <c r="A1110" s="275"/>
      <c r="B1110" s="78"/>
      <c r="C1110" s="189"/>
      <c r="D1110" s="185"/>
      <c r="E1110" s="186"/>
      <c r="F1110" s="187"/>
    </row>
    <row r="1111" spans="1:6" x14ac:dyDescent="0.2">
      <c r="A1111" s="275"/>
      <c r="B1111" s="78"/>
      <c r="C1111" s="189"/>
      <c r="D1111" s="185"/>
      <c r="E1111" s="186"/>
      <c r="F1111" s="187"/>
    </row>
    <row r="1112" spans="1:6" x14ac:dyDescent="0.2">
      <c r="A1112" s="275"/>
      <c r="B1112" s="78"/>
      <c r="C1112" s="189"/>
      <c r="D1112" s="185"/>
      <c r="E1112" s="186"/>
      <c r="F1112" s="187"/>
    </row>
    <row r="1113" spans="1:6" x14ac:dyDescent="0.2">
      <c r="A1113" s="275"/>
      <c r="B1113" s="78"/>
      <c r="C1113" s="189"/>
      <c r="D1113" s="185"/>
      <c r="E1113" s="186"/>
      <c r="F1113" s="187"/>
    </row>
    <row r="1114" spans="1:6" x14ac:dyDescent="0.2">
      <c r="A1114" s="275"/>
      <c r="B1114" s="78"/>
      <c r="C1114" s="189"/>
      <c r="D1114" s="185"/>
      <c r="E1114" s="186"/>
      <c r="F1114" s="187"/>
    </row>
    <row r="1115" spans="1:6" x14ac:dyDescent="0.2">
      <c r="A1115" s="275"/>
      <c r="B1115" s="78"/>
      <c r="C1115" s="189"/>
      <c r="D1115" s="185"/>
      <c r="E1115" s="186"/>
      <c r="F1115" s="187"/>
    </row>
    <row r="1116" spans="1:6" x14ac:dyDescent="0.2">
      <c r="A1116" s="275"/>
      <c r="B1116" s="78"/>
      <c r="C1116" s="189"/>
      <c r="D1116" s="185"/>
      <c r="E1116" s="186"/>
      <c r="F1116" s="187"/>
    </row>
    <row r="1117" spans="1:6" x14ac:dyDescent="0.2">
      <c r="A1117" s="275"/>
      <c r="B1117" s="78"/>
      <c r="C1117" s="189"/>
      <c r="D1117" s="185"/>
      <c r="E1117" s="186"/>
      <c r="F1117" s="187"/>
    </row>
    <row r="1118" spans="1:6" x14ac:dyDescent="0.2">
      <c r="A1118" s="275"/>
      <c r="B1118" s="78"/>
      <c r="C1118" s="189"/>
      <c r="D1118" s="185"/>
      <c r="E1118" s="186"/>
      <c r="F1118" s="187"/>
    </row>
    <row r="1119" spans="1:6" x14ac:dyDescent="0.2">
      <c r="A1119" s="275"/>
      <c r="B1119" s="78"/>
      <c r="C1119" s="189"/>
      <c r="D1119" s="185"/>
      <c r="E1119" s="186"/>
      <c r="F1119" s="187"/>
    </row>
    <row r="1120" spans="1:6" x14ac:dyDescent="0.2">
      <c r="A1120" s="275"/>
      <c r="B1120" s="78"/>
      <c r="C1120" s="189"/>
      <c r="D1120" s="185"/>
      <c r="E1120" s="186"/>
      <c r="F1120" s="187"/>
    </row>
    <row r="1121" spans="1:6" x14ac:dyDescent="0.2">
      <c r="A1121" s="275"/>
      <c r="B1121" s="78"/>
      <c r="C1121" s="189"/>
      <c r="D1121" s="185"/>
      <c r="E1121" s="186"/>
      <c r="F1121" s="187"/>
    </row>
    <row r="1122" spans="1:6" x14ac:dyDescent="0.2">
      <c r="A1122" s="275"/>
      <c r="B1122" s="78"/>
      <c r="C1122" s="189"/>
      <c r="D1122" s="185"/>
      <c r="E1122" s="186"/>
      <c r="F1122" s="187"/>
    </row>
    <row r="1123" spans="1:6" x14ac:dyDescent="0.2">
      <c r="A1123" s="275"/>
      <c r="B1123" s="78"/>
      <c r="C1123" s="189"/>
      <c r="D1123" s="185"/>
      <c r="E1123" s="186"/>
      <c r="F1123" s="187"/>
    </row>
    <row r="1124" spans="1:6" x14ac:dyDescent="0.2">
      <c r="A1124" s="275"/>
      <c r="B1124" s="78"/>
      <c r="C1124" s="189"/>
      <c r="D1124" s="185"/>
      <c r="E1124" s="186"/>
      <c r="F1124" s="187"/>
    </row>
    <row r="1125" spans="1:6" x14ac:dyDescent="0.2">
      <c r="A1125" s="275"/>
      <c r="B1125" s="78"/>
      <c r="C1125" s="189"/>
      <c r="D1125" s="185"/>
      <c r="E1125" s="186"/>
      <c r="F1125" s="187"/>
    </row>
    <row r="1126" spans="1:6" x14ac:dyDescent="0.2">
      <c r="A1126" s="275"/>
      <c r="B1126" s="78"/>
      <c r="C1126" s="189"/>
      <c r="D1126" s="185"/>
      <c r="E1126" s="186"/>
      <c r="F1126" s="187"/>
    </row>
    <row r="1127" spans="1:6" x14ac:dyDescent="0.2">
      <c r="A1127" s="275"/>
      <c r="B1127" s="78"/>
      <c r="C1127" s="189"/>
      <c r="D1127" s="185"/>
      <c r="E1127" s="186"/>
      <c r="F1127" s="187"/>
    </row>
    <row r="1128" spans="1:6" x14ac:dyDescent="0.2">
      <c r="A1128" s="275"/>
      <c r="B1128" s="78"/>
      <c r="C1128" s="189"/>
      <c r="D1128" s="185"/>
      <c r="E1128" s="186"/>
      <c r="F1128" s="187"/>
    </row>
    <row r="1129" spans="1:6" x14ac:dyDescent="0.2">
      <c r="A1129" s="275"/>
      <c r="B1129" s="78"/>
      <c r="C1129" s="189"/>
      <c r="D1129" s="185"/>
      <c r="E1129" s="186"/>
      <c r="F1129" s="187"/>
    </row>
    <row r="1130" spans="1:6" x14ac:dyDescent="0.2">
      <c r="A1130" s="275"/>
      <c r="B1130" s="78"/>
      <c r="C1130" s="189"/>
      <c r="D1130" s="185"/>
      <c r="E1130" s="186"/>
      <c r="F1130" s="187"/>
    </row>
    <row r="1131" spans="1:6" x14ac:dyDescent="0.2">
      <c r="A1131" s="275"/>
      <c r="B1131" s="78"/>
      <c r="C1131" s="189"/>
      <c r="D1131" s="185"/>
      <c r="E1131" s="186"/>
      <c r="F1131" s="187"/>
    </row>
    <row r="1132" spans="1:6" x14ac:dyDescent="0.2">
      <c r="A1132" s="275"/>
      <c r="B1132" s="78"/>
      <c r="C1132" s="189"/>
      <c r="D1132" s="185"/>
      <c r="E1132" s="186"/>
      <c r="F1132" s="187"/>
    </row>
    <row r="1133" spans="1:6" x14ac:dyDescent="0.2">
      <c r="A1133" s="275"/>
      <c r="B1133" s="78"/>
      <c r="C1133" s="189"/>
      <c r="D1133" s="185"/>
      <c r="E1133" s="186"/>
      <c r="F1133" s="187"/>
    </row>
    <row r="1134" spans="1:6" x14ac:dyDescent="0.2">
      <c r="A1134" s="275"/>
      <c r="B1134" s="78"/>
      <c r="C1134" s="189"/>
      <c r="D1134" s="185"/>
      <c r="E1134" s="186"/>
      <c r="F1134" s="187"/>
    </row>
    <row r="1135" spans="1:6" x14ac:dyDescent="0.2">
      <c r="A1135" s="275"/>
      <c r="B1135" s="78"/>
      <c r="C1135" s="189"/>
      <c r="D1135" s="185"/>
      <c r="E1135" s="186"/>
      <c r="F1135" s="187"/>
    </row>
    <row r="1136" spans="1:6" x14ac:dyDescent="0.2">
      <c r="A1136" s="275"/>
      <c r="B1136" s="78"/>
      <c r="C1136" s="189"/>
      <c r="D1136" s="185"/>
      <c r="E1136" s="186"/>
      <c r="F1136" s="187"/>
    </row>
    <row r="1137" spans="1:6" x14ac:dyDescent="0.2">
      <c r="A1137" s="275"/>
      <c r="B1137" s="78"/>
      <c r="C1137" s="189"/>
      <c r="D1137" s="185"/>
      <c r="E1137" s="186"/>
      <c r="F1137" s="187"/>
    </row>
    <row r="1138" spans="1:6" x14ac:dyDescent="0.2">
      <c r="A1138" s="275"/>
      <c r="B1138" s="78"/>
      <c r="C1138" s="189"/>
      <c r="D1138" s="185"/>
      <c r="E1138" s="186"/>
      <c r="F1138" s="187"/>
    </row>
    <row r="1139" spans="1:6" x14ac:dyDescent="0.2">
      <c r="A1139" s="275"/>
      <c r="B1139" s="78"/>
      <c r="C1139" s="189"/>
      <c r="D1139" s="185"/>
      <c r="E1139" s="186"/>
      <c r="F1139" s="187"/>
    </row>
    <row r="1140" spans="1:6" x14ac:dyDescent="0.2">
      <c r="A1140" s="275"/>
      <c r="B1140" s="78"/>
      <c r="C1140" s="189"/>
      <c r="D1140" s="185"/>
      <c r="E1140" s="186"/>
      <c r="F1140" s="187"/>
    </row>
    <row r="1141" spans="1:6" x14ac:dyDescent="0.2">
      <c r="A1141" s="275"/>
      <c r="B1141" s="78"/>
      <c r="C1141" s="189"/>
      <c r="D1141" s="185"/>
      <c r="E1141" s="186"/>
      <c r="F1141" s="187"/>
    </row>
    <row r="1142" spans="1:6" x14ac:dyDescent="0.2">
      <c r="A1142" s="275"/>
      <c r="B1142" s="78"/>
      <c r="C1142" s="189"/>
      <c r="D1142" s="185"/>
      <c r="E1142" s="186"/>
      <c r="F1142" s="187"/>
    </row>
    <row r="1143" spans="1:6" x14ac:dyDescent="0.2">
      <c r="A1143" s="275"/>
      <c r="B1143" s="78"/>
      <c r="C1143" s="189"/>
      <c r="D1143" s="185"/>
      <c r="E1143" s="186"/>
      <c r="F1143" s="187"/>
    </row>
    <row r="1144" spans="1:6" x14ac:dyDescent="0.2">
      <c r="A1144" s="275"/>
      <c r="B1144" s="78"/>
      <c r="C1144" s="189"/>
      <c r="D1144" s="185"/>
      <c r="E1144" s="186"/>
      <c r="F1144" s="187"/>
    </row>
    <row r="1145" spans="1:6" x14ac:dyDescent="0.2">
      <c r="A1145" s="275"/>
      <c r="B1145" s="78"/>
      <c r="C1145" s="189"/>
      <c r="D1145" s="185"/>
      <c r="E1145" s="186"/>
      <c r="F1145" s="187"/>
    </row>
    <row r="1146" spans="1:6" x14ac:dyDescent="0.2">
      <c r="A1146" s="275"/>
      <c r="B1146" s="78"/>
      <c r="C1146" s="189"/>
      <c r="D1146" s="185"/>
      <c r="E1146" s="186"/>
      <c r="F1146" s="187"/>
    </row>
    <row r="1147" spans="1:6" x14ac:dyDescent="0.2">
      <c r="A1147" s="275"/>
      <c r="B1147" s="78"/>
      <c r="C1147" s="189"/>
      <c r="D1147" s="185"/>
      <c r="E1147" s="186"/>
      <c r="F1147" s="187"/>
    </row>
    <row r="1148" spans="1:6" x14ac:dyDescent="0.2">
      <c r="A1148" s="275"/>
      <c r="B1148" s="78"/>
      <c r="C1148" s="189"/>
      <c r="D1148" s="185"/>
      <c r="E1148" s="186"/>
      <c r="F1148" s="187"/>
    </row>
    <row r="1149" spans="1:6" x14ac:dyDescent="0.2">
      <c r="A1149" s="275"/>
      <c r="B1149" s="78"/>
      <c r="C1149" s="189"/>
      <c r="D1149" s="185"/>
      <c r="E1149" s="186"/>
      <c r="F1149" s="187"/>
    </row>
    <row r="1150" spans="1:6" x14ac:dyDescent="0.2">
      <c r="A1150" s="275"/>
      <c r="B1150" s="78"/>
      <c r="C1150" s="189"/>
      <c r="D1150" s="185"/>
      <c r="E1150" s="186"/>
      <c r="F1150" s="187"/>
    </row>
    <row r="1151" spans="1:6" x14ac:dyDescent="0.2">
      <c r="A1151" s="275"/>
      <c r="B1151" s="78"/>
      <c r="C1151" s="189"/>
      <c r="D1151" s="185"/>
      <c r="E1151" s="186"/>
      <c r="F1151" s="187"/>
    </row>
    <row r="1152" spans="1:6" x14ac:dyDescent="0.2">
      <c r="A1152" s="275"/>
      <c r="B1152" s="78"/>
      <c r="C1152" s="189"/>
      <c r="D1152" s="185"/>
      <c r="E1152" s="186"/>
      <c r="F1152" s="187"/>
    </row>
    <row r="1153" spans="1:6" x14ac:dyDescent="0.2">
      <c r="A1153" s="275"/>
      <c r="B1153" s="78"/>
      <c r="C1153" s="189"/>
      <c r="D1153" s="185"/>
      <c r="E1153" s="186"/>
      <c r="F1153" s="187"/>
    </row>
    <row r="1154" spans="1:6" x14ac:dyDescent="0.2">
      <c r="A1154" s="275"/>
      <c r="B1154" s="78"/>
      <c r="C1154" s="189"/>
      <c r="D1154" s="185"/>
      <c r="E1154" s="186"/>
      <c r="F1154" s="187"/>
    </row>
    <row r="1155" spans="1:6" x14ac:dyDescent="0.2">
      <c r="A1155" s="275"/>
      <c r="B1155" s="78"/>
      <c r="C1155" s="189"/>
      <c r="D1155" s="185"/>
      <c r="E1155" s="186"/>
      <c r="F1155" s="187"/>
    </row>
    <row r="1156" spans="1:6" x14ac:dyDescent="0.2">
      <c r="A1156" s="275"/>
      <c r="B1156" s="78"/>
      <c r="C1156" s="189"/>
      <c r="D1156" s="185"/>
      <c r="E1156" s="186"/>
      <c r="F1156" s="187"/>
    </row>
    <row r="1157" spans="1:6" x14ac:dyDescent="0.2">
      <c r="A1157" s="275"/>
      <c r="B1157" s="78"/>
      <c r="C1157" s="189"/>
      <c r="D1157" s="185"/>
      <c r="E1157" s="186"/>
      <c r="F1157" s="187"/>
    </row>
    <row r="1158" spans="1:6" x14ac:dyDescent="0.2">
      <c r="A1158" s="275"/>
      <c r="B1158" s="78"/>
      <c r="C1158" s="189"/>
      <c r="D1158" s="185"/>
      <c r="E1158" s="186"/>
      <c r="F1158" s="187"/>
    </row>
    <row r="1159" spans="1:6" x14ac:dyDescent="0.2">
      <c r="A1159" s="275"/>
      <c r="B1159" s="78"/>
      <c r="C1159" s="189"/>
      <c r="D1159" s="185"/>
      <c r="E1159" s="186"/>
      <c r="F1159" s="187"/>
    </row>
    <row r="1160" spans="1:6" x14ac:dyDescent="0.2">
      <c r="A1160" s="275"/>
      <c r="B1160" s="78"/>
      <c r="C1160" s="189"/>
      <c r="D1160" s="185"/>
      <c r="E1160" s="186"/>
      <c r="F1160" s="187"/>
    </row>
    <row r="1161" spans="1:6" x14ac:dyDescent="0.2">
      <c r="A1161" s="275"/>
      <c r="B1161" s="78"/>
      <c r="C1161" s="189"/>
      <c r="D1161" s="185"/>
      <c r="E1161" s="186"/>
      <c r="F1161" s="187"/>
    </row>
    <row r="1162" spans="1:6" x14ac:dyDescent="0.2">
      <c r="A1162" s="275"/>
      <c r="B1162" s="78"/>
      <c r="C1162" s="189"/>
      <c r="D1162" s="185"/>
      <c r="E1162" s="186"/>
      <c r="F1162" s="187"/>
    </row>
    <row r="1163" spans="1:6" x14ac:dyDescent="0.2">
      <c r="A1163" s="275"/>
      <c r="B1163" s="78"/>
      <c r="C1163" s="189"/>
      <c r="D1163" s="185"/>
      <c r="E1163" s="186"/>
      <c r="F1163" s="187"/>
    </row>
    <row r="1164" spans="1:6" x14ac:dyDescent="0.2">
      <c r="A1164" s="275"/>
      <c r="B1164" s="78"/>
      <c r="C1164" s="189"/>
      <c r="D1164" s="185"/>
      <c r="E1164" s="186"/>
      <c r="F1164" s="187"/>
    </row>
    <row r="1165" spans="1:6" x14ac:dyDescent="0.2">
      <c r="A1165" s="275"/>
      <c r="B1165" s="78"/>
      <c r="C1165" s="189"/>
      <c r="D1165" s="185"/>
      <c r="E1165" s="186"/>
      <c r="F1165" s="187"/>
    </row>
    <row r="1166" spans="1:6" x14ac:dyDescent="0.2">
      <c r="A1166" s="275"/>
      <c r="B1166" s="78"/>
      <c r="C1166" s="189"/>
      <c r="D1166" s="185"/>
      <c r="E1166" s="186"/>
      <c r="F1166" s="187"/>
    </row>
    <row r="1167" spans="1:6" x14ac:dyDescent="0.2">
      <c r="A1167" s="275"/>
      <c r="B1167" s="78"/>
      <c r="C1167" s="189"/>
      <c r="D1167" s="185"/>
      <c r="E1167" s="186"/>
      <c r="F1167" s="187"/>
    </row>
    <row r="1168" spans="1:6" x14ac:dyDescent="0.2">
      <c r="A1168" s="275"/>
      <c r="B1168" s="78"/>
      <c r="C1168" s="189"/>
      <c r="D1168" s="185"/>
      <c r="E1168" s="186"/>
      <c r="F1168" s="187"/>
    </row>
    <row r="1169" spans="1:6" x14ac:dyDescent="0.2">
      <c r="A1169" s="275"/>
      <c r="B1169" s="78"/>
      <c r="C1169" s="189"/>
      <c r="D1169" s="185"/>
      <c r="E1169" s="186"/>
      <c r="F1169" s="187"/>
    </row>
    <row r="1170" spans="1:6" x14ac:dyDescent="0.2">
      <c r="A1170" s="275"/>
      <c r="B1170" s="78"/>
      <c r="C1170" s="189"/>
      <c r="D1170" s="185"/>
      <c r="E1170" s="186"/>
      <c r="F1170" s="187"/>
    </row>
    <row r="1171" spans="1:6" x14ac:dyDescent="0.2">
      <c r="A1171" s="275"/>
      <c r="B1171" s="78"/>
      <c r="C1171" s="189"/>
      <c r="D1171" s="185"/>
      <c r="E1171" s="186"/>
      <c r="F1171" s="187"/>
    </row>
    <row r="1172" spans="1:6" x14ac:dyDescent="0.2">
      <c r="A1172" s="275"/>
      <c r="B1172" s="78"/>
      <c r="C1172" s="189"/>
      <c r="D1172" s="185"/>
      <c r="E1172" s="186"/>
      <c r="F1172" s="187"/>
    </row>
    <row r="1173" spans="1:6" x14ac:dyDescent="0.2">
      <c r="A1173" s="275"/>
      <c r="B1173" s="78"/>
      <c r="C1173" s="189"/>
      <c r="D1173" s="185"/>
      <c r="E1173" s="186"/>
      <c r="F1173" s="187"/>
    </row>
    <row r="1174" spans="1:6" x14ac:dyDescent="0.2">
      <c r="A1174" s="275"/>
      <c r="B1174" s="78"/>
      <c r="C1174" s="189"/>
      <c r="D1174" s="185"/>
      <c r="E1174" s="186"/>
      <c r="F1174" s="187"/>
    </row>
    <row r="1175" spans="1:6" x14ac:dyDescent="0.2">
      <c r="A1175" s="275"/>
      <c r="B1175" s="78"/>
      <c r="C1175" s="189"/>
      <c r="D1175" s="185"/>
      <c r="E1175" s="186"/>
      <c r="F1175" s="187"/>
    </row>
    <row r="1176" spans="1:6" x14ac:dyDescent="0.2">
      <c r="A1176" s="275"/>
      <c r="B1176" s="78"/>
      <c r="C1176" s="189"/>
      <c r="D1176" s="185"/>
      <c r="E1176" s="186"/>
      <c r="F1176" s="187"/>
    </row>
    <row r="1177" spans="1:6" x14ac:dyDescent="0.2">
      <c r="A1177" s="275"/>
      <c r="B1177" s="78"/>
      <c r="C1177" s="189"/>
      <c r="D1177" s="185"/>
      <c r="E1177" s="186"/>
      <c r="F1177" s="187"/>
    </row>
    <row r="1178" spans="1:6" x14ac:dyDescent="0.2">
      <c r="A1178" s="275"/>
      <c r="B1178" s="78"/>
      <c r="C1178" s="189"/>
      <c r="D1178" s="185"/>
      <c r="E1178" s="186"/>
      <c r="F1178" s="187"/>
    </row>
    <row r="1179" spans="1:6" x14ac:dyDescent="0.2">
      <c r="A1179" s="275"/>
      <c r="B1179" s="78"/>
      <c r="C1179" s="189"/>
      <c r="D1179" s="185"/>
      <c r="E1179" s="186"/>
      <c r="F1179" s="187"/>
    </row>
    <row r="1180" spans="1:6" x14ac:dyDescent="0.2">
      <c r="A1180" s="275"/>
      <c r="B1180" s="78"/>
      <c r="C1180" s="189"/>
      <c r="D1180" s="185"/>
      <c r="E1180" s="186"/>
      <c r="F1180" s="187"/>
    </row>
    <row r="1181" spans="1:6" x14ac:dyDescent="0.2">
      <c r="A1181" s="275"/>
      <c r="B1181" s="78"/>
      <c r="C1181" s="189"/>
      <c r="D1181" s="185"/>
      <c r="E1181" s="186"/>
      <c r="F1181" s="187"/>
    </row>
    <row r="1182" spans="1:6" x14ac:dyDescent="0.2">
      <c r="A1182" s="275"/>
      <c r="B1182" s="78"/>
      <c r="C1182" s="189"/>
      <c r="D1182" s="185"/>
      <c r="E1182" s="186"/>
      <c r="F1182" s="187"/>
    </row>
    <row r="1183" spans="1:6" x14ac:dyDescent="0.2">
      <c r="A1183" s="275"/>
      <c r="B1183" s="78"/>
      <c r="C1183" s="189"/>
      <c r="D1183" s="185"/>
      <c r="E1183" s="186"/>
      <c r="F1183" s="187"/>
    </row>
    <row r="1184" spans="1:6" x14ac:dyDescent="0.2">
      <c r="A1184" s="275"/>
      <c r="B1184" s="78"/>
      <c r="C1184" s="189"/>
      <c r="D1184" s="185"/>
      <c r="E1184" s="186"/>
      <c r="F1184" s="187"/>
    </row>
    <row r="1185" spans="1:6" x14ac:dyDescent="0.2">
      <c r="A1185" s="275"/>
      <c r="B1185" s="78"/>
      <c r="C1185" s="189"/>
      <c r="D1185" s="185"/>
      <c r="E1185" s="186"/>
      <c r="F1185" s="187"/>
    </row>
    <row r="1186" spans="1:6" x14ac:dyDescent="0.2">
      <c r="A1186" s="275"/>
      <c r="B1186" s="78"/>
      <c r="C1186" s="189"/>
      <c r="D1186" s="185"/>
      <c r="E1186" s="186"/>
      <c r="F1186" s="187"/>
    </row>
    <row r="1187" spans="1:6" x14ac:dyDescent="0.2">
      <c r="A1187" s="275"/>
      <c r="B1187" s="78"/>
      <c r="C1187" s="189"/>
      <c r="D1187" s="185"/>
      <c r="E1187" s="186"/>
      <c r="F1187" s="187"/>
    </row>
    <row r="1188" spans="1:6" x14ac:dyDescent="0.2">
      <c r="A1188" s="275"/>
      <c r="B1188" s="78"/>
      <c r="C1188" s="189"/>
      <c r="D1188" s="185"/>
      <c r="E1188" s="186"/>
      <c r="F1188" s="187"/>
    </row>
    <row r="1189" spans="1:6" x14ac:dyDescent="0.2">
      <c r="A1189" s="275"/>
      <c r="B1189" s="78"/>
      <c r="C1189" s="189"/>
      <c r="D1189" s="185"/>
      <c r="E1189" s="186"/>
      <c r="F1189" s="187"/>
    </row>
    <row r="1190" spans="1:6" x14ac:dyDescent="0.2">
      <c r="A1190" s="275"/>
      <c r="B1190" s="78"/>
      <c r="C1190" s="189"/>
      <c r="D1190" s="185"/>
      <c r="E1190" s="186"/>
      <c r="F1190" s="187"/>
    </row>
    <row r="1191" spans="1:6" x14ac:dyDescent="0.2">
      <c r="A1191" s="275"/>
      <c r="B1191" s="78"/>
      <c r="C1191" s="189"/>
      <c r="D1191" s="185"/>
      <c r="E1191" s="186"/>
      <c r="F1191" s="187"/>
    </row>
    <row r="1192" spans="1:6" x14ac:dyDescent="0.2">
      <c r="A1192" s="275"/>
      <c r="B1192" s="78"/>
      <c r="C1192" s="189"/>
      <c r="D1192" s="185"/>
      <c r="E1192" s="186"/>
      <c r="F1192" s="187"/>
    </row>
    <row r="1193" spans="1:6" x14ac:dyDescent="0.2">
      <c r="A1193" s="275"/>
      <c r="B1193" s="78"/>
      <c r="C1193" s="189"/>
      <c r="D1193" s="185"/>
      <c r="E1193" s="186"/>
      <c r="F1193" s="187"/>
    </row>
    <row r="1194" spans="1:6" x14ac:dyDescent="0.2">
      <c r="A1194" s="275"/>
      <c r="B1194" s="78"/>
      <c r="C1194" s="189"/>
      <c r="D1194" s="185"/>
      <c r="E1194" s="186"/>
      <c r="F1194" s="187"/>
    </row>
    <row r="1195" spans="1:6" x14ac:dyDescent="0.2">
      <c r="A1195" s="275"/>
      <c r="B1195" s="78"/>
      <c r="C1195" s="189"/>
      <c r="D1195" s="185"/>
      <c r="E1195" s="186"/>
      <c r="F1195" s="187"/>
    </row>
    <row r="1196" spans="1:6" x14ac:dyDescent="0.2">
      <c r="A1196" s="275"/>
      <c r="B1196" s="78"/>
      <c r="C1196" s="189"/>
      <c r="D1196" s="185"/>
      <c r="E1196" s="186"/>
      <c r="F1196" s="187"/>
    </row>
    <row r="1197" spans="1:6" x14ac:dyDescent="0.2">
      <c r="A1197" s="275"/>
      <c r="B1197" s="78"/>
      <c r="C1197" s="189"/>
      <c r="D1197" s="185"/>
      <c r="E1197" s="186"/>
      <c r="F1197" s="187"/>
    </row>
    <row r="1198" spans="1:6" x14ac:dyDescent="0.2">
      <c r="A1198" s="275"/>
      <c r="B1198" s="78"/>
      <c r="C1198" s="189"/>
      <c r="D1198" s="185"/>
      <c r="E1198" s="186"/>
      <c r="F1198" s="187"/>
    </row>
    <row r="1199" spans="1:6" x14ac:dyDescent="0.2">
      <c r="A1199" s="275"/>
      <c r="B1199" s="78"/>
      <c r="C1199" s="189"/>
      <c r="D1199" s="185"/>
      <c r="E1199" s="186"/>
      <c r="F1199" s="187"/>
    </row>
    <row r="1200" spans="1:6" x14ac:dyDescent="0.2">
      <c r="A1200" s="275"/>
      <c r="B1200" s="78"/>
      <c r="C1200" s="189"/>
      <c r="D1200" s="185"/>
      <c r="E1200" s="186"/>
      <c r="F1200" s="187"/>
    </row>
    <row r="1201" spans="1:6" x14ac:dyDescent="0.2">
      <c r="A1201" s="275"/>
      <c r="B1201" s="78"/>
      <c r="C1201" s="189"/>
      <c r="D1201" s="185"/>
      <c r="E1201" s="186"/>
      <c r="F1201" s="187"/>
    </row>
    <row r="1202" spans="1:6" x14ac:dyDescent="0.2">
      <c r="A1202" s="275"/>
      <c r="B1202" s="78"/>
      <c r="C1202" s="189"/>
      <c r="D1202" s="185"/>
      <c r="E1202" s="186"/>
      <c r="F1202" s="187"/>
    </row>
    <row r="1203" spans="1:6" x14ac:dyDescent="0.2">
      <c r="A1203" s="275"/>
      <c r="B1203" s="78"/>
      <c r="C1203" s="189"/>
      <c r="D1203" s="185"/>
      <c r="E1203" s="186"/>
      <c r="F1203" s="187"/>
    </row>
    <row r="1204" spans="1:6" x14ac:dyDescent="0.2">
      <c r="A1204" s="275"/>
      <c r="B1204" s="78"/>
      <c r="C1204" s="189"/>
      <c r="D1204" s="185"/>
      <c r="E1204" s="186"/>
      <c r="F1204" s="187"/>
    </row>
    <row r="1205" spans="1:6" x14ac:dyDescent="0.2">
      <c r="A1205" s="275"/>
      <c r="B1205" s="78"/>
      <c r="C1205" s="189"/>
      <c r="D1205" s="185"/>
      <c r="E1205" s="186"/>
      <c r="F1205" s="187"/>
    </row>
    <row r="1206" spans="1:6" x14ac:dyDescent="0.2">
      <c r="A1206" s="275"/>
      <c r="B1206" s="78"/>
      <c r="C1206" s="189"/>
      <c r="D1206" s="185"/>
      <c r="E1206" s="186"/>
      <c r="F1206" s="187"/>
    </row>
    <row r="1207" spans="1:6" x14ac:dyDescent="0.2">
      <c r="A1207" s="275"/>
      <c r="B1207" s="78"/>
      <c r="C1207" s="189"/>
      <c r="D1207" s="185"/>
      <c r="E1207" s="186"/>
      <c r="F1207" s="187"/>
    </row>
    <row r="1208" spans="1:6" x14ac:dyDescent="0.2">
      <c r="A1208" s="275"/>
      <c r="B1208" s="78"/>
      <c r="C1208" s="189"/>
      <c r="D1208" s="185"/>
      <c r="E1208" s="186"/>
      <c r="F1208" s="187"/>
    </row>
    <row r="1209" spans="1:6" x14ac:dyDescent="0.2">
      <c r="A1209" s="275"/>
      <c r="B1209" s="78"/>
      <c r="C1209" s="189"/>
      <c r="D1209" s="185"/>
      <c r="E1209" s="186"/>
      <c r="F1209" s="187"/>
    </row>
    <row r="1210" spans="1:6" x14ac:dyDescent="0.2">
      <c r="A1210" s="275"/>
      <c r="B1210" s="78"/>
      <c r="C1210" s="189"/>
      <c r="D1210" s="185"/>
      <c r="E1210" s="186"/>
      <c r="F1210" s="187"/>
    </row>
    <row r="1211" spans="1:6" x14ac:dyDescent="0.2">
      <c r="A1211" s="275"/>
      <c r="B1211" s="78"/>
      <c r="C1211" s="189"/>
      <c r="D1211" s="185"/>
      <c r="E1211" s="186"/>
      <c r="F1211" s="187"/>
    </row>
    <row r="1212" spans="1:6" x14ac:dyDescent="0.2">
      <c r="A1212" s="275"/>
      <c r="B1212" s="78"/>
      <c r="C1212" s="189"/>
      <c r="D1212" s="185"/>
      <c r="E1212" s="186"/>
      <c r="F1212" s="187"/>
    </row>
    <row r="1213" spans="1:6" x14ac:dyDescent="0.2">
      <c r="A1213" s="275"/>
      <c r="B1213" s="78"/>
      <c r="C1213" s="189"/>
      <c r="D1213" s="185"/>
      <c r="E1213" s="186"/>
      <c r="F1213" s="187"/>
    </row>
    <row r="1214" spans="1:6" x14ac:dyDescent="0.2">
      <c r="A1214" s="275"/>
      <c r="B1214" s="78"/>
      <c r="C1214" s="189"/>
      <c r="D1214" s="185"/>
      <c r="E1214" s="186"/>
      <c r="F1214" s="187"/>
    </row>
    <row r="1215" spans="1:6" x14ac:dyDescent="0.2">
      <c r="A1215" s="275"/>
      <c r="B1215" s="78"/>
      <c r="C1215" s="189"/>
      <c r="D1215" s="185"/>
      <c r="E1215" s="186"/>
      <c r="F1215" s="187"/>
    </row>
    <row r="1216" spans="1:6" x14ac:dyDescent="0.2">
      <c r="A1216" s="275"/>
      <c r="B1216" s="78"/>
      <c r="C1216" s="189"/>
      <c r="D1216" s="185"/>
      <c r="E1216" s="186"/>
      <c r="F1216" s="187"/>
    </row>
    <row r="1217" spans="1:6" x14ac:dyDescent="0.2">
      <c r="A1217" s="275"/>
      <c r="B1217" s="78"/>
      <c r="C1217" s="189"/>
      <c r="D1217" s="185"/>
      <c r="E1217" s="186"/>
      <c r="F1217" s="187"/>
    </row>
    <row r="1218" spans="1:6" x14ac:dyDescent="0.2">
      <c r="A1218" s="275"/>
      <c r="B1218" s="78"/>
      <c r="C1218" s="189"/>
      <c r="D1218" s="185"/>
      <c r="E1218" s="186"/>
      <c r="F1218" s="187"/>
    </row>
    <row r="1219" spans="1:6" x14ac:dyDescent="0.2">
      <c r="A1219" s="275"/>
      <c r="B1219" s="78"/>
      <c r="C1219" s="189"/>
      <c r="D1219" s="185"/>
      <c r="E1219" s="186"/>
      <c r="F1219" s="187"/>
    </row>
    <row r="1220" spans="1:6" x14ac:dyDescent="0.2">
      <c r="A1220" s="275"/>
      <c r="B1220" s="78"/>
      <c r="C1220" s="189"/>
      <c r="D1220" s="185"/>
      <c r="E1220" s="186"/>
      <c r="F1220" s="187"/>
    </row>
    <row r="1221" spans="1:6" x14ac:dyDescent="0.2">
      <c r="A1221" s="275"/>
      <c r="B1221" s="78"/>
      <c r="C1221" s="189"/>
      <c r="D1221" s="185"/>
      <c r="E1221" s="186"/>
      <c r="F1221" s="187"/>
    </row>
    <row r="1222" spans="1:6" x14ac:dyDescent="0.2">
      <c r="A1222" s="275"/>
      <c r="B1222" s="78"/>
      <c r="C1222" s="189"/>
      <c r="D1222" s="185"/>
      <c r="E1222" s="186"/>
      <c r="F1222" s="187"/>
    </row>
    <row r="1223" spans="1:6" x14ac:dyDescent="0.2">
      <c r="A1223" s="275"/>
      <c r="B1223" s="78"/>
      <c r="C1223" s="189"/>
      <c r="D1223" s="185"/>
      <c r="E1223" s="186"/>
      <c r="F1223" s="187"/>
    </row>
    <row r="1224" spans="1:6" x14ac:dyDescent="0.2">
      <c r="A1224" s="275"/>
      <c r="B1224" s="78"/>
      <c r="C1224" s="189"/>
      <c r="D1224" s="185"/>
      <c r="E1224" s="186"/>
      <c r="F1224" s="187"/>
    </row>
    <row r="1225" spans="1:6" x14ac:dyDescent="0.2">
      <c r="A1225" s="275"/>
      <c r="B1225" s="78"/>
      <c r="C1225" s="189"/>
      <c r="D1225" s="185"/>
      <c r="E1225" s="186"/>
      <c r="F1225" s="187"/>
    </row>
    <row r="1226" spans="1:6" x14ac:dyDescent="0.2">
      <c r="A1226" s="275"/>
      <c r="B1226" s="78"/>
      <c r="C1226" s="189"/>
      <c r="D1226" s="185"/>
      <c r="E1226" s="186"/>
      <c r="F1226" s="187"/>
    </row>
    <row r="1227" spans="1:6" x14ac:dyDescent="0.2">
      <c r="A1227" s="275"/>
      <c r="B1227" s="78"/>
      <c r="C1227" s="189"/>
      <c r="D1227" s="185"/>
      <c r="E1227" s="186"/>
      <c r="F1227" s="187"/>
    </row>
    <row r="1228" spans="1:6" x14ac:dyDescent="0.2">
      <c r="A1228" s="275"/>
      <c r="B1228" s="78"/>
      <c r="C1228" s="189"/>
      <c r="D1228" s="185"/>
      <c r="E1228" s="186"/>
      <c r="F1228" s="187"/>
    </row>
    <row r="1229" spans="1:6" x14ac:dyDescent="0.2">
      <c r="A1229" s="275"/>
      <c r="B1229" s="78"/>
      <c r="C1229" s="189"/>
      <c r="D1229" s="185"/>
      <c r="E1229" s="186"/>
      <c r="F1229" s="187"/>
    </row>
    <row r="1230" spans="1:6" x14ac:dyDescent="0.2">
      <c r="A1230" s="275"/>
      <c r="B1230" s="78"/>
      <c r="C1230" s="189"/>
      <c r="D1230" s="185"/>
      <c r="E1230" s="186"/>
      <c r="F1230" s="187"/>
    </row>
    <row r="1231" spans="1:6" x14ac:dyDescent="0.2">
      <c r="A1231" s="275"/>
      <c r="B1231" s="78"/>
      <c r="C1231" s="189"/>
      <c r="D1231" s="185"/>
      <c r="E1231" s="186"/>
      <c r="F1231" s="187"/>
    </row>
    <row r="1232" spans="1:6" x14ac:dyDescent="0.2">
      <c r="A1232" s="275"/>
      <c r="B1232" s="78"/>
      <c r="C1232" s="189"/>
      <c r="D1232" s="185"/>
      <c r="E1232" s="186"/>
      <c r="F1232" s="187"/>
    </row>
    <row r="1233" spans="1:6" x14ac:dyDescent="0.2">
      <c r="A1233" s="275"/>
      <c r="B1233" s="78"/>
      <c r="C1233" s="189"/>
      <c r="D1233" s="185"/>
      <c r="E1233" s="186"/>
      <c r="F1233" s="187"/>
    </row>
    <row r="1234" spans="1:6" x14ac:dyDescent="0.2">
      <c r="A1234" s="275"/>
      <c r="B1234" s="78"/>
      <c r="C1234" s="189"/>
      <c r="D1234" s="185"/>
      <c r="E1234" s="186"/>
      <c r="F1234" s="187"/>
    </row>
    <row r="1235" spans="1:6" x14ac:dyDescent="0.2">
      <c r="A1235" s="275"/>
      <c r="B1235" s="78"/>
      <c r="C1235" s="189"/>
      <c r="D1235" s="185"/>
      <c r="E1235" s="186"/>
      <c r="F1235" s="187"/>
    </row>
    <row r="1236" spans="1:6" x14ac:dyDescent="0.2">
      <c r="A1236" s="275"/>
      <c r="B1236" s="78"/>
      <c r="C1236" s="189"/>
      <c r="D1236" s="185"/>
      <c r="E1236" s="186"/>
      <c r="F1236" s="187"/>
    </row>
    <row r="1237" spans="1:6" x14ac:dyDescent="0.2">
      <c r="A1237" s="275"/>
      <c r="B1237" s="78"/>
      <c r="C1237" s="189"/>
      <c r="D1237" s="185"/>
      <c r="E1237" s="186"/>
      <c r="F1237" s="187"/>
    </row>
    <row r="1238" spans="1:6" x14ac:dyDescent="0.2">
      <c r="A1238" s="275"/>
      <c r="B1238" s="78"/>
      <c r="C1238" s="189"/>
      <c r="D1238" s="185"/>
      <c r="E1238" s="186"/>
      <c r="F1238" s="187"/>
    </row>
    <row r="1239" spans="1:6" x14ac:dyDescent="0.2">
      <c r="A1239" s="275"/>
      <c r="B1239" s="78"/>
      <c r="C1239" s="189"/>
      <c r="D1239" s="185"/>
      <c r="E1239" s="186"/>
      <c r="F1239" s="187"/>
    </row>
    <row r="1240" spans="1:6" x14ac:dyDescent="0.2">
      <c r="A1240" s="275"/>
      <c r="B1240" s="78"/>
      <c r="C1240" s="189"/>
      <c r="D1240" s="185"/>
      <c r="E1240" s="186"/>
      <c r="F1240" s="187"/>
    </row>
    <row r="1241" spans="1:6" x14ac:dyDescent="0.2">
      <c r="A1241" s="275"/>
      <c r="B1241" s="78"/>
      <c r="C1241" s="189"/>
      <c r="D1241" s="185"/>
      <c r="E1241" s="186"/>
      <c r="F1241" s="187"/>
    </row>
    <row r="1242" spans="1:6" x14ac:dyDescent="0.2">
      <c r="A1242" s="275"/>
      <c r="B1242" s="78"/>
      <c r="C1242" s="189"/>
      <c r="D1242" s="185"/>
      <c r="E1242" s="186"/>
      <c r="F1242" s="187"/>
    </row>
    <row r="1243" spans="1:6" x14ac:dyDescent="0.2">
      <c r="A1243" s="275"/>
      <c r="B1243" s="78"/>
      <c r="C1243" s="189"/>
      <c r="D1243" s="185"/>
      <c r="E1243" s="186"/>
      <c r="F1243" s="187"/>
    </row>
    <row r="1244" spans="1:6" x14ac:dyDescent="0.2">
      <c r="A1244" s="275"/>
      <c r="B1244" s="78"/>
      <c r="C1244" s="189"/>
      <c r="D1244" s="185"/>
      <c r="E1244" s="186"/>
      <c r="F1244" s="187"/>
    </row>
    <row r="1245" spans="1:6" x14ac:dyDescent="0.2">
      <c r="A1245" s="275"/>
      <c r="B1245" s="78"/>
      <c r="C1245" s="189"/>
      <c r="D1245" s="185"/>
      <c r="E1245" s="186"/>
      <c r="F1245" s="187"/>
    </row>
    <row r="1246" spans="1:6" x14ac:dyDescent="0.2">
      <c r="A1246" s="275"/>
      <c r="B1246" s="78"/>
      <c r="C1246" s="189"/>
      <c r="D1246" s="185"/>
      <c r="E1246" s="186"/>
      <c r="F1246" s="187"/>
    </row>
    <row r="1247" spans="1:6" x14ac:dyDescent="0.2">
      <c r="A1247" s="275"/>
      <c r="B1247" s="78"/>
      <c r="C1247" s="189"/>
      <c r="D1247" s="185"/>
      <c r="E1247" s="186"/>
      <c r="F1247" s="187"/>
    </row>
    <row r="1248" spans="1:6" x14ac:dyDescent="0.2">
      <c r="A1248" s="275"/>
      <c r="B1248" s="78"/>
      <c r="C1248" s="189"/>
      <c r="D1248" s="185"/>
      <c r="E1248" s="186"/>
      <c r="F1248" s="187"/>
    </row>
    <row r="1249" spans="1:6" x14ac:dyDescent="0.2">
      <c r="A1249" s="275"/>
      <c r="B1249" s="78"/>
      <c r="C1249" s="189"/>
      <c r="D1249" s="185"/>
      <c r="E1249" s="186"/>
      <c r="F1249" s="187"/>
    </row>
    <row r="1250" spans="1:6" x14ac:dyDescent="0.2">
      <c r="A1250" s="275"/>
      <c r="B1250" s="78"/>
      <c r="C1250" s="189"/>
      <c r="D1250" s="185"/>
      <c r="E1250" s="186"/>
      <c r="F1250" s="187"/>
    </row>
    <row r="1251" spans="1:6" x14ac:dyDescent="0.2">
      <c r="A1251" s="275"/>
      <c r="B1251" s="78"/>
      <c r="C1251" s="189"/>
      <c r="D1251" s="185"/>
      <c r="E1251" s="186"/>
      <c r="F1251" s="187"/>
    </row>
    <row r="1252" spans="1:6" x14ac:dyDescent="0.2">
      <c r="A1252" s="275"/>
      <c r="B1252" s="78"/>
      <c r="C1252" s="189"/>
      <c r="D1252" s="185"/>
      <c r="E1252" s="186"/>
      <c r="F1252" s="187"/>
    </row>
    <row r="1253" spans="1:6" x14ac:dyDescent="0.2">
      <c r="A1253" s="275"/>
      <c r="B1253" s="78"/>
      <c r="C1253" s="189"/>
      <c r="D1253" s="185"/>
      <c r="E1253" s="186"/>
      <c r="F1253" s="187"/>
    </row>
    <row r="1254" spans="1:6" x14ac:dyDescent="0.2">
      <c r="A1254" s="275"/>
      <c r="B1254" s="78"/>
      <c r="C1254" s="189"/>
      <c r="D1254" s="185"/>
      <c r="E1254" s="186"/>
      <c r="F1254" s="187"/>
    </row>
    <row r="1255" spans="1:6" x14ac:dyDescent="0.2">
      <c r="A1255" s="275"/>
      <c r="B1255" s="78"/>
      <c r="C1255" s="189"/>
      <c r="D1255" s="185"/>
      <c r="E1255" s="186"/>
      <c r="F1255" s="187"/>
    </row>
    <row r="1256" spans="1:6" x14ac:dyDescent="0.2">
      <c r="A1256" s="275"/>
      <c r="B1256" s="78"/>
      <c r="C1256" s="189"/>
      <c r="D1256" s="185"/>
      <c r="E1256" s="186"/>
      <c r="F1256" s="187"/>
    </row>
    <row r="1257" spans="1:6" x14ac:dyDescent="0.2">
      <c r="A1257" s="275"/>
      <c r="B1257" s="78"/>
      <c r="C1257" s="189"/>
      <c r="D1257" s="185"/>
      <c r="E1257" s="186"/>
      <c r="F1257" s="187"/>
    </row>
    <row r="1258" spans="1:6" x14ac:dyDescent="0.2">
      <c r="A1258" s="275"/>
      <c r="B1258" s="78"/>
      <c r="C1258" s="189"/>
      <c r="D1258" s="185"/>
      <c r="E1258" s="186"/>
      <c r="F1258" s="187"/>
    </row>
    <row r="1259" spans="1:6" x14ac:dyDescent="0.2">
      <c r="A1259" s="275"/>
      <c r="B1259" s="78"/>
      <c r="C1259" s="189"/>
      <c r="D1259" s="185"/>
      <c r="E1259" s="186"/>
      <c r="F1259" s="187"/>
    </row>
    <row r="1260" spans="1:6" x14ac:dyDescent="0.2">
      <c r="A1260" s="275"/>
      <c r="B1260" s="78"/>
      <c r="C1260" s="189"/>
      <c r="D1260" s="185"/>
      <c r="E1260" s="186"/>
      <c r="F1260" s="187"/>
    </row>
    <row r="1261" spans="1:6" x14ac:dyDescent="0.2">
      <c r="A1261" s="275"/>
      <c r="B1261" s="78"/>
      <c r="C1261" s="189"/>
      <c r="D1261" s="185"/>
      <c r="E1261" s="186"/>
      <c r="F1261" s="187"/>
    </row>
    <row r="1262" spans="1:6" x14ac:dyDescent="0.2">
      <c r="A1262" s="275"/>
      <c r="B1262" s="78"/>
      <c r="C1262" s="189"/>
      <c r="D1262" s="185"/>
      <c r="E1262" s="186"/>
      <c r="F1262" s="187"/>
    </row>
    <row r="1263" spans="1:6" x14ac:dyDescent="0.2">
      <c r="A1263" s="275"/>
      <c r="B1263" s="78"/>
      <c r="C1263" s="189"/>
      <c r="D1263" s="185"/>
      <c r="E1263" s="186"/>
      <c r="F1263" s="187"/>
    </row>
    <row r="1264" spans="1:6" x14ac:dyDescent="0.2">
      <c r="A1264" s="275"/>
      <c r="B1264" s="78"/>
      <c r="C1264" s="189"/>
      <c r="D1264" s="185"/>
      <c r="E1264" s="186"/>
      <c r="F1264" s="187"/>
    </row>
    <row r="1265" spans="1:6" x14ac:dyDescent="0.2">
      <c r="A1265" s="275"/>
      <c r="B1265" s="78"/>
      <c r="C1265" s="189"/>
      <c r="D1265" s="185"/>
      <c r="E1265" s="186"/>
      <c r="F1265" s="187"/>
    </row>
    <row r="1266" spans="1:6" x14ac:dyDescent="0.2">
      <c r="A1266" s="275"/>
      <c r="B1266" s="78"/>
      <c r="C1266" s="189"/>
      <c r="D1266" s="185"/>
      <c r="E1266" s="186"/>
      <c r="F1266" s="187"/>
    </row>
    <row r="1267" spans="1:6" x14ac:dyDescent="0.2">
      <c r="A1267" s="275"/>
      <c r="B1267" s="78"/>
      <c r="C1267" s="189"/>
      <c r="D1267" s="185"/>
      <c r="E1267" s="186"/>
      <c r="F1267" s="187"/>
    </row>
    <row r="1268" spans="1:6" x14ac:dyDescent="0.2">
      <c r="A1268" s="275"/>
      <c r="B1268" s="78"/>
      <c r="C1268" s="189"/>
      <c r="D1268" s="185"/>
      <c r="E1268" s="186"/>
      <c r="F1268" s="187"/>
    </row>
    <row r="1269" spans="1:6" x14ac:dyDescent="0.2">
      <c r="A1269" s="275"/>
      <c r="B1269" s="78"/>
      <c r="C1269" s="189"/>
      <c r="D1269" s="185"/>
      <c r="E1269" s="186"/>
      <c r="F1269" s="187"/>
    </row>
    <row r="1270" spans="1:6" x14ac:dyDescent="0.2">
      <c r="A1270" s="275"/>
      <c r="B1270" s="78"/>
      <c r="C1270" s="189"/>
      <c r="D1270" s="185"/>
      <c r="E1270" s="186"/>
      <c r="F1270" s="187"/>
    </row>
    <row r="1271" spans="1:6" x14ac:dyDescent="0.2">
      <c r="A1271" s="275"/>
      <c r="B1271" s="78"/>
      <c r="C1271" s="189"/>
      <c r="D1271" s="185"/>
      <c r="E1271" s="186"/>
      <c r="F1271" s="187"/>
    </row>
    <row r="1272" spans="1:6" x14ac:dyDescent="0.2">
      <c r="A1272" s="275"/>
      <c r="B1272" s="78"/>
      <c r="C1272" s="189"/>
      <c r="D1272" s="185"/>
      <c r="E1272" s="186"/>
      <c r="F1272" s="187"/>
    </row>
    <row r="1273" spans="1:6" x14ac:dyDescent="0.2">
      <c r="A1273" s="275"/>
      <c r="B1273" s="78"/>
      <c r="C1273" s="189"/>
      <c r="D1273" s="185"/>
      <c r="E1273" s="186"/>
      <c r="F1273" s="187"/>
    </row>
    <row r="1274" spans="1:6" x14ac:dyDescent="0.2">
      <c r="A1274" s="275"/>
      <c r="B1274" s="78"/>
      <c r="C1274" s="189"/>
      <c r="D1274" s="185"/>
      <c r="E1274" s="186"/>
      <c r="F1274" s="187"/>
    </row>
    <row r="1275" spans="1:6" x14ac:dyDescent="0.2">
      <c r="A1275" s="275"/>
      <c r="B1275" s="78"/>
      <c r="C1275" s="189"/>
      <c r="D1275" s="185"/>
      <c r="E1275" s="186"/>
      <c r="F1275" s="187"/>
    </row>
    <row r="1276" spans="1:6" x14ac:dyDescent="0.2">
      <c r="A1276" s="275"/>
      <c r="B1276" s="78"/>
      <c r="C1276" s="189"/>
      <c r="D1276" s="185"/>
      <c r="E1276" s="186"/>
      <c r="F1276" s="187"/>
    </row>
    <row r="1277" spans="1:6" x14ac:dyDescent="0.2">
      <c r="A1277" s="275"/>
      <c r="B1277" s="78"/>
      <c r="C1277" s="189"/>
      <c r="D1277" s="185"/>
      <c r="E1277" s="186"/>
      <c r="F1277" s="187"/>
    </row>
    <row r="1278" spans="1:6" x14ac:dyDescent="0.2">
      <c r="A1278" s="275"/>
      <c r="B1278" s="78"/>
      <c r="C1278" s="189"/>
      <c r="D1278" s="185"/>
      <c r="E1278" s="186"/>
      <c r="F1278" s="187"/>
    </row>
    <row r="1279" spans="1:6" x14ac:dyDescent="0.2">
      <c r="A1279" s="275"/>
      <c r="B1279" s="78"/>
      <c r="C1279" s="189"/>
      <c r="D1279" s="185"/>
      <c r="E1279" s="186"/>
      <c r="F1279" s="187"/>
    </row>
    <row r="1280" spans="1:6" x14ac:dyDescent="0.2">
      <c r="A1280" s="275"/>
      <c r="B1280" s="78"/>
      <c r="C1280" s="189"/>
      <c r="D1280" s="185"/>
      <c r="E1280" s="186"/>
      <c r="F1280" s="187"/>
    </row>
    <row r="1281" spans="1:6" x14ac:dyDescent="0.2">
      <c r="A1281" s="275"/>
      <c r="B1281" s="78"/>
      <c r="C1281" s="189"/>
      <c r="D1281" s="185"/>
      <c r="E1281" s="186"/>
      <c r="F1281" s="187"/>
    </row>
    <row r="1282" spans="1:6" x14ac:dyDescent="0.2">
      <c r="A1282" s="275"/>
      <c r="B1282" s="78"/>
      <c r="C1282" s="189"/>
      <c r="D1282" s="185"/>
      <c r="E1282" s="186"/>
      <c r="F1282" s="187"/>
    </row>
    <row r="1283" spans="1:6" x14ac:dyDescent="0.2">
      <c r="A1283" s="275"/>
      <c r="B1283" s="78"/>
      <c r="C1283" s="189"/>
      <c r="D1283" s="185"/>
      <c r="E1283" s="186"/>
      <c r="F1283" s="187"/>
    </row>
    <row r="1284" spans="1:6" x14ac:dyDescent="0.2">
      <c r="A1284" s="275"/>
      <c r="B1284" s="78"/>
      <c r="C1284" s="189"/>
      <c r="D1284" s="185"/>
      <c r="E1284" s="186"/>
      <c r="F1284" s="187"/>
    </row>
    <row r="1285" spans="1:6" x14ac:dyDescent="0.2">
      <c r="A1285" s="275"/>
      <c r="B1285" s="78"/>
      <c r="C1285" s="189"/>
      <c r="D1285" s="185"/>
      <c r="E1285" s="186"/>
      <c r="F1285" s="187"/>
    </row>
    <row r="1286" spans="1:6" x14ac:dyDescent="0.2">
      <c r="A1286" s="275"/>
      <c r="B1286" s="78"/>
      <c r="C1286" s="189"/>
      <c r="D1286" s="185"/>
      <c r="E1286" s="186"/>
      <c r="F1286" s="187"/>
    </row>
    <row r="1287" spans="1:6" x14ac:dyDescent="0.2">
      <c r="A1287" s="275"/>
      <c r="B1287" s="78"/>
      <c r="C1287" s="189"/>
      <c r="D1287" s="185"/>
      <c r="E1287" s="186"/>
      <c r="F1287" s="187"/>
    </row>
    <row r="1288" spans="1:6" x14ac:dyDescent="0.2">
      <c r="A1288" s="275"/>
      <c r="B1288" s="78"/>
      <c r="C1288" s="189"/>
      <c r="D1288" s="185"/>
      <c r="E1288" s="186"/>
      <c r="F1288" s="187"/>
    </row>
    <row r="1289" spans="1:6" x14ac:dyDescent="0.2">
      <c r="A1289" s="275"/>
      <c r="B1289" s="78"/>
      <c r="C1289" s="189"/>
      <c r="D1289" s="185"/>
      <c r="E1289" s="186"/>
      <c r="F1289" s="187"/>
    </row>
    <row r="1290" spans="1:6" x14ac:dyDescent="0.2">
      <c r="A1290" s="275"/>
      <c r="B1290" s="78"/>
      <c r="C1290" s="189"/>
      <c r="D1290" s="185"/>
      <c r="E1290" s="186"/>
      <c r="F1290" s="187"/>
    </row>
    <row r="1291" spans="1:6" x14ac:dyDescent="0.2">
      <c r="A1291" s="275"/>
      <c r="B1291" s="78"/>
      <c r="C1291" s="189"/>
      <c r="D1291" s="185"/>
      <c r="E1291" s="186"/>
      <c r="F1291" s="187"/>
    </row>
    <row r="1292" spans="1:6" x14ac:dyDescent="0.2">
      <c r="A1292" s="275"/>
      <c r="B1292" s="78"/>
      <c r="C1292" s="189"/>
      <c r="D1292" s="185"/>
      <c r="E1292" s="186"/>
      <c r="F1292" s="187"/>
    </row>
    <row r="1293" spans="1:6" x14ac:dyDescent="0.2">
      <c r="A1293" s="275"/>
      <c r="B1293" s="78"/>
      <c r="C1293" s="189"/>
      <c r="D1293" s="185"/>
      <c r="E1293" s="186"/>
      <c r="F1293" s="187"/>
    </row>
    <row r="1294" spans="1:6" x14ac:dyDescent="0.2">
      <c r="A1294" s="275"/>
      <c r="B1294" s="78"/>
      <c r="C1294" s="189"/>
      <c r="D1294" s="185"/>
      <c r="E1294" s="186"/>
      <c r="F1294" s="187"/>
    </row>
    <row r="1295" spans="1:6" x14ac:dyDescent="0.2">
      <c r="A1295" s="275"/>
      <c r="B1295" s="78"/>
      <c r="C1295" s="189"/>
      <c r="D1295" s="185"/>
      <c r="E1295" s="186"/>
      <c r="F1295" s="187"/>
    </row>
    <row r="1296" spans="1:6" x14ac:dyDescent="0.2">
      <c r="A1296" s="275"/>
      <c r="B1296" s="78"/>
      <c r="C1296" s="189"/>
      <c r="D1296" s="185"/>
      <c r="E1296" s="186"/>
      <c r="F1296" s="187"/>
    </row>
    <row r="1297" spans="1:6" x14ac:dyDescent="0.2">
      <c r="A1297" s="275"/>
      <c r="B1297" s="78"/>
      <c r="C1297" s="189"/>
      <c r="D1297" s="185"/>
      <c r="E1297" s="186"/>
      <c r="F1297" s="187"/>
    </row>
    <row r="1298" spans="1:6" x14ac:dyDescent="0.2">
      <c r="A1298" s="275"/>
      <c r="B1298" s="78"/>
      <c r="C1298" s="189"/>
      <c r="D1298" s="185"/>
      <c r="E1298" s="186"/>
      <c r="F1298" s="187"/>
    </row>
    <row r="1299" spans="1:6" x14ac:dyDescent="0.2">
      <c r="A1299" s="275"/>
      <c r="B1299" s="78"/>
      <c r="C1299" s="189"/>
      <c r="D1299" s="185"/>
      <c r="E1299" s="186"/>
      <c r="F1299" s="187"/>
    </row>
    <row r="1300" spans="1:6" x14ac:dyDescent="0.2">
      <c r="A1300" s="275"/>
      <c r="B1300" s="78"/>
      <c r="C1300" s="189"/>
      <c r="D1300" s="185"/>
      <c r="E1300" s="186"/>
      <c r="F1300" s="187"/>
    </row>
    <row r="1301" spans="1:6" x14ac:dyDescent="0.2">
      <c r="A1301" s="275"/>
      <c r="B1301" s="78"/>
      <c r="C1301" s="189"/>
      <c r="D1301" s="185"/>
      <c r="E1301" s="186"/>
      <c r="F1301" s="187"/>
    </row>
    <row r="1302" spans="1:6" x14ac:dyDescent="0.2">
      <c r="A1302" s="275"/>
      <c r="B1302" s="78"/>
      <c r="C1302" s="189"/>
      <c r="D1302" s="185"/>
      <c r="E1302" s="186"/>
      <c r="F1302" s="187"/>
    </row>
    <row r="1303" spans="1:6" x14ac:dyDescent="0.2">
      <c r="A1303" s="275"/>
      <c r="B1303" s="78"/>
      <c r="C1303" s="189"/>
      <c r="D1303" s="185"/>
      <c r="E1303" s="186"/>
      <c r="F1303" s="187"/>
    </row>
    <row r="1304" spans="1:6" x14ac:dyDescent="0.2">
      <c r="A1304" s="275"/>
      <c r="B1304" s="78"/>
      <c r="C1304" s="189"/>
      <c r="D1304" s="185"/>
      <c r="E1304" s="186"/>
      <c r="F1304" s="187"/>
    </row>
    <row r="1305" spans="1:6" x14ac:dyDescent="0.2">
      <c r="A1305" s="275"/>
      <c r="B1305" s="78"/>
      <c r="C1305" s="189"/>
      <c r="D1305" s="185"/>
      <c r="E1305" s="186"/>
      <c r="F1305" s="187"/>
    </row>
    <row r="1306" spans="1:6" x14ac:dyDescent="0.2">
      <c r="A1306" s="275"/>
      <c r="B1306" s="78"/>
      <c r="C1306" s="189"/>
      <c r="D1306" s="185"/>
      <c r="E1306" s="186"/>
      <c r="F1306" s="187"/>
    </row>
    <row r="1307" spans="1:6" x14ac:dyDescent="0.2">
      <c r="A1307" s="275"/>
      <c r="B1307" s="78"/>
      <c r="C1307" s="189"/>
      <c r="D1307" s="185"/>
      <c r="E1307" s="186"/>
      <c r="F1307" s="187"/>
    </row>
    <row r="1308" spans="1:6" x14ac:dyDescent="0.2">
      <c r="A1308" s="275"/>
      <c r="B1308" s="78"/>
      <c r="C1308" s="189"/>
      <c r="D1308" s="185"/>
      <c r="E1308" s="186"/>
      <c r="F1308" s="187"/>
    </row>
    <row r="1309" spans="1:6" x14ac:dyDescent="0.2">
      <c r="A1309" s="275"/>
      <c r="B1309" s="78"/>
      <c r="C1309" s="189"/>
      <c r="D1309" s="185"/>
      <c r="E1309" s="186"/>
      <c r="F1309" s="187"/>
    </row>
    <row r="1310" spans="1:6" x14ac:dyDescent="0.2">
      <c r="A1310" s="275"/>
      <c r="B1310" s="78"/>
      <c r="C1310" s="189"/>
      <c r="D1310" s="185"/>
      <c r="E1310" s="186"/>
      <c r="F1310" s="187"/>
    </row>
    <row r="1311" spans="1:6" x14ac:dyDescent="0.2">
      <c r="A1311" s="275"/>
      <c r="B1311" s="78"/>
      <c r="C1311" s="189"/>
      <c r="D1311" s="185"/>
      <c r="E1311" s="186"/>
      <c r="F1311" s="187"/>
    </row>
    <row r="1312" spans="1:6" x14ac:dyDescent="0.2">
      <c r="A1312" s="275"/>
      <c r="B1312" s="78"/>
      <c r="C1312" s="189"/>
      <c r="D1312" s="185"/>
      <c r="E1312" s="186"/>
      <c r="F1312" s="187"/>
    </row>
    <row r="1313" spans="1:6" x14ac:dyDescent="0.2">
      <c r="A1313" s="275"/>
      <c r="B1313" s="78"/>
      <c r="C1313" s="189"/>
      <c r="D1313" s="185"/>
      <c r="E1313" s="186"/>
      <c r="F1313" s="187"/>
    </row>
    <row r="1314" spans="1:6" x14ac:dyDescent="0.2">
      <c r="A1314" s="275"/>
      <c r="B1314" s="78"/>
      <c r="C1314" s="189"/>
      <c r="D1314" s="185"/>
      <c r="E1314" s="186"/>
      <c r="F1314" s="187"/>
    </row>
    <row r="1315" spans="1:6" x14ac:dyDescent="0.2">
      <c r="A1315" s="275"/>
      <c r="B1315" s="78"/>
      <c r="C1315" s="189"/>
      <c r="D1315" s="185"/>
      <c r="E1315" s="186"/>
      <c r="F1315" s="187"/>
    </row>
    <row r="1316" spans="1:6" x14ac:dyDescent="0.2">
      <c r="A1316" s="275"/>
      <c r="B1316" s="78"/>
      <c r="C1316" s="189"/>
      <c r="D1316" s="185"/>
      <c r="E1316" s="186"/>
      <c r="F1316" s="187"/>
    </row>
    <row r="1317" spans="1:6" x14ac:dyDescent="0.2">
      <c r="A1317" s="275"/>
      <c r="B1317" s="78"/>
      <c r="C1317" s="189"/>
      <c r="D1317" s="185"/>
      <c r="E1317" s="186"/>
      <c r="F1317" s="187"/>
    </row>
    <row r="1318" spans="1:6" x14ac:dyDescent="0.2">
      <c r="A1318" s="275"/>
      <c r="B1318" s="78"/>
      <c r="C1318" s="189"/>
      <c r="D1318" s="185"/>
      <c r="E1318" s="186"/>
      <c r="F1318" s="187"/>
    </row>
    <row r="1319" spans="1:6" x14ac:dyDescent="0.2">
      <c r="A1319" s="275"/>
      <c r="B1319" s="78"/>
      <c r="C1319" s="189"/>
      <c r="D1319" s="185"/>
      <c r="E1319" s="186"/>
      <c r="F1319" s="187"/>
    </row>
    <row r="1320" spans="1:6" x14ac:dyDescent="0.2">
      <c r="A1320" s="275"/>
      <c r="B1320" s="78"/>
      <c r="C1320" s="189"/>
      <c r="D1320" s="185"/>
      <c r="E1320" s="186"/>
      <c r="F1320" s="187"/>
    </row>
    <row r="1321" spans="1:6" x14ac:dyDescent="0.2">
      <c r="A1321" s="275"/>
      <c r="B1321" s="78"/>
      <c r="C1321" s="189"/>
      <c r="D1321" s="185"/>
      <c r="E1321" s="186"/>
      <c r="F1321" s="187"/>
    </row>
    <row r="1322" spans="1:6" x14ac:dyDescent="0.2">
      <c r="A1322" s="275"/>
      <c r="B1322" s="78"/>
      <c r="C1322" s="189"/>
      <c r="D1322" s="185"/>
      <c r="E1322" s="186"/>
      <c r="F1322" s="187"/>
    </row>
    <row r="1323" spans="1:6" x14ac:dyDescent="0.2">
      <c r="A1323" s="275"/>
      <c r="B1323" s="78"/>
      <c r="C1323" s="189"/>
      <c r="D1323" s="185"/>
      <c r="E1323" s="186"/>
      <c r="F1323" s="187"/>
    </row>
    <row r="1324" spans="1:6" x14ac:dyDescent="0.2">
      <c r="A1324" s="275"/>
      <c r="B1324" s="78"/>
      <c r="C1324" s="189"/>
      <c r="D1324" s="185"/>
      <c r="E1324" s="186"/>
      <c r="F1324" s="187"/>
    </row>
    <row r="1325" spans="1:6" x14ac:dyDescent="0.2">
      <c r="A1325" s="275"/>
      <c r="B1325" s="78"/>
      <c r="C1325" s="189"/>
      <c r="D1325" s="185"/>
      <c r="E1325" s="186"/>
      <c r="F1325" s="187"/>
    </row>
    <row r="1326" spans="1:6" x14ac:dyDescent="0.2">
      <c r="A1326" s="275"/>
      <c r="B1326" s="78"/>
      <c r="C1326" s="189"/>
      <c r="D1326" s="185"/>
      <c r="E1326" s="186"/>
      <c r="F1326" s="187"/>
    </row>
    <row r="1327" spans="1:6" x14ac:dyDescent="0.2">
      <c r="A1327" s="275"/>
      <c r="B1327" s="78"/>
      <c r="C1327" s="189"/>
      <c r="D1327" s="185"/>
      <c r="E1327" s="186"/>
      <c r="F1327" s="187"/>
    </row>
    <row r="1328" spans="1:6" x14ac:dyDescent="0.2">
      <c r="A1328" s="275"/>
      <c r="B1328" s="78"/>
      <c r="C1328" s="189"/>
      <c r="D1328" s="185"/>
      <c r="E1328" s="186"/>
      <c r="F1328" s="187"/>
    </row>
    <row r="1329" spans="1:6" x14ac:dyDescent="0.2">
      <c r="A1329" s="275"/>
      <c r="B1329" s="78"/>
      <c r="C1329" s="189"/>
      <c r="D1329" s="185"/>
      <c r="E1329" s="186"/>
      <c r="F1329" s="187"/>
    </row>
    <row r="1330" spans="1:6" x14ac:dyDescent="0.2">
      <c r="A1330" s="275"/>
      <c r="B1330" s="78"/>
      <c r="C1330" s="189"/>
      <c r="D1330" s="185"/>
      <c r="E1330" s="186"/>
      <c r="F1330" s="187"/>
    </row>
    <row r="1331" spans="1:6" x14ac:dyDescent="0.2">
      <c r="A1331" s="275"/>
      <c r="B1331" s="78"/>
      <c r="C1331" s="189"/>
      <c r="D1331" s="185"/>
      <c r="E1331" s="186"/>
      <c r="F1331" s="187"/>
    </row>
    <row r="1332" spans="1:6" x14ac:dyDescent="0.2">
      <c r="A1332" s="275"/>
      <c r="B1332" s="78"/>
      <c r="C1332" s="189"/>
      <c r="D1332" s="185"/>
      <c r="E1332" s="186"/>
      <c r="F1332" s="187"/>
    </row>
    <row r="1333" spans="1:6" x14ac:dyDescent="0.2">
      <c r="A1333" s="275"/>
      <c r="B1333" s="78"/>
      <c r="C1333" s="189"/>
      <c r="D1333" s="185"/>
      <c r="E1333" s="186"/>
      <c r="F1333" s="187"/>
    </row>
    <row r="1334" spans="1:6" x14ac:dyDescent="0.2">
      <c r="A1334" s="275"/>
      <c r="B1334" s="78"/>
      <c r="C1334" s="189"/>
      <c r="D1334" s="185"/>
      <c r="E1334" s="186"/>
      <c r="F1334" s="187"/>
    </row>
    <row r="1335" spans="1:6" x14ac:dyDescent="0.2">
      <c r="A1335" s="275"/>
      <c r="B1335" s="78"/>
      <c r="C1335" s="189"/>
      <c r="D1335" s="185"/>
      <c r="E1335" s="186"/>
      <c r="F1335" s="187"/>
    </row>
    <row r="1336" spans="1:6" x14ac:dyDescent="0.2">
      <c r="A1336" s="275"/>
      <c r="B1336" s="78"/>
      <c r="C1336" s="189"/>
      <c r="D1336" s="185"/>
      <c r="E1336" s="186"/>
      <c r="F1336" s="187"/>
    </row>
    <row r="1337" spans="1:6" x14ac:dyDescent="0.2">
      <c r="A1337" s="275"/>
      <c r="B1337" s="78"/>
      <c r="C1337" s="189"/>
      <c r="D1337" s="185"/>
      <c r="E1337" s="186"/>
      <c r="F1337" s="187"/>
    </row>
    <row r="1338" spans="1:6" x14ac:dyDescent="0.2">
      <c r="A1338" s="275"/>
      <c r="B1338" s="78"/>
      <c r="C1338" s="189"/>
      <c r="D1338" s="185"/>
      <c r="E1338" s="186"/>
      <c r="F1338" s="187"/>
    </row>
    <row r="1339" spans="1:6" x14ac:dyDescent="0.2">
      <c r="A1339" s="275"/>
      <c r="B1339" s="78"/>
      <c r="C1339" s="189"/>
      <c r="D1339" s="185"/>
      <c r="E1339" s="186"/>
      <c r="F1339" s="187"/>
    </row>
    <row r="1340" spans="1:6" x14ac:dyDescent="0.2">
      <c r="A1340" s="275"/>
      <c r="B1340" s="78"/>
      <c r="C1340" s="189"/>
      <c r="D1340" s="185"/>
      <c r="E1340" s="186"/>
      <c r="F1340" s="187"/>
    </row>
    <row r="1341" spans="1:6" x14ac:dyDescent="0.2">
      <c r="A1341" s="275"/>
      <c r="B1341" s="78"/>
      <c r="C1341" s="189"/>
      <c r="D1341" s="185"/>
      <c r="E1341" s="186"/>
      <c r="F1341" s="187"/>
    </row>
    <row r="1342" spans="1:6" x14ac:dyDescent="0.2">
      <c r="A1342" s="275"/>
      <c r="B1342" s="78"/>
      <c r="C1342" s="189"/>
      <c r="D1342" s="185"/>
      <c r="E1342" s="186"/>
      <c r="F1342" s="187"/>
    </row>
    <row r="1343" spans="1:6" x14ac:dyDescent="0.2">
      <c r="A1343" s="275"/>
      <c r="B1343" s="78"/>
      <c r="C1343" s="189"/>
      <c r="D1343" s="185"/>
      <c r="E1343" s="186"/>
      <c r="F1343" s="187"/>
    </row>
    <row r="1344" spans="1:6" x14ac:dyDescent="0.2">
      <c r="A1344" s="275"/>
      <c r="B1344" s="78"/>
      <c r="C1344" s="189"/>
      <c r="D1344" s="185"/>
      <c r="E1344" s="186"/>
      <c r="F1344" s="187"/>
    </row>
    <row r="1345" spans="1:6" x14ac:dyDescent="0.2">
      <c r="A1345" s="275"/>
      <c r="B1345" s="78"/>
      <c r="C1345" s="189"/>
      <c r="D1345" s="185"/>
      <c r="E1345" s="186"/>
      <c r="F1345" s="187"/>
    </row>
    <row r="1346" spans="1:6" x14ac:dyDescent="0.2">
      <c r="A1346" s="275"/>
      <c r="B1346" s="78"/>
      <c r="C1346" s="189"/>
      <c r="D1346" s="185"/>
      <c r="E1346" s="186"/>
      <c r="F1346" s="187"/>
    </row>
    <row r="1347" spans="1:6" x14ac:dyDescent="0.2">
      <c r="A1347" s="275"/>
      <c r="B1347" s="78"/>
      <c r="C1347" s="189"/>
      <c r="D1347" s="185"/>
      <c r="E1347" s="186"/>
      <c r="F1347" s="187"/>
    </row>
    <row r="1348" spans="1:6" x14ac:dyDescent="0.2">
      <c r="A1348" s="275"/>
      <c r="B1348" s="78"/>
      <c r="C1348" s="189"/>
      <c r="D1348" s="185"/>
      <c r="E1348" s="186"/>
      <c r="F1348" s="187"/>
    </row>
    <row r="1349" spans="1:6" x14ac:dyDescent="0.2">
      <c r="A1349" s="275"/>
      <c r="B1349" s="78"/>
      <c r="C1349" s="189"/>
      <c r="D1349" s="185"/>
      <c r="E1349" s="186"/>
      <c r="F1349" s="187"/>
    </row>
    <row r="1350" spans="1:6" x14ac:dyDescent="0.2">
      <c r="A1350" s="275"/>
      <c r="B1350" s="78"/>
      <c r="C1350" s="189"/>
      <c r="D1350" s="185"/>
      <c r="E1350" s="186"/>
      <c r="F1350" s="187"/>
    </row>
    <row r="1351" spans="1:6" x14ac:dyDescent="0.2">
      <c r="A1351" s="275"/>
      <c r="B1351" s="78"/>
      <c r="C1351" s="189"/>
      <c r="D1351" s="185"/>
      <c r="E1351" s="186"/>
      <c r="F1351" s="187"/>
    </row>
    <row r="1352" spans="1:6" x14ac:dyDescent="0.2">
      <c r="A1352" s="275"/>
      <c r="B1352" s="78"/>
      <c r="C1352" s="189"/>
      <c r="D1352" s="185"/>
      <c r="E1352" s="186"/>
      <c r="F1352" s="187"/>
    </row>
    <row r="1353" spans="1:6" x14ac:dyDescent="0.2">
      <c r="A1353" s="275"/>
      <c r="B1353" s="78"/>
      <c r="C1353" s="189"/>
      <c r="D1353" s="185"/>
      <c r="E1353" s="186"/>
      <c r="F1353" s="187"/>
    </row>
    <row r="1354" spans="1:6" x14ac:dyDescent="0.2">
      <c r="A1354" s="275"/>
      <c r="B1354" s="78"/>
      <c r="C1354" s="189"/>
      <c r="D1354" s="185"/>
      <c r="E1354" s="186"/>
      <c r="F1354" s="187"/>
    </row>
    <row r="1355" spans="1:6" x14ac:dyDescent="0.2">
      <c r="A1355" s="275"/>
      <c r="B1355" s="78"/>
      <c r="C1355" s="189"/>
      <c r="D1355" s="185"/>
      <c r="E1355" s="186"/>
      <c r="F1355" s="187"/>
    </row>
    <row r="1356" spans="1:6" x14ac:dyDescent="0.2">
      <c r="A1356" s="275"/>
      <c r="B1356" s="78"/>
      <c r="C1356" s="189"/>
      <c r="D1356" s="185"/>
      <c r="E1356" s="186"/>
      <c r="F1356" s="187"/>
    </row>
    <row r="1357" spans="1:6" x14ac:dyDescent="0.2">
      <c r="A1357" s="275"/>
      <c r="B1357" s="78"/>
      <c r="C1357" s="189"/>
      <c r="D1357" s="185"/>
      <c r="E1357" s="186"/>
      <c r="F1357" s="187"/>
    </row>
    <row r="1358" spans="1:6" x14ac:dyDescent="0.2">
      <c r="A1358" s="275"/>
      <c r="B1358" s="78"/>
      <c r="C1358" s="189"/>
      <c r="D1358" s="185"/>
      <c r="E1358" s="186"/>
      <c r="F1358" s="187"/>
    </row>
    <row r="1359" spans="1:6" x14ac:dyDescent="0.2">
      <c r="A1359" s="275"/>
      <c r="B1359" s="78"/>
      <c r="C1359" s="189"/>
      <c r="D1359" s="185"/>
      <c r="E1359" s="186"/>
      <c r="F1359" s="187"/>
    </row>
    <row r="1360" spans="1:6" x14ac:dyDescent="0.2">
      <c r="A1360" s="275"/>
      <c r="B1360" s="78"/>
      <c r="C1360" s="189"/>
      <c r="D1360" s="185"/>
      <c r="E1360" s="186"/>
      <c r="F1360" s="187"/>
    </row>
    <row r="1361" spans="1:6" x14ac:dyDescent="0.2">
      <c r="A1361" s="275"/>
      <c r="B1361" s="78"/>
      <c r="C1361" s="189"/>
      <c r="D1361" s="185"/>
      <c r="E1361" s="186"/>
      <c r="F1361" s="187"/>
    </row>
    <row r="1362" spans="1:6" x14ac:dyDescent="0.2">
      <c r="A1362" s="275"/>
      <c r="B1362" s="78"/>
      <c r="C1362" s="189"/>
      <c r="D1362" s="185"/>
      <c r="E1362" s="186"/>
      <c r="F1362" s="187"/>
    </row>
    <row r="1363" spans="1:6" x14ac:dyDescent="0.2">
      <c r="A1363" s="275"/>
      <c r="B1363" s="78"/>
      <c r="C1363" s="189"/>
      <c r="D1363" s="185"/>
      <c r="E1363" s="186"/>
      <c r="F1363" s="187"/>
    </row>
    <row r="1364" spans="1:6" x14ac:dyDescent="0.2">
      <c r="A1364" s="275"/>
      <c r="B1364" s="78"/>
      <c r="C1364" s="189"/>
      <c r="D1364" s="185"/>
      <c r="E1364" s="186"/>
      <c r="F1364" s="187"/>
    </row>
    <row r="1365" spans="1:6" x14ac:dyDescent="0.2">
      <c r="A1365" s="275"/>
      <c r="B1365" s="78"/>
      <c r="C1365" s="189"/>
      <c r="D1365" s="185"/>
      <c r="E1365" s="186"/>
      <c r="F1365" s="187"/>
    </row>
    <row r="1366" spans="1:6" x14ac:dyDescent="0.2">
      <c r="A1366" s="275"/>
      <c r="B1366" s="78"/>
      <c r="C1366" s="189"/>
      <c r="D1366" s="185"/>
      <c r="E1366" s="186"/>
      <c r="F1366" s="187"/>
    </row>
    <row r="1367" spans="1:6" x14ac:dyDescent="0.2">
      <c r="A1367" s="275"/>
      <c r="B1367" s="78"/>
      <c r="C1367" s="189"/>
      <c r="D1367" s="185"/>
      <c r="E1367" s="186"/>
      <c r="F1367" s="187"/>
    </row>
    <row r="1368" spans="1:6" x14ac:dyDescent="0.2">
      <c r="A1368" s="275"/>
      <c r="B1368" s="78"/>
      <c r="C1368" s="189"/>
      <c r="D1368" s="185"/>
      <c r="E1368" s="186"/>
      <c r="F1368" s="187"/>
    </row>
    <row r="1369" spans="1:6" x14ac:dyDescent="0.2">
      <c r="A1369" s="275"/>
      <c r="B1369" s="78"/>
      <c r="C1369" s="189"/>
      <c r="D1369" s="185"/>
      <c r="E1369" s="186"/>
      <c r="F1369" s="187"/>
    </row>
    <row r="1370" spans="1:6" x14ac:dyDescent="0.2">
      <c r="A1370" s="275"/>
      <c r="B1370" s="78"/>
      <c r="C1370" s="189"/>
      <c r="D1370" s="185"/>
      <c r="E1370" s="186"/>
      <c r="F1370" s="187"/>
    </row>
    <row r="1371" spans="1:6" x14ac:dyDescent="0.2">
      <c r="A1371" s="275"/>
      <c r="B1371" s="78"/>
      <c r="C1371" s="189"/>
      <c r="D1371" s="185"/>
      <c r="E1371" s="186"/>
      <c r="F1371" s="187"/>
    </row>
    <row r="1372" spans="1:6" x14ac:dyDescent="0.2">
      <c r="A1372" s="275"/>
      <c r="B1372" s="78"/>
      <c r="C1372" s="189"/>
      <c r="D1372" s="185"/>
      <c r="E1372" s="186"/>
      <c r="F1372" s="187"/>
    </row>
    <row r="1373" spans="1:6" x14ac:dyDescent="0.2">
      <c r="A1373" s="275"/>
      <c r="B1373" s="78"/>
      <c r="C1373" s="189"/>
      <c r="D1373" s="185"/>
      <c r="E1373" s="186"/>
      <c r="F1373" s="187"/>
    </row>
    <row r="1374" spans="1:6" x14ac:dyDescent="0.2">
      <c r="A1374" s="275"/>
      <c r="B1374" s="78"/>
      <c r="C1374" s="189"/>
      <c r="D1374" s="185"/>
      <c r="E1374" s="186"/>
      <c r="F1374" s="187"/>
    </row>
    <row r="1375" spans="1:6" x14ac:dyDescent="0.2">
      <c r="A1375" s="275"/>
      <c r="B1375" s="78"/>
      <c r="C1375" s="189"/>
      <c r="D1375" s="185"/>
      <c r="E1375" s="186"/>
      <c r="F1375" s="187"/>
    </row>
    <row r="1376" spans="1:6" x14ac:dyDescent="0.2">
      <c r="A1376" s="275"/>
      <c r="B1376" s="78"/>
      <c r="C1376" s="189"/>
      <c r="D1376" s="185"/>
      <c r="E1376" s="186"/>
      <c r="F1376" s="187"/>
    </row>
    <row r="1377" spans="1:6" x14ac:dyDescent="0.2">
      <c r="A1377" s="275"/>
      <c r="B1377" s="78"/>
      <c r="C1377" s="189"/>
      <c r="D1377" s="185"/>
      <c r="E1377" s="186"/>
      <c r="F1377" s="187"/>
    </row>
    <row r="1378" spans="1:6" x14ac:dyDescent="0.2">
      <c r="A1378" s="275"/>
      <c r="B1378" s="78"/>
      <c r="C1378" s="189"/>
      <c r="D1378" s="185"/>
      <c r="E1378" s="186"/>
      <c r="F1378" s="187"/>
    </row>
    <row r="1379" spans="1:6" x14ac:dyDescent="0.2">
      <c r="A1379" s="275"/>
      <c r="B1379" s="78"/>
      <c r="C1379" s="189"/>
      <c r="D1379" s="185"/>
      <c r="E1379" s="186"/>
      <c r="F1379" s="187"/>
    </row>
    <row r="1380" spans="1:6" x14ac:dyDescent="0.2">
      <c r="A1380" s="275"/>
      <c r="B1380" s="78"/>
      <c r="C1380" s="189"/>
      <c r="D1380" s="185"/>
      <c r="E1380" s="186"/>
      <c r="F1380" s="187"/>
    </row>
    <row r="1381" spans="1:6" x14ac:dyDescent="0.2">
      <c r="A1381" s="275"/>
      <c r="B1381" s="78"/>
      <c r="C1381" s="189"/>
      <c r="D1381" s="185"/>
      <c r="E1381" s="186"/>
      <c r="F1381" s="187"/>
    </row>
    <row r="1382" spans="1:6" x14ac:dyDescent="0.2">
      <c r="A1382" s="275"/>
      <c r="B1382" s="78"/>
      <c r="C1382" s="189"/>
      <c r="D1382" s="185"/>
      <c r="E1382" s="186"/>
      <c r="F1382" s="187"/>
    </row>
    <row r="1383" spans="1:6" x14ac:dyDescent="0.2">
      <c r="A1383" s="275"/>
      <c r="B1383" s="78"/>
      <c r="C1383" s="189"/>
      <c r="D1383" s="185"/>
      <c r="E1383" s="186"/>
      <c r="F1383" s="187"/>
    </row>
    <row r="1384" spans="1:6" x14ac:dyDescent="0.2">
      <c r="A1384" s="275"/>
      <c r="B1384" s="78"/>
      <c r="C1384" s="189"/>
      <c r="D1384" s="185"/>
      <c r="E1384" s="186"/>
      <c r="F1384" s="187"/>
    </row>
    <row r="1385" spans="1:6" x14ac:dyDescent="0.2">
      <c r="A1385" s="275"/>
      <c r="B1385" s="78"/>
      <c r="C1385" s="189"/>
      <c r="D1385" s="185"/>
      <c r="E1385" s="186"/>
      <c r="F1385" s="187"/>
    </row>
    <row r="1386" spans="1:6" x14ac:dyDescent="0.2">
      <c r="A1386" s="275"/>
      <c r="B1386" s="78"/>
      <c r="C1386" s="189"/>
      <c r="D1386" s="185"/>
      <c r="E1386" s="186"/>
      <c r="F1386" s="187"/>
    </row>
    <row r="1387" spans="1:6" x14ac:dyDescent="0.2">
      <c r="A1387" s="275"/>
      <c r="B1387" s="78"/>
      <c r="C1387" s="189"/>
      <c r="D1387" s="185"/>
      <c r="E1387" s="186"/>
      <c r="F1387" s="187"/>
    </row>
    <row r="1388" spans="1:6" x14ac:dyDescent="0.2">
      <c r="A1388" s="275"/>
      <c r="B1388" s="78"/>
      <c r="C1388" s="189"/>
      <c r="D1388" s="185"/>
      <c r="E1388" s="186"/>
      <c r="F1388" s="187"/>
    </row>
    <row r="1389" spans="1:6" x14ac:dyDescent="0.2">
      <c r="A1389" s="275"/>
      <c r="B1389" s="78"/>
      <c r="C1389" s="189"/>
      <c r="D1389" s="185"/>
      <c r="E1389" s="186"/>
      <c r="F1389" s="187"/>
    </row>
    <row r="1390" spans="1:6" x14ac:dyDescent="0.2">
      <c r="A1390" s="275"/>
      <c r="B1390" s="78"/>
      <c r="C1390" s="189"/>
      <c r="D1390" s="185"/>
      <c r="E1390" s="186"/>
      <c r="F1390" s="187"/>
    </row>
    <row r="1391" spans="1:6" x14ac:dyDescent="0.2">
      <c r="A1391" s="275"/>
      <c r="B1391" s="78"/>
      <c r="C1391" s="189"/>
      <c r="D1391" s="185"/>
      <c r="E1391" s="186"/>
      <c r="F1391" s="187"/>
    </row>
    <row r="1392" spans="1:6" x14ac:dyDescent="0.2">
      <c r="A1392" s="275"/>
      <c r="B1392" s="78"/>
      <c r="C1392" s="189"/>
      <c r="D1392" s="185"/>
      <c r="E1392" s="186"/>
      <c r="F1392" s="187"/>
    </row>
    <row r="1393" spans="1:6" x14ac:dyDescent="0.2">
      <c r="A1393" s="275"/>
      <c r="B1393" s="78"/>
      <c r="C1393" s="189"/>
      <c r="D1393" s="185"/>
      <c r="E1393" s="186"/>
      <c r="F1393" s="187"/>
    </row>
    <row r="1394" spans="1:6" x14ac:dyDescent="0.2">
      <c r="A1394" s="275"/>
      <c r="B1394" s="78"/>
      <c r="C1394" s="189"/>
      <c r="D1394" s="185"/>
      <c r="E1394" s="186"/>
      <c r="F1394" s="187"/>
    </row>
    <row r="1395" spans="1:6" x14ac:dyDescent="0.2">
      <c r="A1395" s="275"/>
      <c r="B1395" s="78"/>
      <c r="C1395" s="189"/>
      <c r="D1395" s="185"/>
      <c r="E1395" s="186"/>
      <c r="F1395" s="187"/>
    </row>
    <row r="1396" spans="1:6" x14ac:dyDescent="0.2">
      <c r="A1396" s="275"/>
      <c r="B1396" s="78"/>
      <c r="C1396" s="189"/>
      <c r="D1396" s="185"/>
      <c r="E1396" s="186"/>
      <c r="F1396" s="187"/>
    </row>
    <row r="1397" spans="1:6" x14ac:dyDescent="0.2">
      <c r="A1397" s="275"/>
      <c r="B1397" s="78"/>
      <c r="C1397" s="189"/>
      <c r="D1397" s="185"/>
      <c r="E1397" s="186"/>
      <c r="F1397" s="187"/>
    </row>
    <row r="1398" spans="1:6" x14ac:dyDescent="0.2">
      <c r="A1398" s="275"/>
      <c r="B1398" s="78"/>
      <c r="C1398" s="189"/>
      <c r="D1398" s="185"/>
      <c r="E1398" s="186"/>
      <c r="F1398" s="187"/>
    </row>
    <row r="1399" spans="1:6" x14ac:dyDescent="0.2">
      <c r="A1399" s="275"/>
      <c r="B1399" s="78"/>
      <c r="C1399" s="189"/>
      <c r="D1399" s="185"/>
      <c r="E1399" s="186"/>
      <c r="F1399" s="187"/>
    </row>
    <row r="1400" spans="1:6" x14ac:dyDescent="0.2">
      <c r="A1400" s="275"/>
      <c r="B1400" s="78"/>
      <c r="C1400" s="189"/>
      <c r="D1400" s="185"/>
      <c r="E1400" s="186"/>
      <c r="F1400" s="187"/>
    </row>
    <row r="1401" spans="1:6" x14ac:dyDescent="0.2">
      <c r="A1401" s="275"/>
      <c r="B1401" s="78"/>
      <c r="C1401" s="189"/>
      <c r="D1401" s="185"/>
      <c r="E1401" s="186"/>
      <c r="F1401" s="187"/>
    </row>
    <row r="1402" spans="1:6" x14ac:dyDescent="0.2">
      <c r="A1402" s="275"/>
      <c r="B1402" s="78"/>
      <c r="C1402" s="189"/>
      <c r="D1402" s="185"/>
      <c r="E1402" s="186"/>
      <c r="F1402" s="187"/>
    </row>
    <row r="1403" spans="1:6" x14ac:dyDescent="0.2">
      <c r="A1403" s="275"/>
      <c r="B1403" s="78"/>
      <c r="C1403" s="189"/>
      <c r="D1403" s="185"/>
      <c r="E1403" s="186"/>
      <c r="F1403" s="187"/>
    </row>
    <row r="1404" spans="1:6" x14ac:dyDescent="0.2">
      <c r="A1404" s="275"/>
      <c r="B1404" s="78"/>
      <c r="C1404" s="189"/>
      <c r="D1404" s="185"/>
      <c r="E1404" s="186"/>
      <c r="F1404" s="187"/>
    </row>
    <row r="1405" spans="1:6" x14ac:dyDescent="0.2">
      <c r="A1405" s="275"/>
      <c r="B1405" s="78"/>
      <c r="C1405" s="189"/>
      <c r="D1405" s="185"/>
      <c r="E1405" s="186"/>
      <c r="F1405" s="187"/>
    </row>
    <row r="1406" spans="1:6" x14ac:dyDescent="0.2">
      <c r="A1406" s="275"/>
      <c r="B1406" s="78"/>
      <c r="C1406" s="189"/>
      <c r="D1406" s="185"/>
      <c r="E1406" s="186"/>
      <c r="F1406" s="187"/>
    </row>
    <row r="1407" spans="1:6" x14ac:dyDescent="0.2">
      <c r="A1407" s="275"/>
      <c r="B1407" s="78"/>
      <c r="C1407" s="189"/>
      <c r="D1407" s="185"/>
      <c r="E1407" s="186"/>
      <c r="F1407" s="187"/>
    </row>
    <row r="1408" spans="1:6" x14ac:dyDescent="0.2">
      <c r="A1408" s="275"/>
      <c r="B1408" s="78"/>
      <c r="C1408" s="189"/>
      <c r="D1408" s="185"/>
      <c r="E1408" s="186"/>
      <c r="F1408" s="187"/>
    </row>
    <row r="1409" spans="1:6" x14ac:dyDescent="0.2">
      <c r="A1409" s="275"/>
      <c r="B1409" s="78"/>
      <c r="C1409" s="189"/>
      <c r="D1409" s="185"/>
      <c r="E1409" s="186"/>
      <c r="F1409" s="187"/>
    </row>
    <row r="1410" spans="1:6" x14ac:dyDescent="0.2">
      <c r="A1410" s="275"/>
      <c r="B1410" s="78"/>
      <c r="C1410" s="189"/>
      <c r="D1410" s="185"/>
      <c r="E1410" s="186"/>
      <c r="F1410" s="187"/>
    </row>
    <row r="1411" spans="1:6" x14ac:dyDescent="0.2">
      <c r="A1411" s="275"/>
      <c r="B1411" s="78"/>
      <c r="C1411" s="189"/>
      <c r="D1411" s="185"/>
      <c r="E1411" s="186"/>
      <c r="F1411" s="187"/>
    </row>
    <row r="1412" spans="1:6" x14ac:dyDescent="0.2">
      <c r="A1412" s="275"/>
      <c r="B1412" s="78"/>
      <c r="C1412" s="189"/>
      <c r="D1412" s="185"/>
      <c r="E1412" s="186"/>
      <c r="F1412" s="187"/>
    </row>
    <row r="1413" spans="1:6" x14ac:dyDescent="0.2">
      <c r="A1413" s="275"/>
      <c r="B1413" s="78"/>
      <c r="C1413" s="189"/>
      <c r="D1413" s="185"/>
      <c r="E1413" s="186"/>
      <c r="F1413" s="187"/>
    </row>
    <row r="1414" spans="1:6" x14ac:dyDescent="0.2">
      <c r="A1414" s="275"/>
      <c r="B1414" s="78"/>
      <c r="C1414" s="189"/>
      <c r="D1414" s="185"/>
      <c r="E1414" s="186"/>
      <c r="F1414" s="187"/>
    </row>
    <row r="1415" spans="1:6" x14ac:dyDescent="0.2">
      <c r="A1415" s="275"/>
      <c r="B1415" s="78"/>
      <c r="C1415" s="189"/>
      <c r="D1415" s="185"/>
      <c r="E1415" s="186"/>
      <c r="F1415" s="187"/>
    </row>
    <row r="1416" spans="1:6" x14ac:dyDescent="0.2">
      <c r="A1416" s="275"/>
      <c r="B1416" s="78"/>
      <c r="C1416" s="189"/>
      <c r="D1416" s="185"/>
      <c r="E1416" s="186"/>
      <c r="F1416" s="187"/>
    </row>
    <row r="1417" spans="1:6" x14ac:dyDescent="0.2">
      <c r="A1417" s="275"/>
      <c r="B1417" s="78"/>
      <c r="C1417" s="189"/>
      <c r="D1417" s="185"/>
      <c r="E1417" s="186"/>
      <c r="F1417" s="187"/>
    </row>
    <row r="1418" spans="1:6" x14ac:dyDescent="0.2">
      <c r="A1418" s="275"/>
      <c r="B1418" s="78"/>
      <c r="C1418" s="189"/>
      <c r="D1418" s="185"/>
      <c r="E1418" s="186"/>
      <c r="F1418" s="187"/>
    </row>
    <row r="1419" spans="1:6" x14ac:dyDescent="0.2">
      <c r="A1419" s="275"/>
      <c r="B1419" s="78"/>
      <c r="C1419" s="189"/>
      <c r="D1419" s="185"/>
      <c r="E1419" s="186"/>
      <c r="F1419" s="187"/>
    </row>
    <row r="1420" spans="1:6" x14ac:dyDescent="0.2">
      <c r="A1420" s="275"/>
      <c r="B1420" s="78"/>
      <c r="C1420" s="189"/>
      <c r="D1420" s="185"/>
      <c r="E1420" s="186"/>
      <c r="F1420" s="187"/>
    </row>
    <row r="1421" spans="1:6" x14ac:dyDescent="0.2">
      <c r="A1421" s="275"/>
      <c r="B1421" s="78"/>
      <c r="C1421" s="189"/>
      <c r="D1421" s="185"/>
      <c r="E1421" s="186"/>
      <c r="F1421" s="187"/>
    </row>
    <row r="1422" spans="1:6" x14ac:dyDescent="0.2">
      <c r="A1422" s="275"/>
      <c r="B1422" s="78"/>
      <c r="C1422" s="189"/>
      <c r="D1422" s="185"/>
      <c r="E1422" s="186"/>
      <c r="F1422" s="187"/>
    </row>
    <row r="1423" spans="1:6" x14ac:dyDescent="0.2">
      <c r="A1423" s="275"/>
      <c r="B1423" s="78"/>
      <c r="C1423" s="189"/>
      <c r="D1423" s="185"/>
      <c r="E1423" s="186"/>
      <c r="F1423" s="187"/>
    </row>
    <row r="1424" spans="1:6" x14ac:dyDescent="0.2">
      <c r="A1424" s="275"/>
      <c r="B1424" s="78"/>
      <c r="C1424" s="189"/>
      <c r="D1424" s="185"/>
      <c r="E1424" s="186"/>
      <c r="F1424" s="187"/>
    </row>
    <row r="1425" spans="1:6" x14ac:dyDescent="0.2">
      <c r="A1425" s="275"/>
      <c r="B1425" s="78"/>
      <c r="C1425" s="189"/>
      <c r="D1425" s="185"/>
      <c r="E1425" s="186"/>
      <c r="F1425" s="187"/>
    </row>
    <row r="1426" spans="1:6" x14ac:dyDescent="0.2">
      <c r="A1426" s="275"/>
      <c r="B1426" s="78"/>
      <c r="C1426" s="189"/>
      <c r="D1426" s="185"/>
      <c r="E1426" s="186"/>
      <c r="F1426" s="187"/>
    </row>
    <row r="1427" spans="1:6" x14ac:dyDescent="0.2">
      <c r="A1427" s="275"/>
      <c r="B1427" s="78"/>
      <c r="C1427" s="189"/>
      <c r="D1427" s="185"/>
      <c r="E1427" s="186"/>
      <c r="F1427" s="187"/>
    </row>
    <row r="1428" spans="1:6" x14ac:dyDescent="0.2">
      <c r="A1428" s="275"/>
      <c r="B1428" s="78"/>
      <c r="C1428" s="189"/>
      <c r="D1428" s="185"/>
      <c r="E1428" s="186"/>
      <c r="F1428" s="187"/>
    </row>
    <row r="1429" spans="1:6" x14ac:dyDescent="0.2">
      <c r="A1429" s="275"/>
      <c r="B1429" s="78"/>
      <c r="C1429" s="189"/>
      <c r="D1429" s="185"/>
      <c r="E1429" s="186"/>
      <c r="F1429" s="187"/>
    </row>
    <row r="1430" spans="1:6" x14ac:dyDescent="0.2">
      <c r="A1430" s="275"/>
      <c r="B1430" s="78"/>
      <c r="C1430" s="189"/>
      <c r="D1430" s="185"/>
      <c r="E1430" s="186"/>
      <c r="F1430" s="187"/>
    </row>
    <row r="1431" spans="1:6" x14ac:dyDescent="0.2">
      <c r="A1431" s="275"/>
      <c r="B1431" s="78"/>
      <c r="C1431" s="189"/>
      <c r="D1431" s="185"/>
      <c r="E1431" s="186"/>
      <c r="F1431" s="187"/>
    </row>
    <row r="1432" spans="1:6" x14ac:dyDescent="0.2">
      <c r="A1432" s="275"/>
      <c r="B1432" s="78"/>
      <c r="C1432" s="189"/>
      <c r="D1432" s="185"/>
      <c r="E1432" s="186"/>
      <c r="F1432" s="187"/>
    </row>
    <row r="1433" spans="1:6" x14ac:dyDescent="0.2">
      <c r="A1433" s="275"/>
      <c r="B1433" s="78"/>
      <c r="C1433" s="189"/>
      <c r="D1433" s="185"/>
      <c r="E1433" s="186"/>
      <c r="F1433" s="187"/>
    </row>
    <row r="1434" spans="1:6" x14ac:dyDescent="0.2">
      <c r="A1434" s="275"/>
      <c r="B1434" s="78"/>
      <c r="C1434" s="189"/>
      <c r="D1434" s="185"/>
      <c r="E1434" s="186"/>
      <c r="F1434" s="187"/>
    </row>
    <row r="1435" spans="1:6" x14ac:dyDescent="0.2">
      <c r="A1435" s="275"/>
      <c r="B1435" s="78"/>
      <c r="C1435" s="189"/>
      <c r="D1435" s="185"/>
      <c r="E1435" s="186"/>
      <c r="F1435" s="187"/>
    </row>
    <row r="1436" spans="1:6" x14ac:dyDescent="0.2">
      <c r="A1436" s="275"/>
      <c r="B1436" s="78"/>
      <c r="C1436" s="189"/>
      <c r="D1436" s="185"/>
      <c r="E1436" s="186"/>
      <c r="F1436" s="187"/>
    </row>
    <row r="1437" spans="1:6" x14ac:dyDescent="0.2">
      <c r="A1437" s="275"/>
      <c r="B1437" s="78"/>
      <c r="C1437" s="189"/>
      <c r="D1437" s="185"/>
      <c r="E1437" s="186"/>
      <c r="F1437" s="187"/>
    </row>
    <row r="1438" spans="1:6" x14ac:dyDescent="0.2">
      <c r="A1438" s="275"/>
      <c r="B1438" s="78"/>
      <c r="C1438" s="189"/>
      <c r="D1438" s="185"/>
      <c r="E1438" s="186"/>
      <c r="F1438" s="187"/>
    </row>
    <row r="1439" spans="1:6" x14ac:dyDescent="0.2">
      <c r="A1439" s="275"/>
      <c r="B1439" s="78"/>
      <c r="C1439" s="189"/>
      <c r="D1439" s="185"/>
      <c r="E1439" s="186"/>
      <c r="F1439" s="187"/>
    </row>
    <row r="1440" spans="1:6" x14ac:dyDescent="0.2">
      <c r="A1440" s="275"/>
      <c r="B1440" s="78"/>
      <c r="C1440" s="189"/>
      <c r="D1440" s="185"/>
      <c r="E1440" s="186"/>
      <c r="F1440" s="187"/>
    </row>
    <row r="1441" spans="1:6" x14ac:dyDescent="0.2">
      <c r="A1441" s="275"/>
      <c r="B1441" s="78"/>
      <c r="C1441" s="189"/>
      <c r="D1441" s="185"/>
      <c r="E1441" s="186"/>
      <c r="F1441" s="187"/>
    </row>
    <row r="1442" spans="1:6" x14ac:dyDescent="0.2">
      <c r="A1442" s="275"/>
      <c r="B1442" s="78"/>
      <c r="C1442" s="189"/>
      <c r="D1442" s="185"/>
      <c r="E1442" s="186"/>
      <c r="F1442" s="187"/>
    </row>
    <row r="1443" spans="1:6" x14ac:dyDescent="0.2">
      <c r="A1443" s="275"/>
      <c r="B1443" s="78"/>
      <c r="C1443" s="189"/>
      <c r="D1443" s="185"/>
      <c r="E1443" s="186"/>
      <c r="F1443" s="187"/>
    </row>
    <row r="1444" spans="1:6" x14ac:dyDescent="0.2">
      <c r="A1444" s="275"/>
      <c r="B1444" s="78"/>
      <c r="C1444" s="189"/>
      <c r="D1444" s="185"/>
      <c r="E1444" s="186"/>
      <c r="F1444" s="187"/>
    </row>
    <row r="1445" spans="1:6" x14ac:dyDescent="0.2">
      <c r="A1445" s="275"/>
      <c r="B1445" s="78"/>
      <c r="C1445" s="189"/>
      <c r="D1445" s="185"/>
      <c r="E1445" s="186"/>
      <c r="F1445" s="187"/>
    </row>
    <row r="1446" spans="1:6" x14ac:dyDescent="0.2">
      <c r="A1446" s="275"/>
      <c r="B1446" s="78"/>
      <c r="C1446" s="189"/>
      <c r="D1446" s="185"/>
      <c r="E1446" s="186"/>
      <c r="F1446" s="187"/>
    </row>
    <row r="1447" spans="1:6" x14ac:dyDescent="0.2">
      <c r="A1447" s="275"/>
      <c r="B1447" s="78"/>
      <c r="C1447" s="189"/>
      <c r="D1447" s="185"/>
      <c r="E1447" s="186"/>
      <c r="F1447" s="187"/>
    </row>
    <row r="1448" spans="1:6" x14ac:dyDescent="0.2">
      <c r="A1448" s="275"/>
      <c r="B1448" s="78"/>
      <c r="C1448" s="189"/>
      <c r="D1448" s="185"/>
      <c r="E1448" s="186"/>
      <c r="F1448" s="187"/>
    </row>
    <row r="1449" spans="1:6" x14ac:dyDescent="0.2">
      <c r="A1449" s="275"/>
      <c r="B1449" s="78"/>
      <c r="C1449" s="189"/>
      <c r="D1449" s="185"/>
      <c r="E1449" s="186"/>
      <c r="F1449" s="187"/>
    </row>
    <row r="1450" spans="1:6" x14ac:dyDescent="0.2">
      <c r="A1450" s="275"/>
      <c r="B1450" s="78"/>
      <c r="C1450" s="189"/>
      <c r="D1450" s="185"/>
      <c r="E1450" s="186"/>
      <c r="F1450" s="187"/>
    </row>
    <row r="1451" spans="1:6" x14ac:dyDescent="0.2">
      <c r="A1451" s="275"/>
      <c r="B1451" s="78"/>
      <c r="C1451" s="189"/>
      <c r="D1451" s="185"/>
      <c r="E1451" s="186"/>
      <c r="F1451" s="187"/>
    </row>
    <row r="1452" spans="1:6" x14ac:dyDescent="0.2">
      <c r="A1452" s="275"/>
      <c r="B1452" s="78"/>
      <c r="C1452" s="189"/>
      <c r="D1452" s="185"/>
      <c r="E1452" s="186"/>
      <c r="F1452" s="187"/>
    </row>
    <row r="1453" spans="1:6" x14ac:dyDescent="0.2">
      <c r="A1453" s="275"/>
      <c r="B1453" s="78"/>
      <c r="C1453" s="189"/>
      <c r="D1453" s="185"/>
      <c r="E1453" s="186"/>
      <c r="F1453" s="187"/>
    </row>
    <row r="1454" spans="1:6" x14ac:dyDescent="0.2">
      <c r="A1454" s="275"/>
      <c r="B1454" s="78"/>
      <c r="C1454" s="189"/>
      <c r="D1454" s="185"/>
      <c r="E1454" s="186"/>
      <c r="F1454" s="187"/>
    </row>
    <row r="1455" spans="1:6" x14ac:dyDescent="0.2">
      <c r="A1455" s="275"/>
      <c r="B1455" s="78"/>
      <c r="C1455" s="189"/>
      <c r="D1455" s="185"/>
      <c r="E1455" s="186"/>
      <c r="F1455" s="187"/>
    </row>
    <row r="1456" spans="1:6" x14ac:dyDescent="0.2">
      <c r="A1456" s="275"/>
      <c r="B1456" s="78"/>
      <c r="C1456" s="189"/>
      <c r="D1456" s="185"/>
      <c r="E1456" s="186"/>
      <c r="F1456" s="187"/>
    </row>
    <row r="1457" spans="1:6" x14ac:dyDescent="0.2">
      <c r="A1457" s="275"/>
      <c r="B1457" s="78"/>
      <c r="C1457" s="189"/>
      <c r="D1457" s="185"/>
      <c r="E1457" s="186"/>
      <c r="F1457" s="187"/>
    </row>
    <row r="1458" spans="1:6" x14ac:dyDescent="0.2">
      <c r="A1458" s="275"/>
      <c r="B1458" s="78"/>
      <c r="C1458" s="189"/>
      <c r="D1458" s="185"/>
      <c r="E1458" s="186"/>
      <c r="F1458" s="187"/>
    </row>
    <row r="1459" spans="1:6" x14ac:dyDescent="0.2">
      <c r="A1459" s="275"/>
      <c r="B1459" s="78"/>
      <c r="C1459" s="189"/>
      <c r="D1459" s="185"/>
      <c r="E1459" s="186"/>
      <c r="F1459" s="187"/>
    </row>
    <row r="1460" spans="1:6" x14ac:dyDescent="0.2">
      <c r="A1460" s="275"/>
      <c r="B1460" s="78"/>
      <c r="C1460" s="189"/>
      <c r="D1460" s="185"/>
      <c r="E1460" s="186"/>
      <c r="F1460" s="187"/>
    </row>
    <row r="1461" spans="1:6" x14ac:dyDescent="0.2">
      <c r="A1461" s="275"/>
      <c r="B1461" s="78"/>
      <c r="C1461" s="189"/>
      <c r="D1461" s="185"/>
      <c r="E1461" s="186"/>
      <c r="F1461" s="187"/>
    </row>
    <row r="1462" spans="1:6" x14ac:dyDescent="0.2">
      <c r="A1462" s="275"/>
      <c r="B1462" s="78"/>
      <c r="C1462" s="189"/>
      <c r="D1462" s="185"/>
      <c r="E1462" s="186"/>
      <c r="F1462" s="187"/>
    </row>
    <row r="1463" spans="1:6" x14ac:dyDescent="0.2">
      <c r="A1463" s="275"/>
      <c r="B1463" s="78"/>
      <c r="C1463" s="189"/>
      <c r="D1463" s="185"/>
      <c r="E1463" s="186"/>
      <c r="F1463" s="187"/>
    </row>
    <row r="1464" spans="1:6" x14ac:dyDescent="0.2">
      <c r="A1464" s="275"/>
      <c r="B1464" s="78"/>
      <c r="C1464" s="189"/>
      <c r="D1464" s="185"/>
      <c r="E1464" s="186"/>
      <c r="F1464" s="187"/>
    </row>
    <row r="1465" spans="1:6" x14ac:dyDescent="0.2">
      <c r="A1465" s="275"/>
      <c r="B1465" s="78"/>
      <c r="C1465" s="189"/>
      <c r="D1465" s="185"/>
      <c r="E1465" s="186"/>
      <c r="F1465" s="187"/>
    </row>
    <row r="1466" spans="1:6" x14ac:dyDescent="0.2">
      <c r="A1466" s="275"/>
      <c r="B1466" s="78"/>
      <c r="C1466" s="189"/>
      <c r="D1466" s="185"/>
      <c r="E1466" s="186"/>
      <c r="F1466" s="187"/>
    </row>
    <row r="1467" spans="1:6" x14ac:dyDescent="0.2">
      <c r="A1467" s="275"/>
      <c r="B1467" s="78"/>
      <c r="C1467" s="189"/>
      <c r="D1467" s="185"/>
      <c r="E1467" s="186"/>
      <c r="F1467" s="187"/>
    </row>
    <row r="1468" spans="1:6" x14ac:dyDescent="0.2">
      <c r="A1468" s="275"/>
      <c r="B1468" s="78"/>
      <c r="C1468" s="189"/>
      <c r="D1468" s="185"/>
      <c r="E1468" s="186"/>
      <c r="F1468" s="187"/>
    </row>
    <row r="1469" spans="1:6" x14ac:dyDescent="0.2">
      <c r="A1469" s="275"/>
      <c r="B1469" s="78"/>
      <c r="C1469" s="189"/>
      <c r="D1469" s="185"/>
      <c r="E1469" s="186"/>
      <c r="F1469" s="187"/>
    </row>
    <row r="1470" spans="1:6" x14ac:dyDescent="0.2">
      <c r="A1470" s="275"/>
      <c r="B1470" s="78"/>
      <c r="C1470" s="189"/>
      <c r="D1470" s="185"/>
      <c r="E1470" s="186"/>
      <c r="F1470" s="187"/>
    </row>
    <row r="1471" spans="1:6" x14ac:dyDescent="0.2">
      <c r="A1471" s="275"/>
      <c r="B1471" s="78"/>
      <c r="C1471" s="189"/>
      <c r="D1471" s="185"/>
      <c r="E1471" s="186"/>
      <c r="F1471" s="187"/>
    </row>
    <row r="1472" spans="1:6" x14ac:dyDescent="0.2">
      <c r="A1472" s="275"/>
      <c r="B1472" s="78"/>
      <c r="C1472" s="189"/>
      <c r="D1472" s="185"/>
      <c r="E1472" s="186"/>
      <c r="F1472" s="187"/>
    </row>
    <row r="1473" spans="1:6" x14ac:dyDescent="0.2">
      <c r="A1473" s="275"/>
      <c r="B1473" s="78"/>
      <c r="C1473" s="189"/>
      <c r="D1473" s="185"/>
      <c r="E1473" s="186"/>
      <c r="F1473" s="187"/>
    </row>
    <row r="1474" spans="1:6" x14ac:dyDescent="0.2">
      <c r="A1474" s="275"/>
      <c r="B1474" s="78"/>
      <c r="C1474" s="189"/>
      <c r="D1474" s="185"/>
      <c r="E1474" s="186"/>
      <c r="F1474" s="187"/>
    </row>
    <row r="1475" spans="1:6" x14ac:dyDescent="0.2">
      <c r="A1475" s="275"/>
      <c r="B1475" s="78"/>
      <c r="C1475" s="189"/>
      <c r="D1475" s="185"/>
      <c r="E1475" s="186"/>
      <c r="F1475" s="187"/>
    </row>
    <row r="1476" spans="1:6" x14ac:dyDescent="0.2">
      <c r="A1476" s="275"/>
      <c r="B1476" s="78"/>
      <c r="C1476" s="189"/>
      <c r="D1476" s="185"/>
      <c r="E1476" s="186"/>
      <c r="F1476" s="187"/>
    </row>
    <row r="1477" spans="1:6" x14ac:dyDescent="0.2">
      <c r="A1477" s="275"/>
      <c r="B1477" s="78"/>
      <c r="C1477" s="189"/>
      <c r="D1477" s="185"/>
      <c r="E1477" s="186"/>
      <c r="F1477" s="187"/>
    </row>
    <row r="1478" spans="1:6" x14ac:dyDescent="0.2">
      <c r="A1478" s="275"/>
      <c r="B1478" s="78"/>
      <c r="C1478" s="189"/>
      <c r="D1478" s="185"/>
      <c r="E1478" s="186"/>
      <c r="F1478" s="187"/>
    </row>
    <row r="1479" spans="1:6" x14ac:dyDescent="0.2">
      <c r="A1479" s="275"/>
      <c r="B1479" s="78"/>
      <c r="C1479" s="189"/>
      <c r="D1479" s="185"/>
      <c r="E1479" s="186"/>
      <c r="F1479" s="187"/>
    </row>
    <row r="1480" spans="1:6" x14ac:dyDescent="0.2">
      <c r="A1480" s="275"/>
      <c r="B1480" s="78"/>
      <c r="C1480" s="189"/>
      <c r="D1480" s="185"/>
      <c r="E1480" s="186"/>
      <c r="F1480" s="187"/>
    </row>
    <row r="1481" spans="1:6" x14ac:dyDescent="0.2">
      <c r="A1481" s="275"/>
      <c r="B1481" s="78"/>
      <c r="C1481" s="189"/>
      <c r="D1481" s="185"/>
      <c r="E1481" s="186"/>
      <c r="F1481" s="187"/>
    </row>
    <row r="1482" spans="1:6" x14ac:dyDescent="0.2">
      <c r="A1482" s="275"/>
      <c r="B1482" s="78"/>
      <c r="C1482" s="189"/>
      <c r="D1482" s="185"/>
      <c r="E1482" s="186"/>
      <c r="F1482" s="187"/>
    </row>
    <row r="1483" spans="1:6" x14ac:dyDescent="0.2">
      <c r="A1483" s="275"/>
      <c r="B1483" s="78"/>
      <c r="C1483" s="189"/>
      <c r="D1483" s="185"/>
      <c r="E1483" s="186"/>
      <c r="F1483" s="187"/>
    </row>
    <row r="1484" spans="1:6" x14ac:dyDescent="0.2">
      <c r="A1484" s="275"/>
      <c r="B1484" s="78"/>
      <c r="C1484" s="189"/>
      <c r="D1484" s="185"/>
      <c r="E1484" s="186"/>
      <c r="F1484" s="187"/>
    </row>
    <row r="1485" spans="1:6" x14ac:dyDescent="0.2">
      <c r="A1485" s="275"/>
      <c r="B1485" s="78"/>
      <c r="C1485" s="189"/>
      <c r="D1485" s="185"/>
      <c r="E1485" s="186"/>
      <c r="F1485" s="187"/>
    </row>
    <row r="1486" spans="1:6" x14ac:dyDescent="0.2">
      <c r="A1486" s="275"/>
      <c r="B1486" s="78"/>
      <c r="C1486" s="189"/>
      <c r="D1486" s="185"/>
      <c r="E1486" s="186"/>
      <c r="F1486" s="187"/>
    </row>
    <row r="1487" spans="1:6" x14ac:dyDescent="0.2">
      <c r="A1487" s="275"/>
      <c r="B1487" s="78"/>
      <c r="C1487" s="189"/>
      <c r="D1487" s="185"/>
      <c r="E1487" s="186"/>
      <c r="F1487" s="187"/>
    </row>
    <row r="1488" spans="1:6" x14ac:dyDescent="0.2">
      <c r="A1488" s="275"/>
      <c r="B1488" s="78"/>
      <c r="C1488" s="189"/>
      <c r="D1488" s="185"/>
      <c r="E1488" s="186"/>
      <c r="F1488" s="187"/>
    </row>
    <row r="1489" spans="1:6" x14ac:dyDescent="0.2">
      <c r="A1489" s="275"/>
      <c r="B1489" s="78"/>
      <c r="C1489" s="189"/>
      <c r="D1489" s="185"/>
      <c r="E1489" s="186"/>
      <c r="F1489" s="187"/>
    </row>
    <row r="1490" spans="1:6" x14ac:dyDescent="0.2">
      <c r="A1490" s="275"/>
      <c r="B1490" s="78"/>
      <c r="C1490" s="189"/>
      <c r="D1490" s="185"/>
      <c r="E1490" s="186"/>
      <c r="F1490" s="187"/>
    </row>
    <row r="1491" spans="1:6" x14ac:dyDescent="0.2">
      <c r="A1491" s="275"/>
      <c r="B1491" s="78"/>
      <c r="C1491" s="189"/>
      <c r="D1491" s="185"/>
      <c r="E1491" s="186"/>
      <c r="F1491" s="187"/>
    </row>
    <row r="1492" spans="1:6" x14ac:dyDescent="0.2">
      <c r="A1492" s="275"/>
      <c r="B1492" s="78"/>
      <c r="C1492" s="189"/>
      <c r="D1492" s="185"/>
      <c r="E1492" s="186"/>
      <c r="F1492" s="187"/>
    </row>
    <row r="1493" spans="1:6" x14ac:dyDescent="0.2">
      <c r="A1493" s="275"/>
      <c r="B1493" s="78"/>
      <c r="C1493" s="189"/>
      <c r="D1493" s="185"/>
      <c r="E1493" s="186"/>
      <c r="F1493" s="187"/>
    </row>
    <row r="1494" spans="1:6" x14ac:dyDescent="0.2">
      <c r="A1494" s="275"/>
      <c r="B1494" s="78"/>
      <c r="C1494" s="189"/>
      <c r="D1494" s="185"/>
      <c r="E1494" s="186"/>
      <c r="F1494" s="187"/>
    </row>
    <row r="1495" spans="1:6" x14ac:dyDescent="0.2">
      <c r="A1495" s="275"/>
      <c r="B1495" s="78"/>
      <c r="C1495" s="189"/>
      <c r="D1495" s="185"/>
      <c r="E1495" s="186"/>
      <c r="F1495" s="187"/>
    </row>
    <row r="1496" spans="1:6" x14ac:dyDescent="0.2">
      <c r="A1496" s="275"/>
      <c r="B1496" s="78"/>
      <c r="C1496" s="189"/>
      <c r="D1496" s="185"/>
      <c r="E1496" s="186"/>
      <c r="F1496" s="187"/>
    </row>
    <row r="1497" spans="1:6" x14ac:dyDescent="0.2">
      <c r="A1497" s="275"/>
      <c r="B1497" s="78"/>
      <c r="C1497" s="189"/>
      <c r="D1497" s="185"/>
      <c r="E1497" s="186"/>
      <c r="F1497" s="187"/>
    </row>
    <row r="1498" spans="1:6" x14ac:dyDescent="0.2">
      <c r="A1498" s="275"/>
      <c r="B1498" s="78"/>
      <c r="C1498" s="189"/>
      <c r="D1498" s="185"/>
      <c r="E1498" s="186"/>
      <c r="F1498" s="187"/>
    </row>
    <row r="1499" spans="1:6" x14ac:dyDescent="0.2">
      <c r="A1499" s="275"/>
      <c r="B1499" s="78"/>
      <c r="C1499" s="189"/>
      <c r="D1499" s="185"/>
      <c r="E1499" s="186"/>
      <c r="F1499" s="187"/>
    </row>
    <row r="1500" spans="1:6" x14ac:dyDescent="0.2">
      <c r="A1500" s="275"/>
      <c r="B1500" s="78"/>
      <c r="C1500" s="189"/>
      <c r="D1500" s="185"/>
      <c r="E1500" s="186"/>
      <c r="F1500" s="187"/>
    </row>
    <row r="1501" spans="1:6" x14ac:dyDescent="0.2">
      <c r="A1501" s="275"/>
      <c r="B1501" s="78"/>
      <c r="C1501" s="189"/>
      <c r="D1501" s="185"/>
      <c r="E1501" s="186"/>
      <c r="F1501" s="187"/>
    </row>
    <row r="1502" spans="1:6" x14ac:dyDescent="0.2">
      <c r="A1502" s="275"/>
      <c r="B1502" s="78"/>
      <c r="C1502" s="189"/>
      <c r="D1502" s="185"/>
      <c r="E1502" s="186"/>
      <c r="F1502" s="187"/>
    </row>
    <row r="1503" spans="1:6" x14ac:dyDescent="0.2">
      <c r="A1503" s="275"/>
      <c r="B1503" s="78"/>
      <c r="C1503" s="189"/>
      <c r="D1503" s="185"/>
      <c r="E1503" s="186"/>
      <c r="F1503" s="187"/>
    </row>
    <row r="1504" spans="1:6" x14ac:dyDescent="0.2">
      <c r="A1504" s="275"/>
      <c r="B1504" s="78"/>
      <c r="C1504" s="189"/>
      <c r="D1504" s="185"/>
      <c r="E1504" s="186"/>
      <c r="F1504" s="187"/>
    </row>
    <row r="1505" spans="1:6" x14ac:dyDescent="0.2">
      <c r="A1505" s="275"/>
      <c r="B1505" s="78"/>
      <c r="C1505" s="189"/>
      <c r="D1505" s="185"/>
      <c r="E1505" s="186"/>
      <c r="F1505" s="187"/>
    </row>
    <row r="1506" spans="1:6" x14ac:dyDescent="0.2">
      <c r="A1506" s="275"/>
      <c r="B1506" s="78"/>
      <c r="C1506" s="189"/>
      <c r="D1506" s="185"/>
      <c r="E1506" s="186"/>
      <c r="F1506" s="187"/>
    </row>
    <row r="1507" spans="1:6" x14ac:dyDescent="0.2">
      <c r="A1507" s="275"/>
      <c r="B1507" s="78"/>
      <c r="C1507" s="189"/>
      <c r="D1507" s="185"/>
      <c r="E1507" s="186"/>
      <c r="F1507" s="187"/>
    </row>
    <row r="1508" spans="1:6" x14ac:dyDescent="0.2">
      <c r="A1508" s="275"/>
      <c r="B1508" s="78"/>
      <c r="C1508" s="189"/>
      <c r="D1508" s="185"/>
      <c r="E1508" s="186"/>
      <c r="F1508" s="187"/>
    </row>
    <row r="1509" spans="1:6" x14ac:dyDescent="0.2">
      <c r="A1509" s="275"/>
      <c r="B1509" s="78"/>
      <c r="C1509" s="189"/>
      <c r="D1509" s="185"/>
      <c r="E1509" s="186"/>
      <c r="F1509" s="187"/>
    </row>
    <row r="1510" spans="1:6" x14ac:dyDescent="0.2">
      <c r="A1510" s="275"/>
      <c r="B1510" s="78"/>
      <c r="C1510" s="189"/>
      <c r="D1510" s="185"/>
      <c r="E1510" s="186"/>
      <c r="F1510" s="187"/>
    </row>
    <row r="1511" spans="1:6" x14ac:dyDescent="0.2">
      <c r="A1511" s="275"/>
      <c r="B1511" s="78"/>
      <c r="C1511" s="189"/>
      <c r="D1511" s="185"/>
      <c r="E1511" s="186"/>
      <c r="F1511" s="187"/>
    </row>
    <row r="1512" spans="1:6" x14ac:dyDescent="0.2">
      <c r="A1512" s="275"/>
      <c r="B1512" s="78"/>
      <c r="C1512" s="189"/>
      <c r="D1512" s="185"/>
      <c r="E1512" s="186"/>
      <c r="F1512" s="187"/>
    </row>
    <row r="1513" spans="1:6" x14ac:dyDescent="0.2">
      <c r="A1513" s="275"/>
      <c r="B1513" s="78"/>
      <c r="C1513" s="189"/>
      <c r="D1513" s="185"/>
      <c r="E1513" s="186"/>
      <c r="F1513" s="187"/>
    </row>
    <row r="1514" spans="1:6" x14ac:dyDescent="0.2">
      <c r="A1514" s="275"/>
      <c r="B1514" s="78"/>
      <c r="C1514" s="189"/>
      <c r="D1514" s="185"/>
      <c r="E1514" s="186"/>
      <c r="F1514" s="187"/>
    </row>
    <row r="1515" spans="1:6" x14ac:dyDescent="0.2">
      <c r="A1515" s="275"/>
      <c r="B1515" s="78"/>
      <c r="C1515" s="189"/>
      <c r="D1515" s="185"/>
      <c r="E1515" s="186"/>
      <c r="F1515" s="187"/>
    </row>
    <row r="1516" spans="1:6" x14ac:dyDescent="0.2">
      <c r="A1516" s="275"/>
      <c r="B1516" s="78"/>
      <c r="C1516" s="189"/>
      <c r="D1516" s="185"/>
      <c r="E1516" s="186"/>
      <c r="F1516" s="187"/>
    </row>
    <row r="1517" spans="1:6" x14ac:dyDescent="0.2">
      <c r="A1517" s="275"/>
      <c r="B1517" s="78"/>
      <c r="C1517" s="189"/>
      <c r="D1517" s="185"/>
      <c r="E1517" s="186"/>
      <c r="F1517" s="187"/>
    </row>
    <row r="1518" spans="1:6" x14ac:dyDescent="0.2">
      <c r="A1518" s="275"/>
      <c r="B1518" s="78"/>
      <c r="C1518" s="189"/>
      <c r="D1518" s="185"/>
      <c r="E1518" s="186"/>
      <c r="F1518" s="187"/>
    </row>
    <row r="1519" spans="1:6" x14ac:dyDescent="0.2">
      <c r="A1519" s="275"/>
      <c r="B1519" s="78"/>
      <c r="C1519" s="189"/>
      <c r="D1519" s="185"/>
      <c r="E1519" s="186"/>
      <c r="F1519" s="187"/>
    </row>
    <row r="1520" spans="1:6" x14ac:dyDescent="0.2">
      <c r="A1520" s="275"/>
      <c r="B1520" s="78"/>
      <c r="C1520" s="189"/>
      <c r="D1520" s="185"/>
      <c r="E1520" s="186"/>
      <c r="F1520" s="187"/>
    </row>
    <row r="1521" spans="1:6" x14ac:dyDescent="0.2">
      <c r="A1521" s="275"/>
      <c r="B1521" s="78"/>
      <c r="C1521" s="189"/>
      <c r="D1521" s="185"/>
      <c r="E1521" s="186"/>
      <c r="F1521" s="187"/>
    </row>
    <row r="1522" spans="1:6" x14ac:dyDescent="0.2">
      <c r="A1522" s="275"/>
      <c r="B1522" s="78"/>
      <c r="C1522" s="189"/>
      <c r="D1522" s="185"/>
      <c r="E1522" s="186"/>
      <c r="F1522" s="187"/>
    </row>
    <row r="1523" spans="1:6" x14ac:dyDescent="0.2">
      <c r="A1523" s="275"/>
      <c r="B1523" s="78"/>
      <c r="C1523" s="189"/>
      <c r="D1523" s="185"/>
      <c r="E1523" s="186"/>
      <c r="F1523" s="187"/>
    </row>
    <row r="1524" spans="1:6" x14ac:dyDescent="0.2">
      <c r="A1524" s="275"/>
      <c r="B1524" s="78"/>
      <c r="C1524" s="189"/>
      <c r="D1524" s="185"/>
      <c r="E1524" s="186"/>
      <c r="F1524" s="187"/>
    </row>
    <row r="1525" spans="1:6" x14ac:dyDescent="0.2">
      <c r="A1525" s="275"/>
      <c r="B1525" s="78"/>
      <c r="C1525" s="189"/>
      <c r="D1525" s="185"/>
      <c r="E1525" s="186"/>
      <c r="F1525" s="187"/>
    </row>
    <row r="1526" spans="1:6" x14ac:dyDescent="0.2">
      <c r="A1526" s="275"/>
      <c r="B1526" s="78"/>
      <c r="C1526" s="189"/>
      <c r="D1526" s="185"/>
      <c r="E1526" s="186"/>
      <c r="F1526" s="187"/>
    </row>
    <row r="1527" spans="1:6" x14ac:dyDescent="0.2">
      <c r="A1527" s="275"/>
      <c r="B1527" s="78"/>
      <c r="C1527" s="189"/>
      <c r="D1527" s="185"/>
      <c r="E1527" s="186"/>
      <c r="F1527" s="187"/>
    </row>
    <row r="1528" spans="1:6" x14ac:dyDescent="0.2">
      <c r="A1528" s="275"/>
      <c r="B1528" s="78"/>
      <c r="C1528" s="189"/>
      <c r="D1528" s="185"/>
      <c r="E1528" s="186"/>
      <c r="F1528" s="187"/>
    </row>
    <row r="1529" spans="1:6" x14ac:dyDescent="0.2">
      <c r="A1529" s="275"/>
      <c r="B1529" s="78"/>
      <c r="C1529" s="189"/>
      <c r="D1529" s="185"/>
      <c r="E1529" s="186"/>
      <c r="F1529" s="187"/>
    </row>
    <row r="1530" spans="1:6" x14ac:dyDescent="0.2">
      <c r="A1530" s="275"/>
      <c r="B1530" s="78"/>
      <c r="C1530" s="189"/>
      <c r="D1530" s="185"/>
      <c r="E1530" s="186"/>
      <c r="F1530" s="187"/>
    </row>
    <row r="1531" spans="1:6" x14ac:dyDescent="0.2">
      <c r="A1531" s="275"/>
      <c r="B1531" s="78"/>
      <c r="C1531" s="189"/>
      <c r="D1531" s="185"/>
      <c r="E1531" s="186"/>
      <c r="F1531" s="187"/>
    </row>
    <row r="1532" spans="1:6" x14ac:dyDescent="0.2">
      <c r="A1532" s="275"/>
      <c r="B1532" s="78"/>
      <c r="C1532" s="189"/>
      <c r="D1532" s="185"/>
      <c r="E1532" s="186"/>
      <c r="F1532" s="187"/>
    </row>
    <row r="1533" spans="1:6" x14ac:dyDescent="0.2">
      <c r="A1533" s="275"/>
      <c r="B1533" s="78"/>
      <c r="C1533" s="189"/>
      <c r="D1533" s="185"/>
      <c r="E1533" s="186"/>
      <c r="F1533" s="187"/>
    </row>
    <row r="1534" spans="1:6" x14ac:dyDescent="0.2">
      <c r="A1534" s="275"/>
      <c r="B1534" s="78"/>
      <c r="C1534" s="189"/>
      <c r="D1534" s="185"/>
      <c r="E1534" s="186"/>
      <c r="F1534" s="187"/>
    </row>
    <row r="1535" spans="1:6" x14ac:dyDescent="0.2">
      <c r="A1535" s="275"/>
      <c r="B1535" s="78"/>
      <c r="C1535" s="189"/>
      <c r="D1535" s="185"/>
      <c r="E1535" s="186"/>
      <c r="F1535" s="187"/>
    </row>
    <row r="1536" spans="1:6" x14ac:dyDescent="0.2">
      <c r="A1536" s="275"/>
      <c r="B1536" s="78"/>
      <c r="C1536" s="189"/>
      <c r="D1536" s="185"/>
      <c r="E1536" s="186"/>
      <c r="F1536" s="187"/>
    </row>
    <row r="1537" spans="1:6" x14ac:dyDescent="0.2">
      <c r="A1537" s="275"/>
      <c r="B1537" s="78"/>
      <c r="C1537" s="189"/>
      <c r="D1537" s="185"/>
      <c r="E1537" s="186"/>
      <c r="F1537" s="187"/>
    </row>
    <row r="1538" spans="1:6" x14ac:dyDescent="0.2">
      <c r="A1538" s="275"/>
      <c r="B1538" s="78"/>
      <c r="C1538" s="189"/>
      <c r="D1538" s="185"/>
      <c r="E1538" s="186"/>
      <c r="F1538" s="187"/>
    </row>
    <row r="1539" spans="1:6" x14ac:dyDescent="0.2">
      <c r="A1539" s="275"/>
      <c r="B1539" s="78"/>
      <c r="C1539" s="189"/>
      <c r="D1539" s="185"/>
      <c r="E1539" s="186"/>
      <c r="F1539" s="187"/>
    </row>
    <row r="1540" spans="1:6" x14ac:dyDescent="0.2">
      <c r="A1540" s="275"/>
      <c r="B1540" s="78"/>
      <c r="C1540" s="189"/>
      <c r="D1540" s="185"/>
      <c r="E1540" s="186"/>
      <c r="F1540" s="187"/>
    </row>
    <row r="1541" spans="1:6" x14ac:dyDescent="0.2">
      <c r="A1541" s="275"/>
      <c r="B1541" s="78"/>
      <c r="C1541" s="189"/>
      <c r="D1541" s="185"/>
      <c r="E1541" s="186"/>
      <c r="F1541" s="187"/>
    </row>
    <row r="1542" spans="1:6" x14ac:dyDescent="0.2">
      <c r="A1542" s="275"/>
      <c r="B1542" s="78"/>
      <c r="C1542" s="189"/>
      <c r="D1542" s="185"/>
      <c r="E1542" s="186"/>
      <c r="F1542" s="187"/>
    </row>
    <row r="1543" spans="1:6" x14ac:dyDescent="0.2">
      <c r="A1543" s="275"/>
      <c r="B1543" s="78"/>
      <c r="C1543" s="189"/>
      <c r="D1543" s="185"/>
      <c r="E1543" s="186"/>
      <c r="F1543" s="187"/>
    </row>
    <row r="1544" spans="1:6" x14ac:dyDescent="0.2">
      <c r="A1544" s="275"/>
      <c r="B1544" s="78"/>
      <c r="C1544" s="189"/>
      <c r="D1544" s="185"/>
      <c r="E1544" s="186"/>
      <c r="F1544" s="187"/>
    </row>
    <row r="1545" spans="1:6" x14ac:dyDescent="0.2">
      <c r="A1545" s="275"/>
      <c r="B1545" s="78"/>
      <c r="C1545" s="189"/>
      <c r="D1545" s="185"/>
      <c r="E1545" s="186"/>
      <c r="F1545" s="187"/>
    </row>
    <row r="1546" spans="1:6" x14ac:dyDescent="0.2">
      <c r="A1546" s="275"/>
      <c r="B1546" s="78"/>
      <c r="C1546" s="189"/>
      <c r="D1546" s="185"/>
      <c r="E1546" s="186"/>
      <c r="F1546" s="187"/>
    </row>
    <row r="1547" spans="1:6" x14ac:dyDescent="0.2">
      <c r="A1547" s="275"/>
      <c r="B1547" s="78"/>
      <c r="C1547" s="189"/>
      <c r="D1547" s="185"/>
      <c r="E1547" s="186"/>
      <c r="F1547" s="187"/>
    </row>
    <row r="1548" spans="1:6" x14ac:dyDescent="0.2">
      <c r="A1548" s="275"/>
      <c r="B1548" s="78"/>
      <c r="C1548" s="189"/>
      <c r="D1548" s="185"/>
      <c r="E1548" s="186"/>
      <c r="F1548" s="187"/>
    </row>
    <row r="1549" spans="1:6" x14ac:dyDescent="0.2">
      <c r="A1549" s="275"/>
      <c r="B1549" s="78"/>
      <c r="C1549" s="189"/>
      <c r="D1549" s="185"/>
      <c r="E1549" s="186"/>
      <c r="F1549" s="187"/>
    </row>
    <row r="1550" spans="1:6" x14ac:dyDescent="0.2">
      <c r="A1550" s="275"/>
      <c r="B1550" s="78"/>
      <c r="C1550" s="189"/>
      <c r="D1550" s="185"/>
      <c r="E1550" s="186"/>
      <c r="F1550" s="187"/>
    </row>
    <row r="1551" spans="1:6" x14ac:dyDescent="0.2">
      <c r="A1551" s="275"/>
      <c r="B1551" s="78"/>
      <c r="C1551" s="189"/>
      <c r="D1551" s="185"/>
      <c r="E1551" s="186"/>
      <c r="F1551" s="187"/>
    </row>
    <row r="1552" spans="1:6" x14ac:dyDescent="0.2">
      <c r="A1552" s="275"/>
      <c r="B1552" s="78"/>
      <c r="C1552" s="189"/>
      <c r="D1552" s="185"/>
      <c r="E1552" s="186"/>
      <c r="F1552" s="187"/>
    </row>
    <row r="1553" spans="1:6" x14ac:dyDescent="0.2">
      <c r="A1553" s="275"/>
      <c r="B1553" s="78"/>
      <c r="C1553" s="189"/>
      <c r="D1553" s="185"/>
      <c r="E1553" s="186"/>
      <c r="F1553" s="187"/>
    </row>
    <row r="1554" spans="1:6" x14ac:dyDescent="0.2">
      <c r="A1554" s="275"/>
      <c r="B1554" s="78"/>
      <c r="C1554" s="189"/>
      <c r="D1554" s="185"/>
      <c r="E1554" s="186"/>
      <c r="F1554" s="187"/>
    </row>
    <row r="1555" spans="1:6" x14ac:dyDescent="0.2">
      <c r="A1555" s="275"/>
      <c r="B1555" s="78"/>
      <c r="C1555" s="189"/>
      <c r="D1555" s="185"/>
      <c r="E1555" s="186"/>
      <c r="F1555" s="187"/>
    </row>
    <row r="1556" spans="1:6" x14ac:dyDescent="0.2">
      <c r="A1556" s="275"/>
      <c r="B1556" s="78"/>
      <c r="C1556" s="189"/>
      <c r="D1556" s="185"/>
      <c r="E1556" s="186"/>
      <c r="F1556" s="187"/>
    </row>
    <row r="1557" spans="1:6" x14ac:dyDescent="0.2">
      <c r="A1557" s="275"/>
      <c r="B1557" s="78"/>
      <c r="C1557" s="189"/>
      <c r="D1557" s="185"/>
      <c r="E1557" s="186"/>
      <c r="F1557" s="187"/>
    </row>
    <row r="1558" spans="1:6" x14ac:dyDescent="0.2">
      <c r="A1558" s="275"/>
      <c r="B1558" s="78"/>
      <c r="C1558" s="189"/>
      <c r="D1558" s="185"/>
      <c r="E1558" s="186"/>
      <c r="F1558" s="187"/>
    </row>
    <row r="1559" spans="1:6" x14ac:dyDescent="0.2">
      <c r="A1559" s="275"/>
      <c r="B1559" s="78"/>
      <c r="C1559" s="189"/>
      <c r="D1559" s="185"/>
      <c r="E1559" s="186"/>
      <c r="F1559" s="187"/>
    </row>
    <row r="1560" spans="1:6" x14ac:dyDescent="0.2">
      <c r="A1560" s="275"/>
      <c r="B1560" s="78"/>
      <c r="C1560" s="189"/>
      <c r="D1560" s="185"/>
      <c r="E1560" s="186"/>
      <c r="F1560" s="187"/>
    </row>
    <row r="1561" spans="1:6" x14ac:dyDescent="0.2">
      <c r="A1561" s="275"/>
      <c r="B1561" s="78"/>
      <c r="C1561" s="189"/>
      <c r="D1561" s="185"/>
      <c r="E1561" s="186"/>
      <c r="F1561" s="187"/>
    </row>
    <row r="1562" spans="1:6" x14ac:dyDescent="0.2">
      <c r="A1562" s="275"/>
      <c r="B1562" s="78"/>
      <c r="C1562" s="189"/>
      <c r="D1562" s="185"/>
      <c r="E1562" s="186"/>
      <c r="F1562" s="187"/>
    </row>
    <row r="1563" spans="1:6" x14ac:dyDescent="0.2">
      <c r="A1563" s="275"/>
      <c r="B1563" s="78"/>
      <c r="C1563" s="189"/>
      <c r="D1563" s="185"/>
      <c r="E1563" s="186"/>
      <c r="F1563" s="187"/>
    </row>
    <row r="1564" spans="1:6" x14ac:dyDescent="0.2">
      <c r="A1564" s="275"/>
      <c r="B1564" s="78"/>
      <c r="C1564" s="189"/>
      <c r="D1564" s="185"/>
      <c r="E1564" s="186"/>
      <c r="F1564" s="187"/>
    </row>
    <row r="1565" spans="1:6" x14ac:dyDescent="0.2">
      <c r="A1565" s="275"/>
      <c r="B1565" s="78"/>
      <c r="C1565" s="189"/>
      <c r="D1565" s="185"/>
      <c r="E1565" s="186"/>
      <c r="F1565" s="187"/>
    </row>
    <row r="1566" spans="1:6" x14ac:dyDescent="0.2">
      <c r="A1566" s="275"/>
      <c r="B1566" s="78"/>
      <c r="C1566" s="189"/>
      <c r="D1566" s="185"/>
      <c r="E1566" s="186"/>
      <c r="F1566" s="187"/>
    </row>
    <row r="1567" spans="1:6" x14ac:dyDescent="0.2">
      <c r="A1567" s="275"/>
      <c r="B1567" s="78"/>
      <c r="C1567" s="189"/>
      <c r="D1567" s="185"/>
      <c r="E1567" s="186"/>
      <c r="F1567" s="187"/>
    </row>
    <row r="1568" spans="1:6" x14ac:dyDescent="0.2">
      <c r="A1568" s="275"/>
      <c r="B1568" s="78"/>
      <c r="C1568" s="189"/>
      <c r="D1568" s="185"/>
      <c r="E1568" s="186"/>
      <c r="F1568" s="187"/>
    </row>
    <row r="1569" spans="1:6" x14ac:dyDescent="0.2">
      <c r="A1569" s="275"/>
      <c r="B1569" s="78"/>
      <c r="C1569" s="189"/>
      <c r="D1569" s="185"/>
      <c r="E1569" s="186"/>
      <c r="F1569" s="187"/>
    </row>
    <row r="1570" spans="1:6" x14ac:dyDescent="0.2">
      <c r="A1570" s="275"/>
      <c r="B1570" s="78"/>
      <c r="C1570" s="189"/>
      <c r="D1570" s="185"/>
      <c r="E1570" s="186"/>
      <c r="F1570" s="187"/>
    </row>
    <row r="1571" spans="1:6" x14ac:dyDescent="0.2">
      <c r="A1571" s="275"/>
      <c r="B1571" s="78"/>
      <c r="C1571" s="189"/>
      <c r="D1571" s="185"/>
      <c r="E1571" s="186"/>
      <c r="F1571" s="187"/>
    </row>
    <row r="1572" spans="1:6" x14ac:dyDescent="0.2">
      <c r="A1572" s="275"/>
      <c r="B1572" s="78"/>
      <c r="C1572" s="189"/>
      <c r="D1572" s="185"/>
      <c r="E1572" s="186"/>
      <c r="F1572" s="187"/>
    </row>
    <row r="1573" spans="1:6" x14ac:dyDescent="0.2">
      <c r="A1573" s="275"/>
      <c r="B1573" s="78"/>
      <c r="C1573" s="189"/>
      <c r="D1573" s="185"/>
      <c r="E1573" s="186"/>
      <c r="F1573" s="187"/>
    </row>
    <row r="1574" spans="1:6" x14ac:dyDescent="0.2">
      <c r="A1574" s="275"/>
      <c r="B1574" s="78"/>
      <c r="C1574" s="189"/>
      <c r="D1574" s="185"/>
      <c r="E1574" s="186"/>
      <c r="F1574" s="187"/>
    </row>
    <row r="1575" spans="1:6" x14ac:dyDescent="0.2">
      <c r="A1575" s="275"/>
      <c r="B1575" s="78"/>
      <c r="C1575" s="189"/>
      <c r="D1575" s="185"/>
      <c r="E1575" s="186"/>
      <c r="F1575" s="187"/>
    </row>
    <row r="1576" spans="1:6" x14ac:dyDescent="0.2">
      <c r="A1576" s="275"/>
      <c r="B1576" s="78"/>
      <c r="C1576" s="189"/>
      <c r="D1576" s="185"/>
      <c r="E1576" s="186"/>
      <c r="F1576" s="187"/>
    </row>
    <row r="1577" spans="1:6" x14ac:dyDescent="0.2">
      <c r="A1577" s="275"/>
      <c r="B1577" s="78"/>
      <c r="C1577" s="189"/>
      <c r="D1577" s="185"/>
      <c r="E1577" s="186"/>
      <c r="F1577" s="187"/>
    </row>
    <row r="1578" spans="1:6" x14ac:dyDescent="0.2">
      <c r="A1578" s="275"/>
      <c r="B1578" s="78"/>
      <c r="C1578" s="189"/>
      <c r="D1578" s="185"/>
      <c r="E1578" s="186"/>
      <c r="F1578" s="187"/>
    </row>
    <row r="1579" spans="1:6" x14ac:dyDescent="0.2">
      <c r="A1579" s="275"/>
      <c r="B1579" s="78"/>
      <c r="C1579" s="189"/>
      <c r="D1579" s="185"/>
      <c r="E1579" s="186"/>
      <c r="F1579" s="187"/>
    </row>
    <row r="1580" spans="1:6" x14ac:dyDescent="0.2">
      <c r="A1580" s="275"/>
      <c r="B1580" s="78"/>
      <c r="C1580" s="189"/>
      <c r="D1580" s="185"/>
      <c r="E1580" s="186"/>
      <c r="F1580" s="187"/>
    </row>
    <row r="1581" spans="1:6" x14ac:dyDescent="0.2">
      <c r="A1581" s="275"/>
      <c r="B1581" s="78"/>
      <c r="C1581" s="189"/>
      <c r="D1581" s="185"/>
      <c r="E1581" s="186"/>
      <c r="F1581" s="187"/>
    </row>
    <row r="1582" spans="1:6" x14ac:dyDescent="0.2">
      <c r="A1582" s="275"/>
      <c r="B1582" s="78"/>
      <c r="C1582" s="189"/>
      <c r="D1582" s="185"/>
      <c r="E1582" s="186"/>
      <c r="F1582" s="187"/>
    </row>
    <row r="1583" spans="1:6" x14ac:dyDescent="0.2">
      <c r="A1583" s="275"/>
      <c r="B1583" s="78"/>
      <c r="C1583" s="189"/>
      <c r="D1583" s="185"/>
      <c r="E1583" s="186"/>
      <c r="F1583" s="187"/>
    </row>
    <row r="1584" spans="1:6" x14ac:dyDescent="0.2">
      <c r="A1584" s="275"/>
      <c r="B1584" s="78"/>
      <c r="C1584" s="189"/>
      <c r="D1584" s="185"/>
      <c r="E1584" s="186"/>
      <c r="F1584" s="187"/>
    </row>
    <row r="1585" spans="1:6" x14ac:dyDescent="0.2">
      <c r="A1585" s="275"/>
      <c r="B1585" s="78"/>
      <c r="C1585" s="189"/>
      <c r="D1585" s="185"/>
      <c r="E1585" s="186"/>
      <c r="F1585" s="187"/>
    </row>
    <row r="1586" spans="1:6" x14ac:dyDescent="0.2">
      <c r="A1586" s="275"/>
      <c r="B1586" s="78"/>
      <c r="C1586" s="189"/>
      <c r="D1586" s="185"/>
      <c r="E1586" s="186"/>
      <c r="F1586" s="187"/>
    </row>
    <row r="1587" spans="1:6" x14ac:dyDescent="0.2">
      <c r="A1587" s="275"/>
      <c r="B1587" s="78"/>
      <c r="C1587" s="189"/>
      <c r="D1587" s="185"/>
      <c r="E1587" s="186"/>
      <c r="F1587" s="187"/>
    </row>
    <row r="1588" spans="1:6" x14ac:dyDescent="0.2">
      <c r="A1588" s="275"/>
      <c r="B1588" s="78"/>
      <c r="C1588" s="189"/>
      <c r="D1588" s="185"/>
      <c r="E1588" s="186"/>
      <c r="F1588" s="187"/>
    </row>
    <row r="1589" spans="1:6" x14ac:dyDescent="0.2">
      <c r="A1589" s="275"/>
      <c r="B1589" s="78"/>
      <c r="C1589" s="189"/>
      <c r="D1589" s="185"/>
      <c r="E1589" s="186"/>
      <c r="F1589" s="187"/>
    </row>
    <row r="1590" spans="1:6" x14ac:dyDescent="0.2">
      <c r="A1590" s="275"/>
      <c r="B1590" s="78"/>
      <c r="C1590" s="189"/>
      <c r="D1590" s="185"/>
      <c r="E1590" s="186"/>
      <c r="F1590" s="187"/>
    </row>
    <row r="1591" spans="1:6" x14ac:dyDescent="0.2">
      <c r="A1591" s="275"/>
      <c r="B1591" s="78"/>
      <c r="C1591" s="189"/>
      <c r="D1591" s="185"/>
      <c r="E1591" s="186"/>
      <c r="F1591" s="187"/>
    </row>
    <row r="1592" spans="1:6" x14ac:dyDescent="0.2">
      <c r="A1592" s="275"/>
      <c r="B1592" s="78"/>
      <c r="C1592" s="189"/>
      <c r="D1592" s="185"/>
      <c r="E1592" s="186"/>
      <c r="F1592" s="187"/>
    </row>
    <row r="1593" spans="1:6" x14ac:dyDescent="0.2">
      <c r="A1593" s="275"/>
      <c r="B1593" s="78"/>
      <c r="C1593" s="189"/>
      <c r="D1593" s="185"/>
      <c r="E1593" s="186"/>
      <c r="F1593" s="187"/>
    </row>
    <row r="1594" spans="1:6" x14ac:dyDescent="0.2">
      <c r="A1594" s="275"/>
      <c r="B1594" s="78"/>
      <c r="C1594" s="189"/>
      <c r="D1594" s="185"/>
      <c r="E1594" s="186"/>
      <c r="F1594" s="187"/>
    </row>
    <row r="1595" spans="1:6" x14ac:dyDescent="0.2">
      <c r="A1595" s="275"/>
      <c r="B1595" s="78"/>
      <c r="C1595" s="189"/>
      <c r="D1595" s="185"/>
      <c r="E1595" s="186"/>
      <c r="F1595" s="187"/>
    </row>
    <row r="1596" spans="1:6" x14ac:dyDescent="0.2">
      <c r="A1596" s="275"/>
      <c r="B1596" s="78"/>
      <c r="C1596" s="189"/>
      <c r="D1596" s="185"/>
      <c r="E1596" s="186"/>
      <c r="F1596" s="187"/>
    </row>
    <row r="1597" spans="1:6" x14ac:dyDescent="0.2">
      <c r="A1597" s="275"/>
      <c r="B1597" s="78"/>
      <c r="C1597" s="189"/>
      <c r="D1597" s="185"/>
      <c r="E1597" s="186"/>
      <c r="F1597" s="187"/>
    </row>
    <row r="1598" spans="1:6" x14ac:dyDescent="0.2">
      <c r="A1598" s="275"/>
      <c r="B1598" s="78"/>
      <c r="C1598" s="189"/>
      <c r="D1598" s="185"/>
      <c r="E1598" s="186"/>
      <c r="F1598" s="187"/>
    </row>
    <row r="1599" spans="1:6" x14ac:dyDescent="0.2">
      <c r="A1599" s="275"/>
      <c r="B1599" s="78"/>
      <c r="C1599" s="189"/>
      <c r="D1599" s="185"/>
      <c r="E1599" s="186"/>
      <c r="F1599" s="187"/>
    </row>
    <row r="1600" spans="1:6" x14ac:dyDescent="0.2">
      <c r="A1600" s="275"/>
      <c r="B1600" s="78"/>
      <c r="C1600" s="189"/>
      <c r="D1600" s="185"/>
      <c r="E1600" s="186"/>
      <c r="F1600" s="187"/>
    </row>
    <row r="1601" spans="1:6" x14ac:dyDescent="0.2">
      <c r="A1601" s="275"/>
      <c r="B1601" s="78"/>
      <c r="C1601" s="189"/>
      <c r="D1601" s="185"/>
      <c r="E1601" s="186"/>
      <c r="F1601" s="187"/>
    </row>
    <row r="1602" spans="1:6" x14ac:dyDescent="0.2">
      <c r="A1602" s="275"/>
      <c r="B1602" s="78"/>
      <c r="C1602" s="189"/>
      <c r="D1602" s="185"/>
      <c r="E1602" s="186"/>
      <c r="F1602" s="187"/>
    </row>
    <row r="1603" spans="1:6" x14ac:dyDescent="0.2">
      <c r="A1603" s="275"/>
      <c r="B1603" s="78"/>
      <c r="C1603" s="189"/>
      <c r="D1603" s="185"/>
      <c r="E1603" s="186"/>
      <c r="F1603" s="187"/>
    </row>
    <row r="1604" spans="1:6" x14ac:dyDescent="0.2">
      <c r="A1604" s="275"/>
      <c r="B1604" s="78"/>
      <c r="C1604" s="189"/>
      <c r="D1604" s="185"/>
      <c r="E1604" s="186"/>
      <c r="F1604" s="187"/>
    </row>
    <row r="1605" spans="1:6" x14ac:dyDescent="0.2">
      <c r="A1605" s="275"/>
      <c r="B1605" s="78"/>
      <c r="C1605" s="189"/>
      <c r="D1605" s="185"/>
      <c r="E1605" s="186"/>
      <c r="F1605" s="187"/>
    </row>
    <row r="1606" spans="1:6" x14ac:dyDescent="0.2">
      <c r="A1606" s="275"/>
      <c r="B1606" s="78"/>
      <c r="C1606" s="189"/>
      <c r="D1606" s="185"/>
      <c r="E1606" s="186"/>
      <c r="F1606" s="187"/>
    </row>
    <row r="1607" spans="1:6" x14ac:dyDescent="0.2">
      <c r="A1607" s="275"/>
      <c r="B1607" s="78"/>
      <c r="C1607" s="189"/>
      <c r="D1607" s="185"/>
      <c r="E1607" s="186"/>
      <c r="F1607" s="187"/>
    </row>
    <row r="1608" spans="1:6" x14ac:dyDescent="0.2">
      <c r="A1608" s="275"/>
      <c r="B1608" s="78"/>
      <c r="C1608" s="189"/>
      <c r="D1608" s="185"/>
      <c r="E1608" s="186"/>
      <c r="F1608" s="187"/>
    </row>
    <row r="1609" spans="1:6" x14ac:dyDescent="0.2">
      <c r="A1609" s="275"/>
      <c r="B1609" s="78"/>
      <c r="C1609" s="189"/>
      <c r="D1609" s="185"/>
      <c r="E1609" s="186"/>
      <c r="F1609" s="187"/>
    </row>
    <row r="1610" spans="1:6" x14ac:dyDescent="0.2">
      <c r="A1610" s="275"/>
      <c r="B1610" s="78"/>
      <c r="C1610" s="189"/>
      <c r="D1610" s="185"/>
      <c r="E1610" s="186"/>
      <c r="F1610" s="187"/>
    </row>
    <row r="1611" spans="1:6" x14ac:dyDescent="0.2">
      <c r="A1611" s="275"/>
      <c r="B1611" s="78"/>
      <c r="C1611" s="189"/>
      <c r="D1611" s="185"/>
      <c r="E1611" s="186"/>
      <c r="F1611" s="187"/>
    </row>
    <row r="1612" spans="1:6" x14ac:dyDescent="0.2">
      <c r="A1612" s="275"/>
      <c r="B1612" s="78"/>
      <c r="C1612" s="189"/>
      <c r="D1612" s="185"/>
      <c r="E1612" s="186"/>
      <c r="F1612" s="187"/>
    </row>
    <row r="1613" spans="1:6" x14ac:dyDescent="0.2">
      <c r="A1613" s="275"/>
      <c r="B1613" s="78"/>
      <c r="C1613" s="189"/>
      <c r="D1613" s="185"/>
      <c r="E1613" s="186"/>
      <c r="F1613" s="187"/>
    </row>
    <row r="1614" spans="1:6" x14ac:dyDescent="0.2">
      <c r="A1614" s="275"/>
      <c r="B1614" s="78"/>
      <c r="C1614" s="189"/>
      <c r="D1614" s="185"/>
      <c r="E1614" s="186"/>
      <c r="F1614" s="187"/>
    </row>
    <row r="1615" spans="1:6" x14ac:dyDescent="0.2">
      <c r="A1615" s="275"/>
      <c r="B1615" s="78"/>
      <c r="C1615" s="189"/>
      <c r="D1615" s="185"/>
      <c r="E1615" s="186"/>
      <c r="F1615" s="187"/>
    </row>
    <row r="1616" spans="1:6" x14ac:dyDescent="0.2">
      <c r="A1616" s="275"/>
      <c r="B1616" s="78"/>
      <c r="C1616" s="189"/>
      <c r="D1616" s="185"/>
      <c r="E1616" s="186"/>
      <c r="F1616" s="187"/>
    </row>
    <row r="1617" spans="1:6" x14ac:dyDescent="0.2">
      <c r="A1617" s="275"/>
      <c r="B1617" s="78"/>
      <c r="C1617" s="189"/>
      <c r="D1617" s="185"/>
      <c r="E1617" s="186"/>
      <c r="F1617" s="187"/>
    </row>
    <row r="1618" spans="1:6" x14ac:dyDescent="0.2">
      <c r="A1618" s="275"/>
      <c r="B1618" s="78"/>
      <c r="C1618" s="189"/>
      <c r="D1618" s="185"/>
      <c r="E1618" s="186"/>
      <c r="F1618" s="187"/>
    </row>
    <row r="1619" spans="1:6" x14ac:dyDescent="0.2">
      <c r="A1619" s="275"/>
      <c r="B1619" s="78"/>
      <c r="C1619" s="189"/>
      <c r="D1619" s="185"/>
      <c r="E1619" s="186"/>
      <c r="F1619" s="187"/>
    </row>
    <row r="1620" spans="1:6" x14ac:dyDescent="0.2">
      <c r="A1620" s="275"/>
      <c r="B1620" s="78"/>
      <c r="C1620" s="189"/>
      <c r="D1620" s="185"/>
      <c r="E1620" s="186"/>
      <c r="F1620" s="187"/>
    </row>
    <row r="1621" spans="1:6" x14ac:dyDescent="0.2">
      <c r="A1621" s="275"/>
      <c r="B1621" s="78"/>
      <c r="C1621" s="189"/>
      <c r="D1621" s="185"/>
      <c r="E1621" s="186"/>
      <c r="F1621" s="187"/>
    </row>
    <row r="1622" spans="1:6" x14ac:dyDescent="0.2">
      <c r="A1622" s="275"/>
      <c r="B1622" s="78"/>
      <c r="C1622" s="189"/>
      <c r="D1622" s="185"/>
      <c r="E1622" s="186"/>
      <c r="F1622" s="187"/>
    </row>
    <row r="1623" spans="1:6" x14ac:dyDescent="0.2">
      <c r="A1623" s="275"/>
      <c r="B1623" s="78"/>
      <c r="C1623" s="189"/>
      <c r="D1623" s="185"/>
      <c r="E1623" s="186"/>
      <c r="F1623" s="187"/>
    </row>
    <row r="1624" spans="1:6" x14ac:dyDescent="0.2">
      <c r="A1624" s="275"/>
      <c r="B1624" s="78"/>
      <c r="C1624" s="189"/>
      <c r="D1624" s="185"/>
      <c r="E1624" s="186"/>
      <c r="F1624" s="187"/>
    </row>
    <row r="1625" spans="1:6" x14ac:dyDescent="0.2">
      <c r="A1625" s="275"/>
      <c r="B1625" s="78"/>
      <c r="C1625" s="189"/>
      <c r="D1625" s="185"/>
      <c r="E1625" s="186"/>
      <c r="F1625" s="187"/>
    </row>
    <row r="1626" spans="1:6" x14ac:dyDescent="0.2">
      <c r="A1626" s="275"/>
      <c r="B1626" s="78"/>
      <c r="C1626" s="189"/>
      <c r="D1626" s="185"/>
      <c r="E1626" s="186"/>
      <c r="F1626" s="187"/>
    </row>
    <row r="1627" spans="1:6" x14ac:dyDescent="0.2">
      <c r="A1627" s="275"/>
      <c r="B1627" s="78"/>
      <c r="C1627" s="189"/>
      <c r="D1627" s="185"/>
      <c r="E1627" s="186"/>
      <c r="F1627" s="187"/>
    </row>
    <row r="1628" spans="1:6" x14ac:dyDescent="0.2">
      <c r="A1628" s="275"/>
      <c r="B1628" s="78"/>
      <c r="C1628" s="189"/>
      <c r="D1628" s="185"/>
      <c r="E1628" s="186"/>
      <c r="F1628" s="187"/>
    </row>
    <row r="1629" spans="1:6" x14ac:dyDescent="0.2">
      <c r="A1629" s="275"/>
      <c r="B1629" s="78"/>
      <c r="C1629" s="189"/>
      <c r="D1629" s="185"/>
      <c r="E1629" s="186"/>
      <c r="F1629" s="187"/>
    </row>
    <row r="1630" spans="1:6" x14ac:dyDescent="0.2">
      <c r="A1630" s="275"/>
      <c r="B1630" s="78"/>
      <c r="C1630" s="189"/>
      <c r="D1630" s="185"/>
      <c r="E1630" s="186"/>
      <c r="F1630" s="187"/>
    </row>
    <row r="1631" spans="1:6" x14ac:dyDescent="0.2">
      <c r="A1631" s="275"/>
      <c r="B1631" s="78"/>
      <c r="C1631" s="189"/>
      <c r="D1631" s="185"/>
      <c r="E1631" s="186"/>
      <c r="F1631" s="187"/>
    </row>
    <row r="1632" spans="1:6" x14ac:dyDescent="0.2">
      <c r="A1632" s="275"/>
      <c r="B1632" s="78"/>
      <c r="C1632" s="189"/>
      <c r="D1632" s="185"/>
      <c r="E1632" s="186"/>
      <c r="F1632" s="187"/>
    </row>
    <row r="1633" spans="1:6" x14ac:dyDescent="0.2">
      <c r="A1633" s="275"/>
      <c r="B1633" s="78"/>
      <c r="C1633" s="189"/>
      <c r="D1633" s="185"/>
      <c r="E1633" s="186"/>
      <c r="F1633" s="187"/>
    </row>
    <row r="1634" spans="1:6" x14ac:dyDescent="0.2">
      <c r="A1634" s="275"/>
      <c r="B1634" s="78"/>
      <c r="C1634" s="189"/>
      <c r="D1634" s="185"/>
      <c r="E1634" s="186"/>
      <c r="F1634" s="187"/>
    </row>
    <row r="1635" spans="1:6" x14ac:dyDescent="0.2">
      <c r="A1635" s="275"/>
      <c r="B1635" s="78"/>
      <c r="C1635" s="189"/>
      <c r="D1635" s="185"/>
      <c r="E1635" s="186"/>
      <c r="F1635" s="187"/>
    </row>
    <row r="1636" spans="1:6" x14ac:dyDescent="0.2">
      <c r="A1636" s="275"/>
      <c r="B1636" s="78"/>
      <c r="C1636" s="189"/>
      <c r="D1636" s="185"/>
      <c r="E1636" s="186"/>
      <c r="F1636" s="187"/>
    </row>
    <row r="1637" spans="1:6" x14ac:dyDescent="0.2">
      <c r="A1637" s="275"/>
      <c r="B1637" s="78"/>
      <c r="C1637" s="189"/>
      <c r="D1637" s="185"/>
      <c r="E1637" s="186"/>
      <c r="F1637" s="187"/>
    </row>
    <row r="1638" spans="1:6" x14ac:dyDescent="0.2">
      <c r="A1638" s="275"/>
      <c r="B1638" s="78"/>
      <c r="C1638" s="189"/>
      <c r="D1638" s="185"/>
      <c r="E1638" s="186"/>
      <c r="F1638" s="187"/>
    </row>
    <row r="1639" spans="1:6" x14ac:dyDescent="0.2">
      <c r="A1639" s="275"/>
      <c r="B1639" s="78"/>
      <c r="C1639" s="189"/>
      <c r="D1639" s="185"/>
      <c r="E1639" s="186"/>
      <c r="F1639" s="187"/>
    </row>
    <row r="1640" spans="1:6" x14ac:dyDescent="0.2">
      <c r="A1640" s="275"/>
      <c r="B1640" s="78"/>
      <c r="C1640" s="189"/>
      <c r="D1640" s="185"/>
      <c r="E1640" s="186"/>
      <c r="F1640" s="187"/>
    </row>
    <row r="1641" spans="1:6" x14ac:dyDescent="0.2">
      <c r="A1641" s="275"/>
      <c r="B1641" s="78"/>
      <c r="C1641" s="189"/>
      <c r="D1641" s="185"/>
      <c r="E1641" s="186"/>
      <c r="F1641" s="187"/>
    </row>
    <row r="1642" spans="1:6" x14ac:dyDescent="0.2">
      <c r="A1642" s="275"/>
      <c r="B1642" s="78"/>
      <c r="C1642" s="189"/>
      <c r="D1642" s="185"/>
      <c r="E1642" s="186"/>
      <c r="F1642" s="187"/>
    </row>
    <row r="1643" spans="1:6" x14ac:dyDescent="0.2">
      <c r="A1643" s="275"/>
      <c r="B1643" s="78"/>
      <c r="C1643" s="189"/>
      <c r="D1643" s="185"/>
      <c r="E1643" s="186"/>
      <c r="F1643" s="187"/>
    </row>
    <row r="1644" spans="1:6" x14ac:dyDescent="0.2">
      <c r="A1644" s="275"/>
      <c r="B1644" s="78"/>
      <c r="C1644" s="189"/>
      <c r="D1644" s="185"/>
      <c r="E1644" s="186"/>
      <c r="F1644" s="187"/>
    </row>
    <row r="1645" spans="1:6" x14ac:dyDescent="0.2">
      <c r="A1645" s="275"/>
      <c r="B1645" s="78"/>
      <c r="C1645" s="189"/>
      <c r="D1645" s="185"/>
      <c r="E1645" s="186"/>
      <c r="F1645" s="187"/>
    </row>
    <row r="1646" spans="1:6" x14ac:dyDescent="0.2">
      <c r="A1646" s="275"/>
      <c r="B1646" s="78"/>
      <c r="C1646" s="189"/>
      <c r="D1646" s="185"/>
      <c r="E1646" s="186"/>
      <c r="F1646" s="187"/>
    </row>
    <row r="1647" spans="1:6" x14ac:dyDescent="0.2">
      <c r="A1647" s="275"/>
      <c r="B1647" s="78"/>
      <c r="C1647" s="189"/>
      <c r="D1647" s="185"/>
      <c r="E1647" s="186"/>
      <c r="F1647" s="187"/>
    </row>
    <row r="1648" spans="1:6" x14ac:dyDescent="0.2">
      <c r="A1648" s="275"/>
      <c r="B1648" s="78"/>
      <c r="C1648" s="189"/>
      <c r="D1648" s="185"/>
      <c r="E1648" s="186"/>
      <c r="F1648" s="187"/>
    </row>
    <row r="1649" spans="1:6" x14ac:dyDescent="0.2">
      <c r="A1649" s="275"/>
      <c r="B1649" s="78"/>
      <c r="C1649" s="189"/>
      <c r="D1649" s="185"/>
      <c r="E1649" s="186"/>
      <c r="F1649" s="187"/>
    </row>
    <row r="1650" spans="1:6" x14ac:dyDescent="0.2">
      <c r="A1650" s="275"/>
      <c r="B1650" s="78"/>
      <c r="C1650" s="189"/>
      <c r="D1650" s="185"/>
      <c r="E1650" s="186"/>
      <c r="F1650" s="187"/>
    </row>
    <row r="1651" spans="1:6" x14ac:dyDescent="0.2">
      <c r="A1651" s="275"/>
      <c r="B1651" s="78"/>
      <c r="C1651" s="189"/>
      <c r="D1651" s="185"/>
      <c r="E1651" s="186"/>
      <c r="F1651" s="187"/>
    </row>
    <row r="1652" spans="1:6" x14ac:dyDescent="0.2">
      <c r="A1652" s="275"/>
      <c r="B1652" s="78"/>
      <c r="C1652" s="189"/>
      <c r="D1652" s="185"/>
      <c r="E1652" s="186"/>
      <c r="F1652" s="187"/>
    </row>
    <row r="1653" spans="1:6" x14ac:dyDescent="0.2">
      <c r="A1653" s="275"/>
      <c r="B1653" s="78"/>
      <c r="C1653" s="189"/>
      <c r="D1653" s="185"/>
      <c r="E1653" s="186"/>
      <c r="F1653" s="187"/>
    </row>
    <row r="1654" spans="1:6" x14ac:dyDescent="0.2">
      <c r="A1654" s="275"/>
      <c r="B1654" s="78"/>
      <c r="C1654" s="189"/>
      <c r="D1654" s="185"/>
      <c r="E1654" s="186"/>
      <c r="F1654" s="187"/>
    </row>
    <row r="1655" spans="1:6" x14ac:dyDescent="0.2">
      <c r="A1655" s="275"/>
      <c r="B1655" s="78"/>
      <c r="C1655" s="189"/>
      <c r="D1655" s="185"/>
      <c r="E1655" s="186"/>
      <c r="F1655" s="187"/>
    </row>
    <row r="1656" spans="1:6" x14ac:dyDescent="0.2">
      <c r="A1656" s="275"/>
      <c r="B1656" s="78"/>
      <c r="C1656" s="189"/>
      <c r="D1656" s="185"/>
      <c r="E1656" s="186"/>
      <c r="F1656" s="187"/>
    </row>
    <row r="1657" spans="1:6" x14ac:dyDescent="0.2">
      <c r="A1657" s="275"/>
      <c r="B1657" s="78"/>
      <c r="C1657" s="189"/>
      <c r="D1657" s="185"/>
      <c r="E1657" s="186"/>
      <c r="F1657" s="187"/>
    </row>
    <row r="1658" spans="1:6" x14ac:dyDescent="0.2">
      <c r="A1658" s="275"/>
      <c r="B1658" s="78"/>
      <c r="C1658" s="189"/>
      <c r="D1658" s="185"/>
      <c r="E1658" s="186"/>
      <c r="F1658" s="187"/>
    </row>
    <row r="1659" spans="1:6" x14ac:dyDescent="0.2">
      <c r="A1659" s="275"/>
      <c r="B1659" s="78"/>
      <c r="C1659" s="189"/>
      <c r="D1659" s="185"/>
      <c r="E1659" s="186"/>
      <c r="F1659" s="187"/>
    </row>
    <row r="1660" spans="1:6" x14ac:dyDescent="0.2">
      <c r="A1660" s="275"/>
      <c r="B1660" s="78"/>
      <c r="C1660" s="189"/>
      <c r="D1660" s="185"/>
      <c r="E1660" s="186"/>
      <c r="F1660" s="187"/>
    </row>
    <row r="1661" spans="1:6" x14ac:dyDescent="0.2">
      <c r="A1661" s="275"/>
      <c r="B1661" s="78"/>
      <c r="C1661" s="189"/>
      <c r="D1661" s="185"/>
      <c r="E1661" s="186"/>
      <c r="F1661" s="187"/>
    </row>
    <row r="1662" spans="1:6" x14ac:dyDescent="0.2">
      <c r="A1662" s="275"/>
      <c r="B1662" s="78"/>
      <c r="C1662" s="189"/>
      <c r="D1662" s="185"/>
      <c r="E1662" s="186"/>
      <c r="F1662" s="187"/>
    </row>
    <row r="1663" spans="1:6" x14ac:dyDescent="0.2">
      <c r="A1663" s="275"/>
      <c r="B1663" s="78"/>
      <c r="C1663" s="189"/>
      <c r="D1663" s="185"/>
      <c r="E1663" s="186"/>
      <c r="F1663" s="187"/>
    </row>
    <row r="1664" spans="1:6" x14ac:dyDescent="0.2">
      <c r="A1664" s="275"/>
      <c r="B1664" s="78"/>
      <c r="C1664" s="189"/>
      <c r="D1664" s="185"/>
      <c r="E1664" s="186"/>
      <c r="F1664" s="187"/>
    </row>
    <row r="1665" spans="1:6" x14ac:dyDescent="0.2">
      <c r="A1665" s="275"/>
      <c r="B1665" s="78"/>
      <c r="C1665" s="189"/>
      <c r="D1665" s="185"/>
      <c r="E1665" s="186"/>
      <c r="F1665" s="187"/>
    </row>
    <row r="1666" spans="1:6" x14ac:dyDescent="0.2">
      <c r="A1666" s="275"/>
      <c r="B1666" s="78"/>
      <c r="C1666" s="189"/>
      <c r="D1666" s="185"/>
      <c r="E1666" s="186"/>
      <c r="F1666" s="187"/>
    </row>
    <row r="1667" spans="1:6" x14ac:dyDescent="0.2">
      <c r="A1667" s="275"/>
      <c r="B1667" s="78"/>
      <c r="C1667" s="189"/>
      <c r="D1667" s="185"/>
      <c r="E1667" s="186"/>
      <c r="F1667" s="187"/>
    </row>
    <row r="1668" spans="1:6" x14ac:dyDescent="0.2">
      <c r="A1668" s="275"/>
      <c r="B1668" s="78"/>
      <c r="C1668" s="189"/>
      <c r="D1668" s="185"/>
      <c r="E1668" s="186"/>
      <c r="F1668" s="187"/>
    </row>
    <row r="1669" spans="1:6" x14ac:dyDescent="0.2">
      <c r="A1669" s="275"/>
      <c r="B1669" s="78"/>
      <c r="C1669" s="189"/>
      <c r="D1669" s="185"/>
      <c r="E1669" s="186"/>
      <c r="F1669" s="187"/>
    </row>
    <row r="1670" spans="1:6" x14ac:dyDescent="0.2">
      <c r="A1670" s="275"/>
      <c r="B1670" s="78"/>
      <c r="C1670" s="189"/>
      <c r="D1670" s="185"/>
      <c r="E1670" s="186"/>
      <c r="F1670" s="187"/>
    </row>
    <row r="1671" spans="1:6" x14ac:dyDescent="0.2">
      <c r="A1671" s="275"/>
      <c r="B1671" s="78"/>
      <c r="C1671" s="189"/>
      <c r="D1671" s="185"/>
      <c r="E1671" s="186"/>
      <c r="F1671" s="187"/>
    </row>
    <row r="1672" spans="1:6" x14ac:dyDescent="0.2">
      <c r="A1672" s="275"/>
      <c r="B1672" s="78"/>
      <c r="C1672" s="189"/>
      <c r="D1672" s="185"/>
      <c r="E1672" s="186"/>
      <c r="F1672" s="187"/>
    </row>
    <row r="1673" spans="1:6" x14ac:dyDescent="0.2">
      <c r="A1673" s="275"/>
      <c r="B1673" s="78"/>
      <c r="C1673" s="189"/>
      <c r="D1673" s="185"/>
      <c r="E1673" s="186"/>
      <c r="F1673" s="187"/>
    </row>
    <row r="1674" spans="1:6" x14ac:dyDescent="0.2">
      <c r="A1674" s="275"/>
      <c r="B1674" s="78"/>
      <c r="C1674" s="189"/>
      <c r="D1674" s="185"/>
      <c r="E1674" s="186"/>
      <c r="F1674" s="187"/>
    </row>
    <row r="1675" spans="1:6" x14ac:dyDescent="0.2">
      <c r="A1675" s="275"/>
      <c r="B1675" s="78"/>
      <c r="C1675" s="189"/>
      <c r="D1675" s="185"/>
      <c r="E1675" s="186"/>
      <c r="F1675" s="187"/>
    </row>
    <row r="1676" spans="1:6" x14ac:dyDescent="0.2">
      <c r="A1676" s="275"/>
      <c r="B1676" s="78"/>
      <c r="C1676" s="189"/>
      <c r="D1676" s="185"/>
      <c r="E1676" s="186"/>
      <c r="F1676" s="187"/>
    </row>
    <row r="1677" spans="1:6" x14ac:dyDescent="0.2">
      <c r="A1677" s="275"/>
      <c r="B1677" s="78"/>
      <c r="C1677" s="189"/>
      <c r="D1677" s="185"/>
      <c r="E1677" s="186"/>
      <c r="F1677" s="187"/>
    </row>
    <row r="1678" spans="1:6" x14ac:dyDescent="0.2">
      <c r="A1678" s="275"/>
      <c r="B1678" s="78"/>
      <c r="C1678" s="189"/>
      <c r="D1678" s="185"/>
      <c r="E1678" s="186"/>
      <c r="F1678" s="187"/>
    </row>
    <row r="1679" spans="1:6" x14ac:dyDescent="0.2">
      <c r="A1679" s="275"/>
      <c r="B1679" s="78"/>
      <c r="C1679" s="189"/>
      <c r="D1679" s="185"/>
      <c r="E1679" s="186"/>
      <c r="F1679" s="187"/>
    </row>
    <row r="1680" spans="1:6" x14ac:dyDescent="0.2">
      <c r="A1680" s="275"/>
      <c r="B1680" s="78"/>
      <c r="C1680" s="189"/>
      <c r="D1680" s="185"/>
      <c r="E1680" s="186"/>
      <c r="F1680" s="187"/>
    </row>
    <row r="1681" spans="1:6" x14ac:dyDescent="0.2">
      <c r="A1681" s="275"/>
      <c r="B1681" s="78"/>
      <c r="C1681" s="189"/>
      <c r="D1681" s="185"/>
      <c r="E1681" s="186"/>
      <c r="F1681" s="187"/>
    </row>
    <row r="1682" spans="1:6" x14ac:dyDescent="0.2">
      <c r="A1682" s="275"/>
      <c r="B1682" s="78"/>
      <c r="C1682" s="189"/>
      <c r="D1682" s="185"/>
      <c r="E1682" s="186"/>
      <c r="F1682" s="187"/>
    </row>
    <row r="1683" spans="1:6" x14ac:dyDescent="0.2">
      <c r="A1683" s="275"/>
      <c r="B1683" s="78"/>
      <c r="C1683" s="189"/>
      <c r="D1683" s="185"/>
      <c r="E1683" s="186"/>
      <c r="F1683" s="187"/>
    </row>
    <row r="1684" spans="1:6" x14ac:dyDescent="0.2">
      <c r="A1684" s="275"/>
      <c r="B1684" s="78"/>
      <c r="C1684" s="189"/>
      <c r="D1684" s="185"/>
      <c r="E1684" s="186"/>
      <c r="F1684" s="187"/>
    </row>
    <row r="1685" spans="1:6" x14ac:dyDescent="0.2">
      <c r="A1685" s="275"/>
      <c r="B1685" s="78"/>
      <c r="C1685" s="189"/>
      <c r="D1685" s="185"/>
      <c r="E1685" s="186"/>
      <c r="F1685" s="187"/>
    </row>
    <row r="1686" spans="1:6" x14ac:dyDescent="0.2">
      <c r="A1686" s="275"/>
      <c r="B1686" s="78"/>
      <c r="C1686" s="189"/>
      <c r="D1686" s="185"/>
      <c r="E1686" s="186"/>
      <c r="F1686" s="187"/>
    </row>
    <row r="1687" spans="1:6" x14ac:dyDescent="0.2">
      <c r="A1687" s="275"/>
      <c r="B1687" s="78"/>
      <c r="C1687" s="189"/>
      <c r="D1687" s="185"/>
      <c r="E1687" s="186"/>
      <c r="F1687" s="187"/>
    </row>
    <row r="1688" spans="1:6" x14ac:dyDescent="0.2">
      <c r="A1688" s="275"/>
      <c r="B1688" s="78"/>
      <c r="C1688" s="189"/>
      <c r="D1688" s="185"/>
      <c r="E1688" s="186"/>
      <c r="F1688" s="187"/>
    </row>
    <row r="1689" spans="1:6" x14ac:dyDescent="0.2">
      <c r="A1689" s="275"/>
      <c r="B1689" s="78"/>
      <c r="C1689" s="189"/>
      <c r="D1689" s="185"/>
      <c r="E1689" s="186"/>
      <c r="F1689" s="187"/>
    </row>
    <row r="1690" spans="1:6" x14ac:dyDescent="0.2">
      <c r="A1690" s="275"/>
      <c r="B1690" s="78"/>
      <c r="C1690" s="189"/>
      <c r="D1690" s="185"/>
      <c r="E1690" s="186"/>
      <c r="F1690" s="187"/>
    </row>
    <row r="1691" spans="1:6" x14ac:dyDescent="0.2">
      <c r="A1691" s="275"/>
      <c r="B1691" s="78"/>
      <c r="C1691" s="189"/>
      <c r="D1691" s="185"/>
      <c r="E1691" s="186"/>
      <c r="F1691" s="187"/>
    </row>
    <row r="1692" spans="1:6" x14ac:dyDescent="0.2">
      <c r="A1692" s="275"/>
      <c r="B1692" s="78"/>
      <c r="C1692" s="189"/>
      <c r="D1692" s="185"/>
      <c r="E1692" s="186"/>
      <c r="F1692" s="187"/>
    </row>
    <row r="1693" spans="1:6" x14ac:dyDescent="0.2">
      <c r="A1693" s="275"/>
      <c r="B1693" s="78"/>
      <c r="C1693" s="189"/>
      <c r="D1693" s="185"/>
      <c r="E1693" s="186"/>
      <c r="F1693" s="187"/>
    </row>
    <row r="1694" spans="1:6" x14ac:dyDescent="0.2">
      <c r="A1694" s="275"/>
      <c r="B1694" s="78"/>
      <c r="C1694" s="189"/>
      <c r="D1694" s="185"/>
      <c r="E1694" s="186"/>
      <c r="F1694" s="187"/>
    </row>
    <row r="1695" spans="1:6" x14ac:dyDescent="0.2">
      <c r="A1695" s="275"/>
      <c r="B1695" s="78"/>
      <c r="C1695" s="189"/>
      <c r="D1695" s="185"/>
      <c r="E1695" s="186"/>
      <c r="F1695" s="187"/>
    </row>
    <row r="1696" spans="1:6" x14ac:dyDescent="0.2">
      <c r="A1696" s="275"/>
      <c r="B1696" s="78"/>
      <c r="C1696" s="189"/>
      <c r="D1696" s="185"/>
      <c r="E1696" s="186"/>
      <c r="F1696" s="187"/>
    </row>
    <row r="1697" spans="1:6" x14ac:dyDescent="0.2">
      <c r="A1697" s="275"/>
      <c r="B1697" s="78"/>
      <c r="C1697" s="189"/>
      <c r="D1697" s="185"/>
      <c r="E1697" s="186"/>
      <c r="F1697" s="187"/>
    </row>
    <row r="1698" spans="1:6" x14ac:dyDescent="0.2">
      <c r="A1698" s="275"/>
      <c r="B1698" s="78"/>
      <c r="C1698" s="189"/>
      <c r="D1698" s="185"/>
      <c r="E1698" s="186"/>
      <c r="F1698" s="187"/>
    </row>
    <row r="1699" spans="1:6" x14ac:dyDescent="0.2">
      <c r="A1699" s="275"/>
      <c r="B1699" s="78"/>
      <c r="C1699" s="189"/>
      <c r="D1699" s="185"/>
      <c r="E1699" s="186"/>
      <c r="F1699" s="187"/>
    </row>
    <row r="1700" spans="1:6" x14ac:dyDescent="0.2">
      <c r="A1700" s="275"/>
      <c r="B1700" s="78"/>
      <c r="C1700" s="189"/>
      <c r="D1700" s="185"/>
      <c r="E1700" s="186"/>
      <c r="F1700" s="187"/>
    </row>
    <row r="1701" spans="1:6" x14ac:dyDescent="0.2">
      <c r="A1701" s="275"/>
      <c r="B1701" s="78"/>
      <c r="C1701" s="189"/>
      <c r="D1701" s="185"/>
      <c r="E1701" s="186"/>
      <c r="F1701" s="187"/>
    </row>
    <row r="1702" spans="1:6" x14ac:dyDescent="0.2">
      <c r="A1702" s="275"/>
      <c r="B1702" s="78"/>
      <c r="C1702" s="189"/>
      <c r="D1702" s="185"/>
      <c r="E1702" s="186"/>
      <c r="F1702" s="187"/>
    </row>
    <row r="1703" spans="1:6" x14ac:dyDescent="0.2">
      <c r="A1703" s="275"/>
      <c r="B1703" s="78"/>
      <c r="C1703" s="189"/>
      <c r="D1703" s="185"/>
      <c r="E1703" s="186"/>
      <c r="F1703" s="187"/>
    </row>
    <row r="1704" spans="1:6" x14ac:dyDescent="0.2">
      <c r="A1704" s="275"/>
      <c r="B1704" s="78"/>
      <c r="C1704" s="189"/>
      <c r="D1704" s="185"/>
      <c r="E1704" s="186"/>
      <c r="F1704" s="187"/>
    </row>
    <row r="1705" spans="1:6" x14ac:dyDescent="0.2">
      <c r="A1705" s="275"/>
      <c r="B1705" s="78"/>
      <c r="C1705" s="189"/>
      <c r="D1705" s="185"/>
      <c r="E1705" s="186"/>
      <c r="F1705" s="187"/>
    </row>
    <row r="1706" spans="1:6" x14ac:dyDescent="0.2">
      <c r="A1706" s="275"/>
      <c r="B1706" s="78"/>
      <c r="C1706" s="189"/>
      <c r="D1706" s="185"/>
      <c r="E1706" s="186"/>
      <c r="F1706" s="187"/>
    </row>
    <row r="1707" spans="1:6" x14ac:dyDescent="0.2">
      <c r="A1707" s="275"/>
      <c r="B1707" s="78"/>
      <c r="C1707" s="189"/>
      <c r="D1707" s="185"/>
      <c r="E1707" s="186"/>
      <c r="F1707" s="187"/>
    </row>
    <row r="1708" spans="1:6" x14ac:dyDescent="0.2">
      <c r="A1708" s="275"/>
      <c r="B1708" s="78"/>
      <c r="C1708" s="189"/>
      <c r="D1708" s="185"/>
      <c r="E1708" s="186"/>
      <c r="F1708" s="187"/>
    </row>
    <row r="1709" spans="1:6" x14ac:dyDescent="0.2">
      <c r="A1709" s="275"/>
      <c r="B1709" s="78"/>
      <c r="C1709" s="189"/>
      <c r="D1709" s="185"/>
      <c r="E1709" s="186"/>
      <c r="F1709" s="187"/>
    </row>
    <row r="1710" spans="1:6" x14ac:dyDescent="0.2">
      <c r="A1710" s="275"/>
      <c r="B1710" s="78"/>
      <c r="C1710" s="189"/>
      <c r="D1710" s="185"/>
      <c r="E1710" s="186"/>
      <c r="F1710" s="187"/>
    </row>
    <row r="1711" spans="1:6" x14ac:dyDescent="0.2">
      <c r="A1711" s="275"/>
      <c r="B1711" s="78"/>
      <c r="C1711" s="189"/>
      <c r="D1711" s="185"/>
      <c r="E1711" s="186"/>
      <c r="F1711" s="187"/>
    </row>
    <row r="1712" spans="1:6" x14ac:dyDescent="0.2">
      <c r="A1712" s="275"/>
      <c r="B1712" s="78"/>
      <c r="C1712" s="189"/>
      <c r="D1712" s="185"/>
      <c r="E1712" s="186"/>
      <c r="F1712" s="187"/>
    </row>
    <row r="1713" spans="1:6" x14ac:dyDescent="0.2">
      <c r="A1713" s="275"/>
      <c r="B1713" s="78"/>
      <c r="C1713" s="189"/>
      <c r="D1713" s="185"/>
      <c r="E1713" s="186"/>
      <c r="F1713" s="187"/>
    </row>
    <row r="1714" spans="1:6" x14ac:dyDescent="0.2">
      <c r="A1714" s="275"/>
      <c r="B1714" s="78"/>
      <c r="C1714" s="189"/>
      <c r="D1714" s="185"/>
      <c r="E1714" s="186"/>
      <c r="F1714" s="187"/>
    </row>
    <row r="1715" spans="1:6" x14ac:dyDescent="0.2">
      <c r="A1715" s="275"/>
      <c r="B1715" s="78"/>
      <c r="C1715" s="189"/>
      <c r="D1715" s="185"/>
      <c r="E1715" s="186"/>
      <c r="F1715" s="187"/>
    </row>
    <row r="1716" spans="1:6" x14ac:dyDescent="0.2">
      <c r="A1716" s="275"/>
      <c r="B1716" s="78"/>
      <c r="C1716" s="189"/>
      <c r="D1716" s="185"/>
      <c r="E1716" s="186"/>
      <c r="F1716" s="187"/>
    </row>
    <row r="1717" spans="1:6" x14ac:dyDescent="0.2">
      <c r="A1717" s="275"/>
      <c r="B1717" s="78"/>
      <c r="C1717" s="189"/>
      <c r="D1717" s="185"/>
      <c r="E1717" s="186"/>
      <c r="F1717" s="187"/>
    </row>
    <row r="1718" spans="1:6" x14ac:dyDescent="0.2">
      <c r="A1718" s="275"/>
      <c r="B1718" s="78"/>
      <c r="C1718" s="189"/>
      <c r="D1718" s="185"/>
      <c r="E1718" s="186"/>
      <c r="F1718" s="187"/>
    </row>
    <row r="1719" spans="1:6" x14ac:dyDescent="0.2">
      <c r="A1719" s="275"/>
      <c r="B1719" s="78"/>
      <c r="C1719" s="189"/>
      <c r="D1719" s="185"/>
      <c r="E1719" s="186"/>
      <c r="F1719" s="187"/>
    </row>
    <row r="1720" spans="1:6" x14ac:dyDescent="0.2">
      <c r="A1720" s="275"/>
      <c r="B1720" s="78"/>
      <c r="C1720" s="189"/>
      <c r="D1720" s="185"/>
      <c r="E1720" s="186"/>
      <c r="F1720" s="187"/>
    </row>
    <row r="1721" spans="1:6" x14ac:dyDescent="0.2">
      <c r="A1721" s="275"/>
      <c r="B1721" s="78"/>
      <c r="C1721" s="189"/>
      <c r="D1721" s="185"/>
      <c r="E1721" s="186"/>
      <c r="F1721" s="187"/>
    </row>
    <row r="1722" spans="1:6" x14ac:dyDescent="0.2">
      <c r="A1722" s="275"/>
      <c r="B1722" s="78"/>
      <c r="C1722" s="189"/>
      <c r="D1722" s="185"/>
      <c r="E1722" s="186"/>
      <c r="F1722" s="187"/>
    </row>
    <row r="1723" spans="1:6" x14ac:dyDescent="0.2">
      <c r="A1723" s="275"/>
      <c r="B1723" s="78"/>
      <c r="C1723" s="189"/>
      <c r="D1723" s="185"/>
      <c r="E1723" s="186"/>
      <c r="F1723" s="187"/>
    </row>
    <row r="1724" spans="1:6" x14ac:dyDescent="0.2">
      <c r="A1724" s="275"/>
      <c r="B1724" s="78"/>
      <c r="C1724" s="189"/>
      <c r="D1724" s="185"/>
      <c r="E1724" s="186"/>
      <c r="F1724" s="187"/>
    </row>
    <row r="1725" spans="1:6" x14ac:dyDescent="0.2">
      <c r="A1725" s="275"/>
      <c r="B1725" s="78"/>
      <c r="C1725" s="189"/>
      <c r="D1725" s="185"/>
      <c r="E1725" s="186"/>
      <c r="F1725" s="187"/>
    </row>
    <row r="1726" spans="1:6" x14ac:dyDescent="0.2">
      <c r="A1726" s="275"/>
      <c r="B1726" s="78"/>
      <c r="C1726" s="189"/>
      <c r="D1726" s="185"/>
      <c r="E1726" s="186"/>
      <c r="F1726" s="187"/>
    </row>
    <row r="1727" spans="1:6" x14ac:dyDescent="0.2">
      <c r="A1727" s="275"/>
      <c r="B1727" s="78"/>
      <c r="C1727" s="189"/>
      <c r="D1727" s="185"/>
      <c r="E1727" s="186"/>
      <c r="F1727" s="187"/>
    </row>
    <row r="1728" spans="1:6" x14ac:dyDescent="0.2">
      <c r="A1728" s="275"/>
      <c r="B1728" s="78"/>
      <c r="C1728" s="189"/>
      <c r="D1728" s="185"/>
      <c r="E1728" s="186"/>
      <c r="F1728" s="187"/>
    </row>
    <row r="1729" spans="1:6" x14ac:dyDescent="0.2">
      <c r="A1729" s="275"/>
      <c r="B1729" s="78"/>
      <c r="C1729" s="189"/>
      <c r="D1729" s="185"/>
      <c r="E1729" s="186"/>
      <c r="F1729" s="187"/>
    </row>
    <row r="1730" spans="1:6" x14ac:dyDescent="0.2">
      <c r="A1730" s="275"/>
      <c r="B1730" s="78"/>
      <c r="C1730" s="189"/>
      <c r="D1730" s="185"/>
      <c r="E1730" s="186"/>
      <c r="F1730" s="187"/>
    </row>
    <row r="1731" spans="1:6" x14ac:dyDescent="0.2">
      <c r="A1731" s="275"/>
      <c r="B1731" s="78"/>
      <c r="C1731" s="189"/>
      <c r="D1731" s="185"/>
      <c r="E1731" s="186"/>
      <c r="F1731" s="187"/>
    </row>
    <row r="1732" spans="1:6" x14ac:dyDescent="0.2">
      <c r="A1732" s="275"/>
      <c r="B1732" s="78"/>
      <c r="C1732" s="189"/>
      <c r="D1732" s="185"/>
      <c r="E1732" s="186"/>
      <c r="F1732" s="187"/>
    </row>
    <row r="1733" spans="1:6" x14ac:dyDescent="0.2">
      <c r="A1733" s="275"/>
      <c r="B1733" s="78"/>
      <c r="C1733" s="189"/>
      <c r="D1733" s="185"/>
      <c r="E1733" s="186"/>
      <c r="F1733" s="187"/>
    </row>
    <row r="1734" spans="1:6" x14ac:dyDescent="0.2">
      <c r="A1734" s="275"/>
      <c r="B1734" s="78"/>
      <c r="C1734" s="189"/>
      <c r="D1734" s="185"/>
      <c r="E1734" s="186"/>
      <c r="F1734" s="187"/>
    </row>
    <row r="1735" spans="1:6" x14ac:dyDescent="0.2">
      <c r="A1735" s="275"/>
      <c r="B1735" s="78"/>
      <c r="C1735" s="189"/>
      <c r="D1735" s="185"/>
      <c r="E1735" s="186"/>
      <c r="F1735" s="187"/>
    </row>
    <row r="1736" spans="1:6" x14ac:dyDescent="0.2">
      <c r="A1736" s="275"/>
      <c r="B1736" s="78"/>
      <c r="C1736" s="189"/>
      <c r="D1736" s="185"/>
      <c r="E1736" s="186"/>
      <c r="F1736" s="187"/>
    </row>
    <row r="1737" spans="1:6" x14ac:dyDescent="0.2">
      <c r="A1737" s="275"/>
      <c r="B1737" s="78"/>
      <c r="C1737" s="189"/>
      <c r="D1737" s="185"/>
      <c r="E1737" s="186"/>
      <c r="F1737" s="187"/>
    </row>
    <row r="1738" spans="1:6" x14ac:dyDescent="0.2">
      <c r="A1738" s="275"/>
      <c r="B1738" s="78"/>
      <c r="C1738" s="189"/>
      <c r="D1738" s="185"/>
      <c r="E1738" s="186"/>
      <c r="F1738" s="187"/>
    </row>
    <row r="1739" spans="1:6" x14ac:dyDescent="0.2">
      <c r="A1739" s="275"/>
      <c r="B1739" s="78"/>
      <c r="C1739" s="189"/>
      <c r="D1739" s="185"/>
      <c r="E1739" s="186"/>
      <c r="F1739" s="187"/>
    </row>
    <row r="1740" spans="1:6" x14ac:dyDescent="0.2">
      <c r="A1740" s="275"/>
      <c r="B1740" s="78"/>
      <c r="C1740" s="189"/>
      <c r="D1740" s="185"/>
      <c r="E1740" s="186"/>
      <c r="F1740" s="187"/>
    </row>
    <row r="1741" spans="1:6" x14ac:dyDescent="0.2">
      <c r="A1741" s="275"/>
      <c r="B1741" s="78"/>
      <c r="C1741" s="189"/>
      <c r="D1741" s="185"/>
      <c r="E1741" s="186"/>
      <c r="F1741" s="187"/>
    </row>
    <row r="1742" spans="1:6" x14ac:dyDescent="0.2">
      <c r="A1742" s="275"/>
      <c r="B1742" s="78"/>
      <c r="C1742" s="189"/>
      <c r="D1742" s="185"/>
      <c r="E1742" s="186"/>
      <c r="F1742" s="187"/>
    </row>
    <row r="1743" spans="1:6" x14ac:dyDescent="0.2">
      <c r="A1743" s="275"/>
      <c r="B1743" s="78"/>
      <c r="C1743" s="189"/>
      <c r="D1743" s="185"/>
      <c r="E1743" s="186"/>
      <c r="F1743" s="187"/>
    </row>
    <row r="1744" spans="1:6" x14ac:dyDescent="0.2">
      <c r="A1744" s="275"/>
      <c r="B1744" s="78"/>
      <c r="C1744" s="189"/>
      <c r="D1744" s="185"/>
      <c r="E1744" s="186"/>
      <c r="F1744" s="187"/>
    </row>
    <row r="1745" spans="1:6" x14ac:dyDescent="0.2">
      <c r="A1745" s="275"/>
      <c r="B1745" s="78"/>
      <c r="C1745" s="189"/>
      <c r="D1745" s="185"/>
      <c r="E1745" s="186"/>
      <c r="F1745" s="187"/>
    </row>
    <row r="1746" spans="1:6" x14ac:dyDescent="0.2">
      <c r="A1746" s="275"/>
      <c r="B1746" s="78"/>
      <c r="C1746" s="189"/>
      <c r="D1746" s="185"/>
      <c r="E1746" s="186"/>
      <c r="F1746" s="187"/>
    </row>
    <row r="1747" spans="1:6" x14ac:dyDescent="0.2">
      <c r="A1747" s="275"/>
      <c r="B1747" s="78"/>
      <c r="C1747" s="189"/>
      <c r="D1747" s="185"/>
      <c r="E1747" s="186"/>
      <c r="F1747" s="187"/>
    </row>
    <row r="1748" spans="1:6" x14ac:dyDescent="0.2">
      <c r="A1748" s="275"/>
      <c r="B1748" s="78"/>
      <c r="C1748" s="189"/>
      <c r="D1748" s="185"/>
      <c r="E1748" s="186"/>
      <c r="F1748" s="187"/>
    </row>
    <row r="1749" spans="1:6" x14ac:dyDescent="0.2">
      <c r="A1749" s="275"/>
      <c r="B1749" s="78"/>
      <c r="C1749" s="189"/>
      <c r="D1749" s="185"/>
      <c r="E1749" s="186"/>
      <c r="F1749" s="187"/>
    </row>
    <row r="1750" spans="1:6" x14ac:dyDescent="0.2">
      <c r="A1750" s="275"/>
      <c r="B1750" s="78"/>
      <c r="C1750" s="189"/>
      <c r="D1750" s="185"/>
      <c r="E1750" s="186"/>
      <c r="F1750" s="187"/>
    </row>
    <row r="1751" spans="1:6" x14ac:dyDescent="0.2">
      <c r="A1751" s="275"/>
      <c r="B1751" s="78"/>
      <c r="C1751" s="189"/>
      <c r="D1751" s="185"/>
      <c r="E1751" s="186"/>
      <c r="F1751" s="187"/>
    </row>
    <row r="1752" spans="1:6" x14ac:dyDescent="0.2">
      <c r="A1752" s="275"/>
      <c r="B1752" s="78"/>
      <c r="C1752" s="189"/>
      <c r="D1752" s="185"/>
      <c r="E1752" s="186"/>
      <c r="F1752" s="187"/>
    </row>
    <row r="1753" spans="1:6" x14ac:dyDescent="0.2">
      <c r="A1753" s="275"/>
      <c r="B1753" s="78"/>
      <c r="C1753" s="189"/>
      <c r="D1753" s="185"/>
      <c r="E1753" s="186"/>
      <c r="F1753" s="187"/>
    </row>
    <row r="1754" spans="1:6" x14ac:dyDescent="0.2">
      <c r="A1754" s="275"/>
      <c r="B1754" s="78"/>
      <c r="C1754" s="189"/>
      <c r="D1754" s="185"/>
      <c r="E1754" s="186"/>
      <c r="F1754" s="187"/>
    </row>
    <row r="1755" spans="1:6" x14ac:dyDescent="0.2">
      <c r="A1755" s="275"/>
      <c r="B1755" s="78"/>
      <c r="C1755" s="189"/>
      <c r="D1755" s="185"/>
      <c r="E1755" s="186"/>
      <c r="F1755" s="187"/>
    </row>
    <row r="1756" spans="1:6" x14ac:dyDescent="0.2">
      <c r="A1756" s="275"/>
      <c r="B1756" s="78"/>
      <c r="C1756" s="189"/>
      <c r="D1756" s="185"/>
      <c r="E1756" s="186"/>
      <c r="F1756" s="187"/>
    </row>
    <row r="1757" spans="1:6" x14ac:dyDescent="0.2">
      <c r="A1757" s="275"/>
      <c r="B1757" s="78"/>
      <c r="C1757" s="189"/>
      <c r="D1757" s="185"/>
      <c r="E1757" s="186"/>
      <c r="F1757" s="187"/>
    </row>
    <row r="1758" spans="1:6" x14ac:dyDescent="0.2">
      <c r="A1758" s="275"/>
      <c r="B1758" s="78"/>
      <c r="C1758" s="189"/>
      <c r="D1758" s="185"/>
      <c r="E1758" s="186"/>
      <c r="F1758" s="187"/>
    </row>
    <row r="1759" spans="1:6" x14ac:dyDescent="0.2">
      <c r="A1759" s="275"/>
      <c r="B1759" s="78"/>
      <c r="C1759" s="189"/>
      <c r="D1759" s="185"/>
      <c r="E1759" s="186"/>
      <c r="F1759" s="187"/>
    </row>
    <row r="1760" spans="1:6" x14ac:dyDescent="0.2">
      <c r="A1760" s="275"/>
      <c r="B1760" s="78"/>
      <c r="C1760" s="189"/>
      <c r="D1760" s="185"/>
      <c r="E1760" s="186"/>
      <c r="F1760" s="187"/>
    </row>
    <row r="1761" spans="1:6" x14ac:dyDescent="0.2">
      <c r="A1761" s="275"/>
      <c r="B1761" s="78"/>
      <c r="C1761" s="189"/>
      <c r="D1761" s="185"/>
      <c r="E1761" s="186"/>
      <c r="F1761" s="187"/>
    </row>
    <row r="1762" spans="1:6" x14ac:dyDescent="0.2">
      <c r="A1762" s="275"/>
      <c r="B1762" s="78"/>
      <c r="C1762" s="189"/>
      <c r="D1762" s="185"/>
      <c r="E1762" s="186"/>
      <c r="F1762" s="187"/>
    </row>
    <row r="1763" spans="1:6" x14ac:dyDescent="0.2">
      <c r="A1763" s="275"/>
      <c r="B1763" s="78"/>
      <c r="C1763" s="189"/>
      <c r="D1763" s="185"/>
      <c r="E1763" s="186"/>
      <c r="F1763" s="187"/>
    </row>
    <row r="1764" spans="1:6" x14ac:dyDescent="0.2">
      <c r="A1764" s="275"/>
      <c r="B1764" s="78"/>
      <c r="C1764" s="189"/>
      <c r="D1764" s="185"/>
      <c r="E1764" s="186"/>
      <c r="F1764" s="187"/>
    </row>
    <row r="1765" spans="1:6" x14ac:dyDescent="0.2">
      <c r="A1765" s="275"/>
      <c r="B1765" s="78"/>
      <c r="C1765" s="189"/>
      <c r="D1765" s="185"/>
      <c r="E1765" s="186"/>
      <c r="F1765" s="187"/>
    </row>
    <row r="1766" spans="1:6" x14ac:dyDescent="0.2">
      <c r="A1766" s="275"/>
      <c r="B1766" s="78"/>
      <c r="C1766" s="189"/>
      <c r="D1766" s="185"/>
      <c r="E1766" s="186"/>
      <c r="F1766" s="187"/>
    </row>
    <row r="1767" spans="1:6" x14ac:dyDescent="0.2">
      <c r="A1767" s="275"/>
      <c r="B1767" s="78"/>
      <c r="C1767" s="189"/>
      <c r="D1767" s="185"/>
      <c r="E1767" s="186"/>
      <c r="F1767" s="187"/>
    </row>
    <row r="1768" spans="1:6" x14ac:dyDescent="0.2">
      <c r="A1768" s="275"/>
      <c r="B1768" s="78"/>
      <c r="C1768" s="189"/>
      <c r="D1768" s="185"/>
      <c r="E1768" s="186"/>
      <c r="F1768" s="187"/>
    </row>
    <row r="1769" spans="1:6" x14ac:dyDescent="0.2">
      <c r="A1769" s="275"/>
      <c r="B1769" s="78"/>
      <c r="C1769" s="189"/>
      <c r="D1769" s="185"/>
      <c r="E1769" s="186"/>
      <c r="F1769" s="187"/>
    </row>
    <row r="1770" spans="1:6" x14ac:dyDescent="0.2">
      <c r="A1770" s="275"/>
      <c r="B1770" s="78"/>
      <c r="C1770" s="189"/>
      <c r="D1770" s="185"/>
      <c r="E1770" s="186"/>
      <c r="F1770" s="187"/>
    </row>
    <row r="1771" spans="1:6" x14ac:dyDescent="0.2">
      <c r="A1771" s="275"/>
      <c r="B1771" s="78"/>
      <c r="C1771" s="189"/>
      <c r="D1771" s="185"/>
      <c r="E1771" s="186"/>
      <c r="F1771" s="187"/>
    </row>
    <row r="1772" spans="1:6" x14ac:dyDescent="0.2">
      <c r="A1772" s="275"/>
      <c r="B1772" s="78"/>
      <c r="C1772" s="189"/>
      <c r="D1772" s="185"/>
      <c r="E1772" s="186"/>
      <c r="F1772" s="187"/>
    </row>
    <row r="1773" spans="1:6" x14ac:dyDescent="0.2">
      <c r="A1773" s="275"/>
      <c r="B1773" s="78"/>
      <c r="C1773" s="189"/>
      <c r="D1773" s="185"/>
      <c r="E1773" s="186"/>
      <c r="F1773" s="187"/>
    </row>
    <row r="1774" spans="1:6" x14ac:dyDescent="0.2">
      <c r="A1774" s="275"/>
      <c r="B1774" s="78"/>
      <c r="C1774" s="189"/>
      <c r="D1774" s="185"/>
      <c r="E1774" s="186"/>
      <c r="F1774" s="187"/>
    </row>
    <row r="1775" spans="1:6" x14ac:dyDescent="0.2">
      <c r="A1775" s="275"/>
      <c r="B1775" s="78"/>
      <c r="C1775" s="189"/>
      <c r="D1775" s="185"/>
      <c r="E1775" s="186"/>
      <c r="F1775" s="187"/>
    </row>
    <row r="1776" spans="1:6" x14ac:dyDescent="0.2">
      <c r="A1776" s="275"/>
      <c r="B1776" s="78"/>
      <c r="C1776" s="189"/>
      <c r="D1776" s="185"/>
      <c r="E1776" s="186"/>
      <c r="F1776" s="187"/>
    </row>
    <row r="1777" spans="1:6" x14ac:dyDescent="0.2">
      <c r="A1777" s="275"/>
      <c r="B1777" s="78"/>
      <c r="C1777" s="189"/>
      <c r="D1777" s="185"/>
      <c r="E1777" s="186"/>
      <c r="F1777" s="187"/>
    </row>
    <row r="1778" spans="1:6" x14ac:dyDescent="0.2">
      <c r="A1778" s="275"/>
      <c r="B1778" s="78"/>
      <c r="C1778" s="189"/>
      <c r="D1778" s="185"/>
      <c r="E1778" s="186"/>
      <c r="F1778" s="187"/>
    </row>
    <row r="1779" spans="1:6" x14ac:dyDescent="0.2">
      <c r="A1779" s="275"/>
      <c r="B1779" s="78"/>
      <c r="C1779" s="189"/>
      <c r="D1779" s="185"/>
      <c r="E1779" s="186"/>
      <c r="F1779" s="187"/>
    </row>
    <row r="1780" spans="1:6" x14ac:dyDescent="0.2">
      <c r="A1780" s="275"/>
      <c r="B1780" s="78"/>
      <c r="C1780" s="189"/>
      <c r="D1780" s="185"/>
      <c r="E1780" s="186"/>
      <c r="F1780" s="187"/>
    </row>
    <row r="1781" spans="1:6" x14ac:dyDescent="0.2">
      <c r="A1781" s="275"/>
      <c r="B1781" s="78"/>
      <c r="C1781" s="189"/>
      <c r="D1781" s="185"/>
      <c r="E1781" s="186"/>
      <c r="F1781" s="187"/>
    </row>
    <row r="1782" spans="1:6" x14ac:dyDescent="0.2">
      <c r="A1782" s="275"/>
      <c r="B1782" s="78"/>
      <c r="C1782" s="189"/>
      <c r="D1782" s="185"/>
      <c r="E1782" s="186"/>
      <c r="F1782" s="187"/>
    </row>
    <row r="1783" spans="1:6" x14ac:dyDescent="0.2">
      <c r="A1783" s="275"/>
      <c r="B1783" s="78"/>
      <c r="C1783" s="189"/>
      <c r="D1783" s="185"/>
      <c r="E1783" s="186"/>
      <c r="F1783" s="187"/>
    </row>
    <row r="1784" spans="1:6" x14ac:dyDescent="0.2">
      <c r="A1784" s="275"/>
      <c r="B1784" s="78"/>
      <c r="C1784" s="189"/>
      <c r="D1784" s="185"/>
      <c r="E1784" s="186"/>
      <c r="F1784" s="187"/>
    </row>
    <row r="1785" spans="1:6" x14ac:dyDescent="0.2">
      <c r="A1785" s="275"/>
      <c r="B1785" s="78"/>
      <c r="C1785" s="189"/>
      <c r="D1785" s="185"/>
      <c r="E1785" s="186"/>
      <c r="F1785" s="187"/>
    </row>
    <row r="1786" spans="1:6" x14ac:dyDescent="0.2">
      <c r="A1786" s="275"/>
      <c r="B1786" s="78"/>
      <c r="C1786" s="189"/>
      <c r="D1786" s="185"/>
      <c r="E1786" s="186"/>
      <c r="F1786" s="187"/>
    </row>
    <row r="1787" spans="1:6" x14ac:dyDescent="0.2">
      <c r="A1787" s="275"/>
      <c r="B1787" s="78"/>
      <c r="C1787" s="189"/>
      <c r="D1787" s="185"/>
      <c r="E1787" s="186"/>
      <c r="F1787" s="187"/>
    </row>
    <row r="1788" spans="1:6" x14ac:dyDescent="0.2">
      <c r="A1788" s="275"/>
      <c r="B1788" s="78"/>
      <c r="C1788" s="189"/>
      <c r="D1788" s="185"/>
      <c r="E1788" s="186"/>
      <c r="F1788" s="187"/>
    </row>
    <row r="1789" spans="1:6" x14ac:dyDescent="0.2">
      <c r="A1789" s="275"/>
      <c r="B1789" s="78"/>
      <c r="C1789" s="189"/>
      <c r="D1789" s="185"/>
      <c r="E1789" s="186"/>
      <c r="F1789" s="187"/>
    </row>
    <row r="1790" spans="1:6" x14ac:dyDescent="0.2">
      <c r="A1790" s="275"/>
      <c r="B1790" s="78"/>
      <c r="C1790" s="189"/>
      <c r="D1790" s="185"/>
      <c r="E1790" s="186"/>
      <c r="F1790" s="187"/>
    </row>
    <row r="1791" spans="1:6" x14ac:dyDescent="0.2">
      <c r="A1791" s="275"/>
      <c r="B1791" s="78"/>
      <c r="C1791" s="189"/>
      <c r="D1791" s="185"/>
      <c r="E1791" s="186"/>
      <c r="F1791" s="187"/>
    </row>
    <row r="1792" spans="1:6" x14ac:dyDescent="0.2">
      <c r="A1792" s="275"/>
      <c r="B1792" s="78"/>
      <c r="C1792" s="189"/>
      <c r="D1792" s="185"/>
      <c r="E1792" s="186"/>
      <c r="F1792" s="187"/>
    </row>
    <row r="1793" spans="1:6" x14ac:dyDescent="0.2">
      <c r="A1793" s="275"/>
      <c r="B1793" s="78"/>
      <c r="C1793" s="189"/>
      <c r="D1793" s="185"/>
      <c r="E1793" s="186"/>
      <c r="F1793" s="187"/>
    </row>
    <row r="1794" spans="1:6" x14ac:dyDescent="0.2">
      <c r="A1794" s="275"/>
      <c r="B1794" s="78"/>
      <c r="C1794" s="189"/>
      <c r="D1794" s="185"/>
      <c r="E1794" s="186"/>
      <c r="F1794" s="187"/>
    </row>
    <row r="1795" spans="1:6" x14ac:dyDescent="0.2">
      <c r="A1795" s="275"/>
      <c r="B1795" s="78"/>
      <c r="C1795" s="189"/>
      <c r="D1795" s="185"/>
      <c r="E1795" s="186"/>
      <c r="F1795" s="187"/>
    </row>
    <row r="1796" spans="1:6" x14ac:dyDescent="0.2">
      <c r="A1796" s="275"/>
      <c r="B1796" s="78"/>
      <c r="C1796" s="189"/>
      <c r="D1796" s="185"/>
      <c r="E1796" s="186"/>
      <c r="F1796" s="187"/>
    </row>
    <row r="1797" spans="1:6" x14ac:dyDescent="0.2">
      <c r="A1797" s="275"/>
      <c r="B1797" s="78"/>
      <c r="C1797" s="189"/>
      <c r="D1797" s="185"/>
      <c r="E1797" s="186"/>
      <c r="F1797" s="187"/>
    </row>
    <row r="1798" spans="1:6" x14ac:dyDescent="0.2">
      <c r="A1798" s="275"/>
      <c r="B1798" s="78"/>
      <c r="C1798" s="189"/>
      <c r="D1798" s="185"/>
      <c r="E1798" s="186"/>
      <c r="F1798" s="187"/>
    </row>
    <row r="1799" spans="1:6" x14ac:dyDescent="0.2">
      <c r="A1799" s="275"/>
      <c r="B1799" s="78"/>
      <c r="C1799" s="189"/>
      <c r="D1799" s="185"/>
      <c r="E1799" s="186"/>
      <c r="F1799" s="187"/>
    </row>
    <row r="1800" spans="1:6" x14ac:dyDescent="0.2">
      <c r="A1800" s="275"/>
      <c r="B1800" s="78"/>
      <c r="C1800" s="189"/>
      <c r="D1800" s="185"/>
      <c r="E1800" s="186"/>
      <c r="F1800" s="187"/>
    </row>
    <row r="1801" spans="1:6" x14ac:dyDescent="0.2">
      <c r="A1801" s="275"/>
      <c r="B1801" s="78"/>
      <c r="C1801" s="189"/>
      <c r="D1801" s="185"/>
      <c r="E1801" s="186"/>
      <c r="F1801" s="187"/>
    </row>
    <row r="1802" spans="1:6" x14ac:dyDescent="0.2">
      <c r="A1802" s="275"/>
      <c r="B1802" s="78"/>
      <c r="C1802" s="189"/>
      <c r="D1802" s="185"/>
      <c r="E1802" s="186"/>
      <c r="F1802" s="187"/>
    </row>
    <row r="1803" spans="1:6" x14ac:dyDescent="0.2">
      <c r="A1803" s="275"/>
      <c r="B1803" s="78"/>
      <c r="C1803" s="189"/>
      <c r="D1803" s="185"/>
      <c r="E1803" s="186"/>
      <c r="F1803" s="187"/>
    </row>
    <row r="1804" spans="1:6" x14ac:dyDescent="0.2">
      <c r="A1804" s="275"/>
      <c r="B1804" s="78"/>
      <c r="C1804" s="189"/>
      <c r="D1804" s="185"/>
      <c r="E1804" s="186"/>
      <c r="F1804" s="187"/>
    </row>
    <row r="1805" spans="1:6" x14ac:dyDescent="0.2">
      <c r="A1805" s="275"/>
      <c r="B1805" s="78"/>
      <c r="C1805" s="189"/>
      <c r="D1805" s="185"/>
      <c r="E1805" s="186"/>
      <c r="F1805" s="187"/>
    </row>
    <row r="1806" spans="1:6" x14ac:dyDescent="0.2">
      <c r="A1806" s="275"/>
      <c r="B1806" s="78"/>
      <c r="C1806" s="189"/>
      <c r="D1806" s="185"/>
      <c r="E1806" s="186"/>
      <c r="F1806" s="187"/>
    </row>
    <row r="1807" spans="1:6" x14ac:dyDescent="0.2">
      <c r="A1807" s="275"/>
      <c r="B1807" s="78"/>
      <c r="C1807" s="189"/>
      <c r="D1807" s="185"/>
      <c r="E1807" s="186"/>
      <c r="F1807" s="187"/>
    </row>
    <row r="1808" spans="1:6" x14ac:dyDescent="0.2">
      <c r="A1808" s="275"/>
      <c r="B1808" s="78"/>
      <c r="C1808" s="189"/>
      <c r="D1808" s="185"/>
      <c r="E1808" s="186"/>
      <c r="F1808" s="187"/>
    </row>
    <row r="1809" spans="1:6" x14ac:dyDescent="0.2">
      <c r="A1809" s="275"/>
      <c r="B1809" s="78"/>
      <c r="C1809" s="189"/>
      <c r="D1809" s="185"/>
      <c r="E1809" s="186"/>
      <c r="F1809" s="187"/>
    </row>
    <row r="1810" spans="1:6" x14ac:dyDescent="0.2">
      <c r="A1810" s="275"/>
      <c r="B1810" s="78"/>
      <c r="C1810" s="189"/>
      <c r="D1810" s="185"/>
      <c r="E1810" s="186"/>
      <c r="F1810" s="187"/>
    </row>
    <row r="1811" spans="1:6" x14ac:dyDescent="0.2">
      <c r="A1811" s="275"/>
      <c r="B1811" s="78"/>
      <c r="C1811" s="189"/>
      <c r="D1811" s="185"/>
      <c r="E1811" s="186"/>
      <c r="F1811" s="187"/>
    </row>
    <row r="1812" spans="1:6" x14ac:dyDescent="0.2">
      <c r="A1812" s="275"/>
      <c r="B1812" s="78"/>
      <c r="C1812" s="189"/>
      <c r="D1812" s="185"/>
      <c r="E1812" s="186"/>
      <c r="F1812" s="187"/>
    </row>
    <row r="1813" spans="1:6" x14ac:dyDescent="0.2">
      <c r="A1813" s="275"/>
      <c r="B1813" s="78"/>
      <c r="C1813" s="189"/>
      <c r="D1813" s="185"/>
      <c r="E1813" s="186"/>
      <c r="F1813" s="187"/>
    </row>
    <row r="1814" spans="1:6" x14ac:dyDescent="0.2">
      <c r="A1814" s="275"/>
      <c r="B1814" s="78"/>
      <c r="C1814" s="189"/>
      <c r="D1814" s="185"/>
      <c r="E1814" s="186"/>
      <c r="F1814" s="187"/>
    </row>
    <row r="1815" spans="1:6" x14ac:dyDescent="0.2">
      <c r="A1815" s="275"/>
      <c r="B1815" s="78"/>
      <c r="C1815" s="189"/>
      <c r="D1815" s="185"/>
      <c r="E1815" s="186"/>
      <c r="F1815" s="187"/>
    </row>
    <row r="1816" spans="1:6" x14ac:dyDescent="0.2">
      <c r="A1816" s="275"/>
      <c r="B1816" s="78"/>
      <c r="C1816" s="189"/>
      <c r="D1816" s="185"/>
      <c r="E1816" s="186"/>
      <c r="F1816" s="187"/>
    </row>
    <row r="1817" spans="1:6" x14ac:dyDescent="0.2">
      <c r="A1817" s="275"/>
      <c r="B1817" s="78"/>
      <c r="C1817" s="189"/>
      <c r="D1817" s="185"/>
      <c r="E1817" s="186"/>
      <c r="F1817" s="187"/>
    </row>
    <row r="1818" spans="1:6" x14ac:dyDescent="0.2">
      <c r="A1818" s="275"/>
      <c r="B1818" s="78"/>
      <c r="C1818" s="189"/>
      <c r="D1818" s="185"/>
      <c r="E1818" s="186"/>
      <c r="F1818" s="187"/>
    </row>
    <row r="1819" spans="1:6" x14ac:dyDescent="0.2">
      <c r="A1819" s="275"/>
      <c r="B1819" s="78"/>
      <c r="C1819" s="189"/>
      <c r="D1819" s="185"/>
      <c r="E1819" s="186"/>
      <c r="F1819" s="187"/>
    </row>
    <row r="1820" spans="1:6" x14ac:dyDescent="0.2">
      <c r="A1820" s="275"/>
      <c r="B1820" s="78"/>
      <c r="C1820" s="189"/>
      <c r="D1820" s="185"/>
      <c r="E1820" s="186"/>
      <c r="F1820" s="187"/>
    </row>
    <row r="1821" spans="1:6" x14ac:dyDescent="0.2">
      <c r="A1821" s="275"/>
      <c r="B1821" s="78"/>
      <c r="C1821" s="189"/>
      <c r="D1821" s="185"/>
      <c r="E1821" s="186"/>
      <c r="F1821" s="187"/>
    </row>
    <row r="1822" spans="1:6" x14ac:dyDescent="0.2">
      <c r="A1822" s="275"/>
      <c r="B1822" s="78"/>
      <c r="C1822" s="189"/>
      <c r="D1822" s="185"/>
      <c r="E1822" s="186"/>
      <c r="F1822" s="187"/>
    </row>
    <row r="1823" spans="1:6" x14ac:dyDescent="0.2">
      <c r="A1823" s="275"/>
      <c r="B1823" s="78"/>
      <c r="C1823" s="189"/>
      <c r="D1823" s="185"/>
      <c r="E1823" s="186"/>
      <c r="F1823" s="187"/>
    </row>
    <row r="1824" spans="1:6" x14ac:dyDescent="0.2">
      <c r="A1824" s="275"/>
      <c r="B1824" s="78"/>
      <c r="C1824" s="189"/>
      <c r="D1824" s="185"/>
      <c r="E1824" s="186"/>
      <c r="F1824" s="187"/>
    </row>
    <row r="1825" spans="1:6" x14ac:dyDescent="0.2">
      <c r="A1825" s="275"/>
      <c r="B1825" s="78"/>
      <c r="C1825" s="189"/>
      <c r="D1825" s="185"/>
      <c r="E1825" s="186"/>
      <c r="F1825" s="187"/>
    </row>
    <row r="1826" spans="1:6" x14ac:dyDescent="0.2">
      <c r="A1826" s="275"/>
      <c r="B1826" s="78"/>
      <c r="C1826" s="189"/>
      <c r="D1826" s="185"/>
      <c r="E1826" s="186"/>
      <c r="F1826" s="187"/>
    </row>
    <row r="1827" spans="1:6" x14ac:dyDescent="0.2">
      <c r="A1827" s="275"/>
      <c r="B1827" s="78"/>
      <c r="C1827" s="189"/>
      <c r="D1827" s="185"/>
      <c r="E1827" s="186"/>
      <c r="F1827" s="187"/>
    </row>
    <row r="1828" spans="1:6" x14ac:dyDescent="0.2">
      <c r="A1828" s="275"/>
      <c r="B1828" s="78"/>
      <c r="C1828" s="189"/>
      <c r="D1828" s="185"/>
      <c r="E1828" s="186"/>
      <c r="F1828" s="187"/>
    </row>
    <row r="1829" spans="1:6" x14ac:dyDescent="0.2">
      <c r="A1829" s="275"/>
      <c r="B1829" s="78"/>
      <c r="C1829" s="189"/>
      <c r="D1829" s="185"/>
      <c r="E1829" s="186"/>
      <c r="F1829" s="187"/>
    </row>
    <row r="1830" spans="1:6" x14ac:dyDescent="0.2">
      <c r="A1830" s="275"/>
      <c r="B1830" s="78"/>
      <c r="C1830" s="189"/>
      <c r="D1830" s="185"/>
      <c r="E1830" s="186"/>
      <c r="F1830" s="187"/>
    </row>
    <row r="1831" spans="1:6" x14ac:dyDescent="0.2">
      <c r="A1831" s="275"/>
      <c r="B1831" s="78"/>
      <c r="C1831" s="189"/>
      <c r="D1831" s="185"/>
      <c r="E1831" s="186"/>
      <c r="F1831" s="187"/>
    </row>
    <row r="1832" spans="1:6" x14ac:dyDescent="0.2">
      <c r="A1832" s="275"/>
      <c r="B1832" s="78"/>
      <c r="C1832" s="189"/>
      <c r="D1832" s="185"/>
      <c r="E1832" s="186"/>
      <c r="F1832" s="187"/>
    </row>
    <row r="1833" spans="1:6" x14ac:dyDescent="0.2">
      <c r="A1833" s="275"/>
      <c r="B1833" s="78"/>
      <c r="C1833" s="189"/>
      <c r="D1833" s="185"/>
      <c r="E1833" s="186"/>
      <c r="F1833" s="187"/>
    </row>
    <row r="1834" spans="1:6" x14ac:dyDescent="0.2">
      <c r="A1834" s="275"/>
      <c r="B1834" s="78"/>
      <c r="C1834" s="189"/>
      <c r="D1834" s="185"/>
      <c r="E1834" s="186"/>
      <c r="F1834" s="187"/>
    </row>
    <row r="1835" spans="1:6" x14ac:dyDescent="0.2">
      <c r="A1835" s="275"/>
      <c r="B1835" s="78"/>
      <c r="C1835" s="189"/>
      <c r="D1835" s="185"/>
      <c r="E1835" s="186"/>
      <c r="F1835" s="187"/>
    </row>
    <row r="1836" spans="1:6" x14ac:dyDescent="0.2">
      <c r="A1836" s="275"/>
      <c r="B1836" s="78"/>
      <c r="C1836" s="189"/>
      <c r="D1836" s="185"/>
      <c r="E1836" s="186"/>
      <c r="F1836" s="187"/>
    </row>
    <row r="1837" spans="1:6" x14ac:dyDescent="0.2">
      <c r="A1837" s="275"/>
      <c r="B1837" s="78"/>
      <c r="C1837" s="189"/>
      <c r="D1837" s="185"/>
      <c r="E1837" s="186"/>
      <c r="F1837" s="187"/>
    </row>
    <row r="1838" spans="1:6" x14ac:dyDescent="0.2">
      <c r="A1838" s="275"/>
      <c r="B1838" s="78"/>
      <c r="C1838" s="189"/>
      <c r="D1838" s="185"/>
      <c r="E1838" s="186"/>
      <c r="F1838" s="187"/>
    </row>
    <row r="1839" spans="1:6" x14ac:dyDescent="0.2">
      <c r="A1839" s="275"/>
      <c r="B1839" s="78"/>
      <c r="C1839" s="189"/>
      <c r="D1839" s="185"/>
      <c r="E1839" s="186"/>
      <c r="F1839" s="187"/>
    </row>
    <row r="1840" spans="1:6" x14ac:dyDescent="0.2">
      <c r="A1840" s="275"/>
      <c r="B1840" s="78"/>
      <c r="C1840" s="189"/>
      <c r="D1840" s="185"/>
      <c r="E1840" s="186"/>
      <c r="F1840" s="187"/>
    </row>
    <row r="1841" spans="1:6" x14ac:dyDescent="0.2">
      <c r="A1841" s="275"/>
      <c r="B1841" s="78"/>
      <c r="C1841" s="189"/>
      <c r="D1841" s="185"/>
      <c r="E1841" s="186"/>
      <c r="F1841" s="187"/>
    </row>
    <row r="1842" spans="1:6" x14ac:dyDescent="0.2">
      <c r="A1842" s="275"/>
      <c r="B1842" s="78"/>
      <c r="C1842" s="189"/>
      <c r="D1842" s="185"/>
      <c r="E1842" s="186"/>
      <c r="F1842" s="187"/>
    </row>
    <row r="1843" spans="1:6" x14ac:dyDescent="0.2">
      <c r="A1843" s="275"/>
      <c r="B1843" s="78"/>
      <c r="C1843" s="189"/>
      <c r="D1843" s="185"/>
      <c r="E1843" s="186"/>
      <c r="F1843" s="187"/>
    </row>
    <row r="1844" spans="1:6" x14ac:dyDescent="0.2">
      <c r="A1844" s="275"/>
      <c r="B1844" s="78"/>
      <c r="C1844" s="189"/>
      <c r="D1844" s="185"/>
      <c r="E1844" s="186"/>
      <c r="F1844" s="187"/>
    </row>
    <row r="1845" spans="1:6" x14ac:dyDescent="0.2">
      <c r="A1845" s="275"/>
      <c r="B1845" s="78"/>
      <c r="C1845" s="189"/>
      <c r="D1845" s="185"/>
      <c r="E1845" s="186"/>
      <c r="F1845" s="187"/>
    </row>
    <row r="1846" spans="1:6" x14ac:dyDescent="0.2">
      <c r="A1846" s="275"/>
      <c r="B1846" s="78"/>
      <c r="C1846" s="189"/>
      <c r="D1846" s="185"/>
      <c r="E1846" s="186"/>
      <c r="F1846" s="187"/>
    </row>
    <row r="1847" spans="1:6" x14ac:dyDescent="0.2">
      <c r="A1847" s="275"/>
      <c r="B1847" s="78"/>
      <c r="C1847" s="189"/>
      <c r="D1847" s="185"/>
      <c r="E1847" s="186"/>
      <c r="F1847" s="187"/>
    </row>
    <row r="1848" spans="1:6" x14ac:dyDescent="0.2">
      <c r="A1848" s="275"/>
      <c r="B1848" s="78"/>
      <c r="C1848" s="189"/>
      <c r="D1848" s="185"/>
      <c r="E1848" s="186"/>
      <c r="F1848" s="187"/>
    </row>
    <row r="1849" spans="1:6" x14ac:dyDescent="0.2">
      <c r="A1849" s="275"/>
      <c r="B1849" s="78"/>
      <c r="C1849" s="189"/>
      <c r="D1849" s="185"/>
      <c r="E1849" s="186"/>
      <c r="F1849" s="187"/>
    </row>
    <row r="1850" spans="1:6" x14ac:dyDescent="0.2">
      <c r="A1850" s="275"/>
      <c r="B1850" s="78"/>
      <c r="C1850" s="189"/>
      <c r="D1850" s="185"/>
      <c r="E1850" s="186"/>
      <c r="F1850" s="187"/>
    </row>
    <row r="1851" spans="1:6" x14ac:dyDescent="0.2">
      <c r="A1851" s="275"/>
      <c r="B1851" s="78"/>
      <c r="C1851" s="189"/>
      <c r="D1851" s="185"/>
      <c r="E1851" s="186"/>
      <c r="F1851" s="187"/>
    </row>
    <row r="1852" spans="1:6" x14ac:dyDescent="0.2">
      <c r="A1852" s="275"/>
      <c r="B1852" s="78"/>
      <c r="C1852" s="189"/>
      <c r="D1852" s="185"/>
      <c r="E1852" s="186"/>
      <c r="F1852" s="187"/>
    </row>
    <row r="1853" spans="1:6" x14ac:dyDescent="0.2">
      <c r="A1853" s="275"/>
      <c r="B1853" s="78"/>
      <c r="C1853" s="189"/>
      <c r="D1853" s="185"/>
      <c r="E1853" s="186"/>
      <c r="F1853" s="187"/>
    </row>
    <row r="1854" spans="1:6" x14ac:dyDescent="0.2">
      <c r="A1854" s="275"/>
      <c r="B1854" s="78"/>
      <c r="C1854" s="189"/>
      <c r="D1854" s="185"/>
      <c r="E1854" s="186"/>
      <c r="F1854" s="187"/>
    </row>
    <row r="1855" spans="1:6" x14ac:dyDescent="0.2">
      <c r="A1855" s="275"/>
      <c r="B1855" s="78"/>
      <c r="C1855" s="189"/>
      <c r="D1855" s="185"/>
      <c r="E1855" s="186"/>
      <c r="F1855" s="187"/>
    </row>
    <row r="1856" spans="1:6" x14ac:dyDescent="0.2">
      <c r="A1856" s="275"/>
      <c r="B1856" s="78"/>
      <c r="C1856" s="189"/>
      <c r="D1856" s="185"/>
      <c r="E1856" s="186"/>
      <c r="F1856" s="187"/>
    </row>
    <row r="1857" spans="1:6" x14ac:dyDescent="0.2">
      <c r="A1857" s="275"/>
      <c r="B1857" s="78"/>
      <c r="C1857" s="189"/>
      <c r="D1857" s="185"/>
      <c r="E1857" s="186"/>
      <c r="F1857" s="187"/>
    </row>
    <row r="1858" spans="1:6" x14ac:dyDescent="0.2">
      <c r="A1858" s="275"/>
      <c r="B1858" s="78"/>
      <c r="C1858" s="189"/>
      <c r="D1858" s="185"/>
      <c r="E1858" s="186"/>
      <c r="F1858" s="187"/>
    </row>
    <row r="1859" spans="1:6" x14ac:dyDescent="0.2">
      <c r="A1859" s="275"/>
      <c r="B1859" s="78"/>
      <c r="C1859" s="189"/>
      <c r="D1859" s="185"/>
      <c r="E1859" s="186"/>
      <c r="F1859" s="187"/>
    </row>
    <row r="1860" spans="1:6" x14ac:dyDescent="0.2">
      <c r="A1860" s="275"/>
      <c r="B1860" s="78"/>
      <c r="C1860" s="189"/>
      <c r="D1860" s="185"/>
      <c r="E1860" s="186"/>
      <c r="F1860" s="187"/>
    </row>
    <row r="1861" spans="1:6" x14ac:dyDescent="0.2">
      <c r="A1861" s="275"/>
      <c r="B1861" s="78"/>
      <c r="C1861" s="189"/>
      <c r="D1861" s="185"/>
      <c r="E1861" s="186"/>
      <c r="F1861" s="187"/>
    </row>
    <row r="1862" spans="1:6" x14ac:dyDescent="0.2">
      <c r="A1862" s="275"/>
      <c r="B1862" s="78"/>
      <c r="C1862" s="189"/>
      <c r="D1862" s="185"/>
      <c r="E1862" s="186"/>
      <c r="F1862" s="187"/>
    </row>
    <row r="1863" spans="1:6" x14ac:dyDescent="0.2">
      <c r="A1863" s="275"/>
      <c r="B1863" s="78"/>
      <c r="C1863" s="189"/>
      <c r="D1863" s="185"/>
      <c r="E1863" s="186"/>
      <c r="F1863" s="187"/>
    </row>
    <row r="1864" spans="1:6" x14ac:dyDescent="0.2">
      <c r="A1864" s="275"/>
      <c r="B1864" s="78"/>
      <c r="C1864" s="189"/>
      <c r="D1864" s="185"/>
      <c r="E1864" s="186"/>
      <c r="F1864" s="187"/>
    </row>
    <row r="1865" spans="1:6" x14ac:dyDescent="0.2">
      <c r="A1865" s="275"/>
      <c r="B1865" s="78"/>
      <c r="C1865" s="189"/>
      <c r="D1865" s="185"/>
      <c r="E1865" s="186"/>
      <c r="F1865" s="187"/>
    </row>
    <row r="1866" spans="1:6" x14ac:dyDescent="0.2">
      <c r="A1866" s="275"/>
      <c r="B1866" s="78"/>
      <c r="C1866" s="189"/>
      <c r="D1866" s="185"/>
      <c r="E1866" s="186"/>
      <c r="F1866" s="187"/>
    </row>
    <row r="1867" spans="1:6" x14ac:dyDescent="0.2">
      <c r="A1867" s="275"/>
      <c r="B1867" s="78"/>
      <c r="C1867" s="189"/>
      <c r="D1867" s="185"/>
      <c r="E1867" s="186"/>
      <c r="F1867" s="187"/>
    </row>
    <row r="1868" spans="1:6" x14ac:dyDescent="0.2">
      <c r="A1868" s="275"/>
      <c r="B1868" s="78"/>
      <c r="C1868" s="189"/>
      <c r="D1868" s="185"/>
      <c r="E1868" s="186"/>
      <c r="F1868" s="187"/>
    </row>
    <row r="1869" spans="1:6" x14ac:dyDescent="0.2">
      <c r="A1869" s="275"/>
      <c r="B1869" s="78"/>
      <c r="C1869" s="189"/>
      <c r="D1869" s="185"/>
      <c r="E1869" s="186"/>
      <c r="F1869" s="187"/>
    </row>
    <row r="1870" spans="1:6" x14ac:dyDescent="0.2">
      <c r="A1870" s="275"/>
      <c r="B1870" s="78"/>
      <c r="C1870" s="189"/>
      <c r="D1870" s="185"/>
      <c r="E1870" s="186"/>
      <c r="F1870" s="187"/>
    </row>
    <row r="1871" spans="1:6" x14ac:dyDescent="0.2">
      <c r="A1871" s="275"/>
      <c r="B1871" s="78"/>
      <c r="C1871" s="189"/>
      <c r="D1871" s="185"/>
      <c r="E1871" s="186"/>
      <c r="F1871" s="187"/>
    </row>
    <row r="1872" spans="1:6" x14ac:dyDescent="0.2">
      <c r="A1872" s="275"/>
      <c r="B1872" s="78"/>
      <c r="C1872" s="189"/>
      <c r="D1872" s="185"/>
      <c r="E1872" s="186"/>
      <c r="F1872" s="187"/>
    </row>
    <row r="1873" spans="1:6" x14ac:dyDescent="0.2">
      <c r="A1873" s="275"/>
      <c r="B1873" s="78"/>
      <c r="C1873" s="189"/>
      <c r="D1873" s="185"/>
      <c r="E1873" s="186"/>
      <c r="F1873" s="187"/>
    </row>
    <row r="1874" spans="1:6" x14ac:dyDescent="0.2">
      <c r="A1874" s="275"/>
      <c r="B1874" s="78"/>
      <c r="C1874" s="189"/>
      <c r="D1874" s="185"/>
      <c r="E1874" s="186"/>
      <c r="F1874" s="187"/>
    </row>
    <row r="1875" spans="1:6" x14ac:dyDescent="0.2">
      <c r="A1875" s="275"/>
      <c r="B1875" s="78"/>
      <c r="C1875" s="189"/>
      <c r="D1875" s="185"/>
      <c r="E1875" s="186"/>
      <c r="F1875" s="187"/>
    </row>
    <row r="1876" spans="1:6" x14ac:dyDescent="0.2">
      <c r="A1876" s="275"/>
      <c r="B1876" s="78"/>
      <c r="C1876" s="189"/>
      <c r="D1876" s="185"/>
      <c r="E1876" s="186"/>
      <c r="F1876" s="187"/>
    </row>
    <row r="1877" spans="1:6" x14ac:dyDescent="0.2">
      <c r="A1877" s="275"/>
      <c r="B1877" s="78"/>
      <c r="C1877" s="189"/>
      <c r="D1877" s="185"/>
      <c r="E1877" s="186"/>
      <c r="F1877" s="187"/>
    </row>
    <row r="1878" spans="1:6" x14ac:dyDescent="0.2">
      <c r="A1878" s="275"/>
      <c r="B1878" s="78"/>
      <c r="C1878" s="189"/>
      <c r="D1878" s="185"/>
      <c r="E1878" s="186"/>
      <c r="F1878" s="187"/>
    </row>
    <row r="1879" spans="1:6" x14ac:dyDescent="0.2">
      <c r="A1879" s="275"/>
      <c r="B1879" s="78"/>
      <c r="C1879" s="189"/>
      <c r="D1879" s="185"/>
      <c r="E1879" s="186"/>
      <c r="F1879" s="187"/>
    </row>
    <row r="1880" spans="1:6" x14ac:dyDescent="0.2">
      <c r="A1880" s="275"/>
      <c r="B1880" s="78"/>
      <c r="C1880" s="189"/>
      <c r="D1880" s="185"/>
      <c r="E1880" s="186"/>
      <c r="F1880" s="187"/>
    </row>
    <row r="1881" spans="1:6" x14ac:dyDescent="0.2">
      <c r="A1881" s="275"/>
      <c r="B1881" s="78"/>
      <c r="C1881" s="189"/>
      <c r="D1881" s="185"/>
      <c r="E1881" s="186"/>
      <c r="F1881" s="187"/>
    </row>
    <row r="1882" spans="1:6" x14ac:dyDescent="0.2">
      <c r="A1882" s="275"/>
      <c r="B1882" s="78"/>
      <c r="C1882" s="189"/>
      <c r="D1882" s="185"/>
      <c r="E1882" s="186"/>
      <c r="F1882" s="187"/>
    </row>
    <row r="1883" spans="1:6" x14ac:dyDescent="0.2">
      <c r="A1883" s="275"/>
      <c r="B1883" s="78"/>
      <c r="C1883" s="189"/>
      <c r="D1883" s="185"/>
      <c r="E1883" s="186"/>
      <c r="F1883" s="187"/>
    </row>
    <row r="1884" spans="1:6" x14ac:dyDescent="0.2">
      <c r="A1884" s="275"/>
      <c r="B1884" s="78"/>
      <c r="C1884" s="189"/>
      <c r="D1884" s="185"/>
      <c r="E1884" s="186"/>
      <c r="F1884" s="187"/>
    </row>
    <row r="1885" spans="1:6" x14ac:dyDescent="0.2">
      <c r="A1885" s="275"/>
      <c r="B1885" s="78"/>
      <c r="C1885" s="189"/>
      <c r="D1885" s="185"/>
      <c r="E1885" s="186"/>
      <c r="F1885" s="187"/>
    </row>
    <row r="1886" spans="1:6" x14ac:dyDescent="0.2">
      <c r="A1886" s="275"/>
      <c r="B1886" s="78"/>
      <c r="C1886" s="189"/>
      <c r="D1886" s="185"/>
      <c r="E1886" s="186"/>
      <c r="F1886" s="187"/>
    </row>
    <row r="1887" spans="1:6" x14ac:dyDescent="0.2">
      <c r="A1887" s="275"/>
      <c r="B1887" s="78"/>
      <c r="C1887" s="189"/>
      <c r="D1887" s="185"/>
      <c r="E1887" s="186"/>
      <c r="F1887" s="187"/>
    </row>
    <row r="1888" spans="1:6" x14ac:dyDescent="0.2">
      <c r="A1888" s="275"/>
      <c r="B1888" s="78"/>
      <c r="C1888" s="189"/>
      <c r="D1888" s="185"/>
      <c r="E1888" s="186"/>
      <c r="F1888" s="187"/>
    </row>
    <row r="1889" spans="1:6" x14ac:dyDescent="0.2">
      <c r="A1889" s="275"/>
      <c r="B1889" s="78"/>
      <c r="C1889" s="189"/>
      <c r="D1889" s="185"/>
      <c r="E1889" s="186"/>
      <c r="F1889" s="187"/>
    </row>
    <row r="1890" spans="1:6" x14ac:dyDescent="0.2">
      <c r="A1890" s="275"/>
      <c r="B1890" s="78"/>
      <c r="C1890" s="189"/>
      <c r="D1890" s="185"/>
      <c r="E1890" s="186"/>
      <c r="F1890" s="187"/>
    </row>
    <row r="1891" spans="1:6" x14ac:dyDescent="0.2">
      <c r="A1891" s="275"/>
      <c r="B1891" s="78"/>
      <c r="C1891" s="189"/>
      <c r="D1891" s="185"/>
      <c r="E1891" s="186"/>
      <c r="F1891" s="187"/>
    </row>
    <row r="1892" spans="1:6" x14ac:dyDescent="0.2">
      <c r="A1892" s="275"/>
      <c r="B1892" s="78"/>
      <c r="C1892" s="189"/>
      <c r="D1892" s="185"/>
      <c r="E1892" s="186"/>
      <c r="F1892" s="187"/>
    </row>
    <row r="1893" spans="1:6" x14ac:dyDescent="0.2">
      <c r="A1893" s="275"/>
      <c r="B1893" s="78"/>
      <c r="C1893" s="189"/>
      <c r="D1893" s="185"/>
      <c r="E1893" s="186"/>
      <c r="F1893" s="187"/>
    </row>
    <row r="1894" spans="1:6" x14ac:dyDescent="0.2">
      <c r="A1894" s="275"/>
      <c r="B1894" s="78"/>
      <c r="C1894" s="189"/>
      <c r="D1894" s="185"/>
      <c r="E1894" s="186"/>
      <c r="F1894" s="187"/>
    </row>
    <row r="1895" spans="1:6" x14ac:dyDescent="0.2">
      <c r="A1895" s="275"/>
      <c r="B1895" s="78"/>
      <c r="C1895" s="189"/>
      <c r="D1895" s="185"/>
      <c r="E1895" s="186"/>
      <c r="F1895" s="187"/>
    </row>
    <row r="1896" spans="1:6" x14ac:dyDescent="0.2">
      <c r="A1896" s="275"/>
      <c r="B1896" s="78"/>
      <c r="C1896" s="189"/>
      <c r="D1896" s="185"/>
      <c r="E1896" s="186"/>
      <c r="F1896" s="187"/>
    </row>
    <row r="1897" spans="1:6" x14ac:dyDescent="0.2">
      <c r="A1897" s="275"/>
      <c r="B1897" s="78"/>
      <c r="C1897" s="189"/>
      <c r="D1897" s="185"/>
      <c r="E1897" s="186"/>
      <c r="F1897" s="187"/>
    </row>
    <row r="1898" spans="1:6" x14ac:dyDescent="0.2">
      <c r="A1898" s="275"/>
      <c r="B1898" s="78"/>
      <c r="C1898" s="189"/>
      <c r="D1898" s="185"/>
      <c r="E1898" s="186"/>
      <c r="F1898" s="187"/>
    </row>
    <row r="1899" spans="1:6" x14ac:dyDescent="0.2">
      <c r="A1899" s="275"/>
      <c r="B1899" s="78"/>
      <c r="C1899" s="189"/>
      <c r="D1899" s="185"/>
      <c r="E1899" s="186"/>
      <c r="F1899" s="187"/>
    </row>
    <row r="1900" spans="1:6" x14ac:dyDescent="0.2">
      <c r="A1900" s="275"/>
      <c r="B1900" s="78"/>
      <c r="C1900" s="189"/>
      <c r="D1900" s="185"/>
      <c r="E1900" s="186"/>
      <c r="F1900" s="187"/>
    </row>
    <row r="1901" spans="1:6" x14ac:dyDescent="0.2">
      <c r="A1901" s="275"/>
      <c r="B1901" s="78"/>
      <c r="C1901" s="189"/>
      <c r="D1901" s="185"/>
      <c r="E1901" s="186"/>
      <c r="F1901" s="187"/>
    </row>
    <row r="1902" spans="1:6" x14ac:dyDescent="0.2">
      <c r="A1902" s="275"/>
      <c r="B1902" s="78"/>
      <c r="C1902" s="189"/>
      <c r="D1902" s="185"/>
      <c r="E1902" s="186"/>
      <c r="F1902" s="187"/>
    </row>
    <row r="1903" spans="1:6" x14ac:dyDescent="0.2">
      <c r="A1903" s="275"/>
      <c r="B1903" s="78"/>
      <c r="C1903" s="189"/>
      <c r="D1903" s="185"/>
      <c r="E1903" s="186"/>
      <c r="F1903" s="187"/>
    </row>
    <row r="1904" spans="1:6" x14ac:dyDescent="0.2">
      <c r="A1904" s="275"/>
      <c r="B1904" s="78"/>
      <c r="C1904" s="189"/>
      <c r="D1904" s="185"/>
      <c r="E1904" s="186"/>
      <c r="F1904" s="187"/>
    </row>
    <row r="1905" spans="1:6" x14ac:dyDescent="0.2">
      <c r="A1905" s="275"/>
      <c r="B1905" s="78"/>
      <c r="C1905" s="189"/>
      <c r="D1905" s="185"/>
      <c r="E1905" s="186"/>
      <c r="F1905" s="187"/>
    </row>
    <row r="1906" spans="1:6" x14ac:dyDescent="0.2">
      <c r="A1906" s="275"/>
      <c r="B1906" s="78"/>
      <c r="C1906" s="189"/>
      <c r="D1906" s="185"/>
      <c r="E1906" s="186"/>
      <c r="F1906" s="187"/>
    </row>
    <row r="1907" spans="1:6" x14ac:dyDescent="0.2">
      <c r="A1907" s="275"/>
      <c r="B1907" s="78"/>
      <c r="C1907" s="189"/>
      <c r="D1907" s="185"/>
      <c r="E1907" s="186"/>
      <c r="F1907" s="187"/>
    </row>
    <row r="1908" spans="1:6" x14ac:dyDescent="0.2">
      <c r="A1908" s="275"/>
      <c r="B1908" s="78"/>
      <c r="C1908" s="189"/>
      <c r="D1908" s="185"/>
      <c r="E1908" s="186"/>
      <c r="F1908" s="187"/>
    </row>
    <row r="1909" spans="1:6" x14ac:dyDescent="0.2">
      <c r="A1909" s="275"/>
      <c r="B1909" s="78"/>
      <c r="C1909" s="189"/>
      <c r="D1909" s="185"/>
      <c r="E1909" s="186"/>
      <c r="F1909" s="187"/>
    </row>
    <row r="1910" spans="1:6" x14ac:dyDescent="0.2">
      <c r="A1910" s="275"/>
      <c r="B1910" s="78"/>
      <c r="C1910" s="189"/>
      <c r="D1910" s="185"/>
      <c r="E1910" s="186"/>
      <c r="F1910" s="187"/>
    </row>
    <row r="1911" spans="1:6" x14ac:dyDescent="0.2">
      <c r="A1911" s="275"/>
      <c r="B1911" s="78"/>
      <c r="C1911" s="189"/>
      <c r="D1911" s="185"/>
      <c r="E1911" s="186"/>
      <c r="F1911" s="187"/>
    </row>
    <row r="1912" spans="1:6" x14ac:dyDescent="0.2">
      <c r="A1912" s="275"/>
      <c r="B1912" s="78"/>
      <c r="C1912" s="189"/>
      <c r="D1912" s="185"/>
      <c r="E1912" s="186"/>
      <c r="F1912" s="187"/>
    </row>
    <row r="1913" spans="1:6" x14ac:dyDescent="0.2">
      <c r="A1913" s="275"/>
      <c r="B1913" s="78"/>
      <c r="C1913" s="189"/>
      <c r="D1913" s="185"/>
      <c r="E1913" s="186"/>
      <c r="F1913" s="187"/>
    </row>
    <row r="1914" spans="1:6" x14ac:dyDescent="0.2">
      <c r="A1914" s="275"/>
      <c r="B1914" s="78"/>
      <c r="C1914" s="189"/>
      <c r="D1914" s="185"/>
      <c r="E1914" s="186"/>
      <c r="F1914" s="187"/>
    </row>
    <row r="1915" spans="1:6" x14ac:dyDescent="0.2">
      <c r="A1915" s="275"/>
      <c r="B1915" s="78"/>
      <c r="C1915" s="189"/>
      <c r="D1915" s="185"/>
      <c r="E1915" s="186"/>
      <c r="F1915" s="187"/>
    </row>
    <row r="1916" spans="1:6" x14ac:dyDescent="0.2">
      <c r="A1916" s="275"/>
      <c r="B1916" s="78"/>
      <c r="C1916" s="189"/>
      <c r="D1916" s="185"/>
      <c r="E1916" s="186"/>
      <c r="F1916" s="187"/>
    </row>
    <row r="1917" spans="1:6" x14ac:dyDescent="0.2">
      <c r="A1917" s="275"/>
      <c r="B1917" s="78"/>
      <c r="C1917" s="189"/>
      <c r="D1917" s="185"/>
      <c r="E1917" s="186"/>
      <c r="F1917" s="187"/>
    </row>
    <row r="1918" spans="1:6" x14ac:dyDescent="0.2">
      <c r="A1918" s="275"/>
      <c r="B1918" s="78"/>
      <c r="C1918" s="189"/>
      <c r="D1918" s="185"/>
      <c r="E1918" s="186"/>
      <c r="F1918" s="187"/>
    </row>
    <row r="1919" spans="1:6" x14ac:dyDescent="0.2">
      <c r="A1919" s="275"/>
      <c r="B1919" s="78"/>
      <c r="C1919" s="189"/>
      <c r="D1919" s="185"/>
      <c r="E1919" s="186"/>
      <c r="F1919" s="187"/>
    </row>
    <row r="1920" spans="1:6" x14ac:dyDescent="0.2">
      <c r="A1920" s="275"/>
      <c r="B1920" s="78"/>
      <c r="C1920" s="189"/>
      <c r="D1920" s="185"/>
      <c r="E1920" s="186"/>
      <c r="F1920" s="187"/>
    </row>
    <row r="1921" spans="1:6" x14ac:dyDescent="0.2">
      <c r="A1921" s="275"/>
      <c r="B1921" s="78"/>
      <c r="C1921" s="189"/>
      <c r="D1921" s="185"/>
      <c r="E1921" s="186"/>
      <c r="F1921" s="187"/>
    </row>
    <row r="1922" spans="1:6" x14ac:dyDescent="0.2">
      <c r="A1922" s="275"/>
      <c r="B1922" s="78"/>
      <c r="C1922" s="189"/>
      <c r="D1922" s="185"/>
      <c r="E1922" s="186"/>
      <c r="F1922" s="187"/>
    </row>
    <row r="1923" spans="1:6" x14ac:dyDescent="0.2">
      <c r="A1923" s="275"/>
      <c r="B1923" s="78"/>
      <c r="C1923" s="189"/>
      <c r="D1923" s="185"/>
      <c r="E1923" s="186"/>
      <c r="F1923" s="187"/>
    </row>
    <row r="1924" spans="1:6" x14ac:dyDescent="0.2">
      <c r="A1924" s="275"/>
      <c r="B1924" s="78"/>
      <c r="C1924" s="189"/>
      <c r="D1924" s="185"/>
      <c r="E1924" s="186"/>
      <c r="F1924" s="187"/>
    </row>
    <row r="1925" spans="1:6" x14ac:dyDescent="0.2">
      <c r="A1925" s="275"/>
      <c r="B1925" s="78"/>
      <c r="C1925" s="189"/>
      <c r="D1925" s="185"/>
      <c r="E1925" s="186"/>
      <c r="F1925" s="187"/>
    </row>
    <row r="1926" spans="1:6" x14ac:dyDescent="0.2">
      <c r="A1926" s="275"/>
      <c r="B1926" s="78"/>
      <c r="C1926" s="189"/>
      <c r="D1926" s="185"/>
      <c r="E1926" s="186"/>
      <c r="F1926" s="187"/>
    </row>
    <row r="1927" spans="1:6" x14ac:dyDescent="0.2">
      <c r="A1927" s="275"/>
      <c r="B1927" s="78"/>
      <c r="C1927" s="189"/>
      <c r="D1927" s="185"/>
      <c r="E1927" s="186"/>
      <c r="F1927" s="187"/>
    </row>
    <row r="1928" spans="1:6" x14ac:dyDescent="0.2">
      <c r="A1928" s="275"/>
      <c r="B1928" s="78"/>
      <c r="C1928" s="189"/>
      <c r="D1928" s="185"/>
      <c r="E1928" s="186"/>
      <c r="F1928" s="187"/>
    </row>
    <row r="1929" spans="1:6" x14ac:dyDescent="0.2">
      <c r="A1929" s="275"/>
      <c r="B1929" s="78"/>
      <c r="C1929" s="189"/>
      <c r="D1929" s="185"/>
      <c r="E1929" s="186"/>
      <c r="F1929" s="187"/>
    </row>
    <row r="1930" spans="1:6" x14ac:dyDescent="0.2">
      <c r="A1930" s="275"/>
      <c r="B1930" s="78"/>
      <c r="C1930" s="189"/>
      <c r="D1930" s="185"/>
      <c r="E1930" s="186"/>
      <c r="F1930" s="187"/>
    </row>
    <row r="1931" spans="1:6" x14ac:dyDescent="0.2">
      <c r="A1931" s="275"/>
      <c r="B1931" s="78"/>
      <c r="C1931" s="189"/>
      <c r="D1931" s="185"/>
      <c r="E1931" s="186"/>
      <c r="F1931" s="187"/>
    </row>
    <row r="1932" spans="1:6" x14ac:dyDescent="0.2">
      <c r="A1932" s="275"/>
      <c r="B1932" s="78"/>
      <c r="C1932" s="189"/>
      <c r="D1932" s="185"/>
      <c r="E1932" s="186"/>
      <c r="F1932" s="187"/>
    </row>
    <row r="1933" spans="1:6" x14ac:dyDescent="0.2">
      <c r="A1933" s="275"/>
      <c r="B1933" s="78"/>
      <c r="C1933" s="189"/>
      <c r="D1933" s="185"/>
      <c r="E1933" s="186"/>
      <c r="F1933" s="187"/>
    </row>
    <row r="1934" spans="1:6" x14ac:dyDescent="0.2">
      <c r="A1934" s="275"/>
      <c r="B1934" s="78"/>
      <c r="C1934" s="189"/>
      <c r="D1934" s="185"/>
      <c r="E1934" s="186"/>
      <c r="F1934" s="187"/>
    </row>
    <row r="1935" spans="1:6" x14ac:dyDescent="0.2">
      <c r="A1935" s="275"/>
      <c r="B1935" s="78"/>
      <c r="C1935" s="189"/>
      <c r="D1935" s="185"/>
      <c r="E1935" s="186"/>
      <c r="F1935" s="187"/>
    </row>
    <row r="1936" spans="1:6" x14ac:dyDescent="0.2">
      <c r="A1936" s="275"/>
      <c r="B1936" s="78"/>
      <c r="C1936" s="189"/>
      <c r="D1936" s="185"/>
      <c r="E1936" s="186"/>
      <c r="F1936" s="187"/>
    </row>
    <row r="1937" spans="1:6" x14ac:dyDescent="0.2">
      <c r="A1937" s="275"/>
      <c r="B1937" s="78"/>
      <c r="C1937" s="189"/>
      <c r="D1937" s="185"/>
      <c r="E1937" s="186"/>
      <c r="F1937" s="187"/>
    </row>
    <row r="1938" spans="1:6" x14ac:dyDescent="0.2">
      <c r="A1938" s="275"/>
      <c r="B1938" s="78"/>
      <c r="C1938" s="189"/>
      <c r="D1938" s="185"/>
      <c r="E1938" s="186"/>
      <c r="F1938" s="187"/>
    </row>
    <row r="1939" spans="1:6" x14ac:dyDescent="0.2">
      <c r="A1939" s="275"/>
      <c r="B1939" s="78"/>
      <c r="C1939" s="189"/>
      <c r="D1939" s="185"/>
      <c r="E1939" s="186"/>
      <c r="F1939" s="187"/>
    </row>
    <row r="1940" spans="1:6" x14ac:dyDescent="0.2">
      <c r="A1940" s="275"/>
      <c r="B1940" s="78"/>
      <c r="C1940" s="189"/>
      <c r="D1940" s="185"/>
      <c r="E1940" s="186"/>
      <c r="F1940" s="187"/>
    </row>
    <row r="1941" spans="1:6" x14ac:dyDescent="0.2">
      <c r="A1941" s="275"/>
      <c r="B1941" s="78"/>
      <c r="C1941" s="189"/>
      <c r="D1941" s="185"/>
      <c r="E1941" s="186"/>
      <c r="F1941" s="187"/>
    </row>
    <row r="1942" spans="1:6" x14ac:dyDescent="0.2">
      <c r="A1942" s="275"/>
      <c r="B1942" s="78"/>
      <c r="C1942" s="189"/>
      <c r="D1942" s="185"/>
      <c r="E1942" s="186"/>
      <c r="F1942" s="187"/>
    </row>
    <row r="1943" spans="1:6" x14ac:dyDescent="0.2">
      <c r="A1943" s="275"/>
      <c r="B1943" s="78"/>
      <c r="C1943" s="189"/>
      <c r="D1943" s="185"/>
      <c r="E1943" s="186"/>
      <c r="F1943" s="187"/>
    </row>
    <row r="1944" spans="1:6" x14ac:dyDescent="0.2">
      <c r="A1944" s="275"/>
      <c r="B1944" s="78"/>
      <c r="C1944" s="189"/>
      <c r="D1944" s="185"/>
      <c r="E1944" s="186"/>
      <c r="F1944" s="187"/>
    </row>
    <row r="1945" spans="1:6" x14ac:dyDescent="0.2">
      <c r="A1945" s="275"/>
      <c r="B1945" s="78"/>
      <c r="C1945" s="189"/>
      <c r="D1945" s="185"/>
      <c r="E1945" s="186"/>
      <c r="F1945" s="187"/>
    </row>
    <row r="1946" spans="1:6" x14ac:dyDescent="0.2">
      <c r="A1946" s="275"/>
      <c r="B1946" s="78"/>
      <c r="C1946" s="189"/>
      <c r="D1946" s="185"/>
      <c r="E1946" s="186"/>
      <c r="F1946" s="187"/>
    </row>
    <row r="1947" spans="1:6" x14ac:dyDescent="0.2">
      <c r="A1947" s="275"/>
      <c r="B1947" s="78"/>
      <c r="C1947" s="189"/>
      <c r="D1947" s="185"/>
      <c r="E1947" s="186"/>
      <c r="F1947" s="187"/>
    </row>
    <row r="1948" spans="1:6" x14ac:dyDescent="0.2">
      <c r="A1948" s="275"/>
      <c r="B1948" s="78"/>
      <c r="C1948" s="189"/>
      <c r="D1948" s="185"/>
      <c r="E1948" s="186"/>
      <c r="F1948" s="187"/>
    </row>
    <row r="1949" spans="1:6" x14ac:dyDescent="0.2">
      <c r="A1949" s="275"/>
      <c r="B1949" s="78"/>
      <c r="C1949" s="189"/>
      <c r="D1949" s="185"/>
      <c r="E1949" s="186"/>
      <c r="F1949" s="187"/>
    </row>
    <row r="1950" spans="1:6" x14ac:dyDescent="0.2">
      <c r="A1950" s="275"/>
      <c r="B1950" s="78"/>
      <c r="C1950" s="189"/>
      <c r="D1950" s="185"/>
      <c r="E1950" s="186"/>
      <c r="F1950" s="187"/>
    </row>
    <row r="1951" spans="1:6" x14ac:dyDescent="0.2">
      <c r="A1951" s="275"/>
      <c r="B1951" s="78"/>
      <c r="C1951" s="189"/>
      <c r="D1951" s="185"/>
      <c r="E1951" s="186"/>
      <c r="F1951" s="187"/>
    </row>
    <row r="1952" spans="1:6" x14ac:dyDescent="0.2">
      <c r="A1952" s="275"/>
      <c r="B1952" s="78"/>
      <c r="C1952" s="189"/>
      <c r="D1952" s="185"/>
      <c r="E1952" s="186"/>
      <c r="F1952" s="187"/>
    </row>
    <row r="1953" spans="1:6" x14ac:dyDescent="0.2">
      <c r="A1953" s="275"/>
      <c r="B1953" s="78"/>
      <c r="C1953" s="189"/>
      <c r="D1953" s="185"/>
      <c r="E1953" s="186"/>
      <c r="F1953" s="187"/>
    </row>
    <row r="1954" spans="1:6" x14ac:dyDescent="0.2">
      <c r="A1954" s="275"/>
      <c r="B1954" s="78"/>
      <c r="C1954" s="189"/>
      <c r="D1954" s="185"/>
      <c r="E1954" s="186"/>
      <c r="F1954" s="187"/>
    </row>
    <row r="1955" spans="1:6" x14ac:dyDescent="0.2">
      <c r="A1955" s="275"/>
      <c r="B1955" s="78"/>
      <c r="C1955" s="189"/>
      <c r="D1955" s="185"/>
      <c r="E1955" s="186"/>
      <c r="F1955" s="187"/>
    </row>
    <row r="1956" spans="1:6" x14ac:dyDescent="0.2">
      <c r="A1956" s="275"/>
      <c r="B1956" s="78"/>
      <c r="C1956" s="189"/>
      <c r="D1956" s="185"/>
      <c r="E1956" s="186"/>
      <c r="F1956" s="187"/>
    </row>
    <row r="1957" spans="1:6" x14ac:dyDescent="0.2">
      <c r="A1957" s="275"/>
      <c r="B1957" s="78"/>
      <c r="C1957" s="189"/>
      <c r="D1957" s="185"/>
      <c r="E1957" s="186"/>
      <c r="F1957" s="187"/>
    </row>
    <row r="1958" spans="1:6" x14ac:dyDescent="0.2">
      <c r="A1958" s="275"/>
      <c r="B1958" s="78"/>
      <c r="C1958" s="189"/>
      <c r="D1958" s="185"/>
      <c r="E1958" s="186"/>
      <c r="F1958" s="187"/>
    </row>
    <row r="1959" spans="1:6" x14ac:dyDescent="0.2">
      <c r="A1959" s="275"/>
      <c r="B1959" s="78"/>
      <c r="C1959" s="189"/>
      <c r="D1959" s="185"/>
      <c r="E1959" s="186"/>
      <c r="F1959" s="187"/>
    </row>
    <row r="1960" spans="1:6" x14ac:dyDescent="0.2">
      <c r="A1960" s="275"/>
      <c r="B1960" s="78"/>
      <c r="C1960" s="189"/>
      <c r="D1960" s="185"/>
      <c r="E1960" s="186"/>
      <c r="F1960" s="187"/>
    </row>
    <row r="1961" spans="1:6" x14ac:dyDescent="0.2">
      <c r="A1961" s="275"/>
      <c r="B1961" s="78"/>
      <c r="C1961" s="189"/>
      <c r="D1961" s="185"/>
      <c r="E1961" s="186"/>
      <c r="F1961" s="187"/>
    </row>
    <row r="1962" spans="1:6" x14ac:dyDescent="0.2">
      <c r="A1962" s="275"/>
      <c r="B1962" s="78"/>
      <c r="C1962" s="189"/>
      <c r="D1962" s="185"/>
      <c r="E1962" s="186"/>
      <c r="F1962" s="187"/>
    </row>
    <row r="1963" spans="1:6" x14ac:dyDescent="0.2">
      <c r="A1963" s="275"/>
      <c r="B1963" s="78"/>
      <c r="C1963" s="189"/>
      <c r="D1963" s="185"/>
      <c r="E1963" s="186"/>
      <c r="F1963" s="187"/>
    </row>
  </sheetData>
  <sheetProtection algorithmName="SHA-512" hashValue="MovQnyQ5kzMHcY2yWrZY2PyXyVwFxLCG5H6ch+4Geo6zB11uJEVrATdrFlCPkvOKuskMA6fXrPvILBpL9MxoOA==" saltValue="+MGf8ju0ZwQwyE4BGeH8MA==" spinCount="100000" sheet="1" objects="1" scenarios="1"/>
  <mergeCells count="11">
    <mergeCell ref="B1:F1"/>
    <mergeCell ref="A138:E138"/>
    <mergeCell ref="A137:F137"/>
    <mergeCell ref="A135:E135"/>
    <mergeCell ref="A132:E132"/>
    <mergeCell ref="C99:E99"/>
    <mergeCell ref="C122:E122"/>
    <mergeCell ref="C124:E124"/>
    <mergeCell ref="C91:E91"/>
    <mergeCell ref="C16:E16"/>
    <mergeCell ref="C26:E26"/>
  </mergeCells>
  <phoneticPr fontId="2" type="noConversion"/>
  <dataValidations count="1">
    <dataValidation type="custom" showErrorMessage="1" errorTitle="Nepravilen vnos cene" error="Cena mora biti nenegativno število z največ dvema decimalkama!" sqref="E11:E12 E14:E15 E117:E121 E31:E46 E48:E49 E57:E59 E61:E62 E64:E79 E101:E115 E93:E98 E20:E25 E51:E54 E81:E90">
      <formula1>AND(ISNUMBER(E11),E11&gt;=0,ROUND(E11*100,6)-INT(E11*100)=0,NOT(ISBLANK(E11)))</formula1>
    </dataValidation>
  </dataValidations>
  <printOptions horizontalCentered="1"/>
  <pageMargins left="0.78740157480314965" right="0.39370078740157483" top="0.39370078740157483" bottom="0.98425196850393704" header="0.19685039370078741" footer="0.19685039370078741"/>
  <pageSetup paperSize="9" scale="89" fitToHeight="0" orientation="landscape" r:id="rId1"/>
  <headerFooter>
    <oddHeader>&amp;LRTP 110/20 kV Izola&amp;R&amp;G</oddHeader>
    <oddFooter>&amp;LDZR: Ponudbeni predračun
Datoteka: 4407.6G01.PP.rev1.xlsx&amp;R Stran: &amp;P od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G1838"/>
  <sheetViews>
    <sheetView zoomScaleNormal="100" zoomScaleSheetLayoutView="85" workbookViewId="0">
      <selection activeCell="E6" sqref="E6"/>
    </sheetView>
  </sheetViews>
  <sheetFormatPr defaultColWidth="6.7109375" defaultRowHeight="12.75" x14ac:dyDescent="0.2"/>
  <cols>
    <col min="1" max="1" width="7.85546875" style="190" customWidth="1"/>
    <col min="2" max="2" width="99.140625" style="179" customWidth="1"/>
    <col min="3" max="3" width="9" style="191" customWidth="1"/>
    <col min="4" max="4" width="11.42578125" style="192" customWidth="1"/>
    <col min="5" max="5" width="12.7109375" style="193" customWidth="1"/>
    <col min="6" max="6" width="13.5703125" style="194" customWidth="1"/>
    <col min="7" max="16384" width="6.7109375" style="78"/>
  </cols>
  <sheetData>
    <row r="1" spans="1:7" ht="15.95" customHeight="1" thickBot="1" x14ac:dyDescent="0.3">
      <c r="A1" s="7"/>
      <c r="B1" s="329"/>
      <c r="C1" s="329"/>
      <c r="D1" s="329"/>
      <c r="E1" s="329"/>
      <c r="F1" s="329"/>
    </row>
    <row r="2" spans="1:7" ht="32.450000000000003" customHeight="1" x14ac:dyDescent="0.2">
      <c r="A2" s="1" t="s">
        <v>1</v>
      </c>
      <c r="B2" s="2" t="s">
        <v>1741</v>
      </c>
      <c r="C2" s="3" t="s">
        <v>1742</v>
      </c>
      <c r="D2" s="4" t="s">
        <v>1743</v>
      </c>
      <c r="E2" s="5" t="s">
        <v>1744</v>
      </c>
      <c r="F2" s="6" t="s">
        <v>1745</v>
      </c>
    </row>
    <row r="3" spans="1:7" ht="15" x14ac:dyDescent="0.2">
      <c r="A3" s="21" t="s">
        <v>1947</v>
      </c>
      <c r="B3" s="22" t="s">
        <v>1948</v>
      </c>
      <c r="C3" s="23"/>
      <c r="D3" s="24"/>
      <c r="E3" s="25"/>
      <c r="F3" s="26"/>
    </row>
    <row r="4" spans="1:7" ht="44.25" customHeight="1" x14ac:dyDescent="0.2">
      <c r="A4" s="21"/>
      <c r="B4" s="17" t="s">
        <v>1747</v>
      </c>
      <c r="C4" s="23"/>
      <c r="D4" s="24"/>
      <c r="E4" s="25"/>
      <c r="F4" s="26"/>
    </row>
    <row r="5" spans="1:7" ht="57" x14ac:dyDescent="0.2">
      <c r="A5" s="29" t="s">
        <v>1949</v>
      </c>
      <c r="B5" s="17" t="s">
        <v>1950</v>
      </c>
      <c r="C5" s="15" t="s">
        <v>1951</v>
      </c>
      <c r="D5" s="16">
        <v>1</v>
      </c>
      <c r="E5" s="31">
        <v>0</v>
      </c>
      <c r="F5" s="28">
        <f t="shared" ref="F5:F12" si="0">ROUND(D5*E5,2)</f>
        <v>0</v>
      </c>
    </row>
    <row r="6" spans="1:7" ht="33" customHeight="1" x14ac:dyDescent="0.2">
      <c r="A6" s="29" t="s">
        <v>1952</v>
      </c>
      <c r="B6" s="17" t="s">
        <v>1953</v>
      </c>
      <c r="C6" s="15" t="s">
        <v>1951</v>
      </c>
      <c r="D6" s="16">
        <v>1</v>
      </c>
      <c r="E6" s="31">
        <v>0</v>
      </c>
      <c r="F6" s="28">
        <f t="shared" si="0"/>
        <v>0</v>
      </c>
    </row>
    <row r="7" spans="1:7" ht="28.5" x14ac:dyDescent="0.2">
      <c r="A7" s="29" t="s">
        <v>1954</v>
      </c>
      <c r="B7" s="17" t="s">
        <v>1955</v>
      </c>
      <c r="C7" s="15" t="s">
        <v>1951</v>
      </c>
      <c r="D7" s="16">
        <v>1</v>
      </c>
      <c r="E7" s="31">
        <v>0</v>
      </c>
      <c r="F7" s="28">
        <f t="shared" si="0"/>
        <v>0</v>
      </c>
    </row>
    <row r="8" spans="1:7" ht="28.5" x14ac:dyDescent="0.2">
      <c r="A8" s="29" t="s">
        <v>1956</v>
      </c>
      <c r="B8" s="17" t="s">
        <v>1957</v>
      </c>
      <c r="C8" s="15" t="s">
        <v>1951</v>
      </c>
      <c r="D8" s="16">
        <v>1</v>
      </c>
      <c r="E8" s="31">
        <v>0</v>
      </c>
      <c r="F8" s="28">
        <f t="shared" si="0"/>
        <v>0</v>
      </c>
    </row>
    <row r="9" spans="1:7" s="59" customFormat="1" ht="28.5" x14ac:dyDescent="0.25">
      <c r="A9" s="29" t="s">
        <v>1958</v>
      </c>
      <c r="B9" s="17" t="s">
        <v>1959</v>
      </c>
      <c r="C9" s="15" t="s">
        <v>1951</v>
      </c>
      <c r="D9" s="16">
        <v>1</v>
      </c>
      <c r="E9" s="31">
        <v>0</v>
      </c>
      <c r="F9" s="28">
        <f t="shared" si="0"/>
        <v>0</v>
      </c>
    </row>
    <row r="10" spans="1:7" ht="14.25" x14ac:dyDescent="0.2">
      <c r="A10" s="29" t="s">
        <v>1960</v>
      </c>
      <c r="B10" s="17" t="s">
        <v>3004</v>
      </c>
      <c r="C10" s="15" t="s">
        <v>1951</v>
      </c>
      <c r="D10" s="16">
        <v>1</v>
      </c>
      <c r="E10" s="31">
        <v>0</v>
      </c>
      <c r="F10" s="28">
        <f t="shared" si="0"/>
        <v>0</v>
      </c>
    </row>
    <row r="11" spans="1:7" ht="28.5" x14ac:dyDescent="0.2">
      <c r="A11" s="29" t="s">
        <v>1961</v>
      </c>
      <c r="B11" s="17" t="s">
        <v>1962</v>
      </c>
      <c r="C11" s="15" t="s">
        <v>1951</v>
      </c>
      <c r="D11" s="16">
        <v>1</v>
      </c>
      <c r="E11" s="31">
        <v>0</v>
      </c>
      <c r="F11" s="28">
        <f t="shared" ref="F11" si="1">ROUND(D11*E11,2)</f>
        <v>0</v>
      </c>
    </row>
    <row r="12" spans="1:7" ht="28.5" x14ac:dyDescent="0.2">
      <c r="A12" s="29" t="s">
        <v>1963</v>
      </c>
      <c r="B12" s="17" t="s">
        <v>1964</v>
      </c>
      <c r="C12" s="15" t="s">
        <v>1965</v>
      </c>
      <c r="D12" s="16">
        <v>90</v>
      </c>
      <c r="E12" s="31">
        <v>0</v>
      </c>
      <c r="F12" s="28">
        <f t="shared" si="0"/>
        <v>0</v>
      </c>
    </row>
    <row r="13" spans="1:7" ht="72" thickBot="1" x14ac:dyDescent="0.25">
      <c r="A13" s="29" t="s">
        <v>1966</v>
      </c>
      <c r="B13" s="17" t="s">
        <v>1967</v>
      </c>
      <c r="C13" s="15" t="s">
        <v>1951</v>
      </c>
      <c r="D13" s="16">
        <v>2</v>
      </c>
      <c r="E13" s="31">
        <v>0</v>
      </c>
      <c r="F13" s="28">
        <f t="shared" ref="F13" si="2">ROUND(D13*E13,2)</f>
        <v>0</v>
      </c>
    </row>
    <row r="14" spans="1:7" s="203" customFormat="1" ht="39.950000000000003" customHeight="1" thickBot="1" x14ac:dyDescent="0.3">
      <c r="A14" s="264"/>
      <c r="B14" s="266"/>
      <c r="C14" s="336" t="s">
        <v>1968</v>
      </c>
      <c r="D14" s="337"/>
      <c r="E14" s="338"/>
      <c r="F14" s="18">
        <f>SUM(F5:F13)</f>
        <v>0</v>
      </c>
      <c r="G14" s="262"/>
    </row>
    <row r="15" spans="1:7" ht="18" x14ac:dyDescent="0.25">
      <c r="A15" s="182"/>
      <c r="B15" s="183"/>
      <c r="C15" s="184"/>
      <c r="D15" s="185"/>
      <c r="E15" s="186"/>
      <c r="F15" s="187"/>
      <c r="G15" s="8"/>
    </row>
    <row r="16" spans="1:7" ht="18" x14ac:dyDescent="0.25">
      <c r="A16" s="182"/>
      <c r="B16" s="183"/>
      <c r="C16" s="184"/>
      <c r="D16" s="185"/>
      <c r="E16" s="186"/>
      <c r="F16" s="187"/>
      <c r="G16" s="8"/>
    </row>
    <row r="17" spans="1:7" ht="18" x14ac:dyDescent="0.25">
      <c r="A17" s="182"/>
      <c r="B17" s="183"/>
      <c r="C17" s="184"/>
      <c r="D17" s="185"/>
      <c r="E17" s="186"/>
      <c r="F17" s="187"/>
      <c r="G17" s="8"/>
    </row>
    <row r="18" spans="1:7" x14ac:dyDescent="0.2">
      <c r="A18" s="275"/>
      <c r="B18" s="78"/>
      <c r="C18" s="189"/>
      <c r="D18" s="185"/>
      <c r="E18" s="186"/>
      <c r="F18" s="187"/>
    </row>
    <row r="19" spans="1:7" x14ac:dyDescent="0.2">
      <c r="A19" s="275"/>
      <c r="B19" s="78"/>
      <c r="C19" s="189"/>
      <c r="D19" s="185"/>
      <c r="E19" s="186"/>
      <c r="F19" s="187"/>
    </row>
    <row r="20" spans="1:7" x14ac:dyDescent="0.2">
      <c r="A20" s="275"/>
      <c r="B20" s="78"/>
      <c r="C20" s="189"/>
      <c r="D20" s="185"/>
      <c r="E20" s="186"/>
      <c r="F20" s="187"/>
    </row>
    <row r="21" spans="1:7" x14ac:dyDescent="0.2">
      <c r="A21" s="275"/>
      <c r="B21" s="78"/>
      <c r="C21" s="189"/>
      <c r="D21" s="185"/>
      <c r="E21" s="186"/>
      <c r="F21" s="187"/>
    </row>
    <row r="22" spans="1:7" x14ac:dyDescent="0.2">
      <c r="A22" s="275"/>
      <c r="B22" s="78"/>
      <c r="C22" s="189"/>
      <c r="D22" s="185"/>
      <c r="E22" s="186"/>
      <c r="F22" s="187"/>
    </row>
    <row r="23" spans="1:7" x14ac:dyDescent="0.2">
      <c r="A23" s="275"/>
      <c r="B23" s="78"/>
      <c r="C23" s="189"/>
      <c r="D23" s="185"/>
      <c r="E23" s="186"/>
      <c r="F23" s="187"/>
    </row>
    <row r="24" spans="1:7" x14ac:dyDescent="0.2">
      <c r="A24" s="275"/>
      <c r="B24" s="78"/>
      <c r="C24" s="189"/>
      <c r="D24" s="185"/>
      <c r="E24" s="186"/>
      <c r="F24" s="187"/>
    </row>
    <row r="25" spans="1:7" x14ac:dyDescent="0.2">
      <c r="A25" s="275"/>
      <c r="B25" s="78"/>
      <c r="C25" s="189"/>
      <c r="D25" s="185"/>
      <c r="E25" s="186"/>
      <c r="F25" s="187"/>
    </row>
    <row r="26" spans="1:7" x14ac:dyDescent="0.2">
      <c r="A26" s="275"/>
      <c r="B26" s="78"/>
      <c r="C26" s="189"/>
      <c r="D26" s="185"/>
      <c r="E26" s="186"/>
      <c r="F26" s="187"/>
    </row>
    <row r="27" spans="1:7" x14ac:dyDescent="0.2">
      <c r="A27" s="275"/>
      <c r="B27" s="78"/>
      <c r="C27" s="189"/>
      <c r="D27" s="185"/>
      <c r="E27" s="186"/>
      <c r="F27" s="187"/>
    </row>
    <row r="28" spans="1:7" x14ac:dyDescent="0.2">
      <c r="A28" s="275"/>
      <c r="B28" s="78"/>
      <c r="C28" s="189"/>
      <c r="D28" s="185"/>
      <c r="E28" s="186"/>
      <c r="F28" s="187"/>
    </row>
    <row r="29" spans="1:7" x14ac:dyDescent="0.2">
      <c r="A29" s="275"/>
      <c r="B29" s="78"/>
      <c r="C29" s="189"/>
      <c r="D29" s="185"/>
      <c r="E29" s="186"/>
      <c r="F29" s="187"/>
    </row>
    <row r="30" spans="1:7" x14ac:dyDescent="0.2">
      <c r="A30" s="275"/>
      <c r="B30" s="78"/>
      <c r="C30" s="189"/>
      <c r="D30" s="185"/>
      <c r="E30" s="186"/>
      <c r="F30" s="187"/>
    </row>
    <row r="31" spans="1:7" x14ac:dyDescent="0.2">
      <c r="A31" s="275"/>
      <c r="B31" s="78"/>
      <c r="C31" s="189"/>
      <c r="D31" s="185"/>
      <c r="E31" s="186"/>
      <c r="F31" s="187"/>
    </row>
    <row r="32" spans="1:7" x14ac:dyDescent="0.2">
      <c r="A32" s="275"/>
      <c r="B32" s="78"/>
      <c r="C32" s="189"/>
      <c r="D32" s="185"/>
      <c r="E32" s="186"/>
      <c r="F32" s="187"/>
    </row>
    <row r="33" spans="1:6" x14ac:dyDescent="0.2">
      <c r="A33" s="275"/>
      <c r="B33" s="78"/>
      <c r="C33" s="189"/>
      <c r="D33" s="185"/>
      <c r="E33" s="186"/>
      <c r="F33" s="187"/>
    </row>
    <row r="34" spans="1:6" x14ac:dyDescent="0.2">
      <c r="A34" s="275"/>
      <c r="B34" s="78"/>
      <c r="C34" s="189"/>
      <c r="D34" s="185"/>
      <c r="E34" s="186"/>
      <c r="F34" s="187"/>
    </row>
    <row r="35" spans="1:6" x14ac:dyDescent="0.2">
      <c r="A35" s="275"/>
      <c r="B35" s="78"/>
      <c r="C35" s="189"/>
      <c r="D35" s="185"/>
      <c r="E35" s="186"/>
      <c r="F35" s="187"/>
    </row>
    <row r="36" spans="1:6" x14ac:dyDescent="0.2">
      <c r="A36" s="275"/>
      <c r="B36" s="78"/>
      <c r="C36" s="189"/>
      <c r="D36" s="185"/>
      <c r="E36" s="186"/>
      <c r="F36" s="187"/>
    </row>
    <row r="37" spans="1:6" x14ac:dyDescent="0.2">
      <c r="A37" s="275"/>
      <c r="B37" s="78"/>
      <c r="C37" s="189"/>
      <c r="D37" s="185"/>
      <c r="E37" s="186"/>
      <c r="F37" s="187"/>
    </row>
    <row r="38" spans="1:6" x14ac:dyDescent="0.2">
      <c r="A38" s="275"/>
      <c r="B38" s="78"/>
      <c r="C38" s="189"/>
      <c r="D38" s="185"/>
      <c r="E38" s="186"/>
      <c r="F38" s="187"/>
    </row>
    <row r="39" spans="1:6" x14ac:dyDescent="0.2">
      <c r="A39" s="275"/>
      <c r="B39" s="78"/>
      <c r="C39" s="189"/>
      <c r="D39" s="185"/>
      <c r="E39" s="186"/>
      <c r="F39" s="187"/>
    </row>
    <row r="40" spans="1:6" x14ac:dyDescent="0.2">
      <c r="A40" s="275"/>
      <c r="B40" s="78"/>
      <c r="C40" s="189"/>
      <c r="D40" s="185"/>
      <c r="E40" s="186"/>
      <c r="F40" s="187"/>
    </row>
    <row r="41" spans="1:6" x14ac:dyDescent="0.2">
      <c r="A41" s="275"/>
      <c r="B41" s="78"/>
      <c r="C41" s="189"/>
      <c r="D41" s="185"/>
      <c r="E41" s="186"/>
      <c r="F41" s="187"/>
    </row>
    <row r="42" spans="1:6" x14ac:dyDescent="0.2">
      <c r="A42" s="275"/>
      <c r="B42" s="78"/>
      <c r="C42" s="189"/>
      <c r="D42" s="185"/>
      <c r="E42" s="186"/>
      <c r="F42" s="187"/>
    </row>
    <row r="43" spans="1:6" x14ac:dyDescent="0.2">
      <c r="A43" s="275"/>
      <c r="B43" s="78"/>
      <c r="C43" s="189"/>
      <c r="D43" s="185"/>
      <c r="E43" s="186"/>
      <c r="F43" s="187"/>
    </row>
    <row r="44" spans="1:6" x14ac:dyDescent="0.2">
      <c r="A44" s="275"/>
      <c r="B44" s="78"/>
      <c r="C44" s="189"/>
      <c r="D44" s="185"/>
      <c r="E44" s="186"/>
      <c r="F44" s="187"/>
    </row>
    <row r="45" spans="1:6" x14ac:dyDescent="0.2">
      <c r="A45" s="275"/>
      <c r="B45" s="78"/>
      <c r="C45" s="189"/>
      <c r="D45" s="185"/>
      <c r="E45" s="186"/>
      <c r="F45" s="187"/>
    </row>
    <row r="46" spans="1:6" x14ac:dyDescent="0.2">
      <c r="A46" s="275"/>
      <c r="B46" s="78"/>
      <c r="C46" s="189"/>
      <c r="D46" s="185"/>
      <c r="E46" s="186"/>
      <c r="F46" s="187"/>
    </row>
    <row r="47" spans="1:6" x14ac:dyDescent="0.2">
      <c r="A47" s="275"/>
      <c r="B47" s="78"/>
      <c r="C47" s="189"/>
      <c r="D47" s="185"/>
      <c r="E47" s="186"/>
      <c r="F47" s="187"/>
    </row>
    <row r="48" spans="1:6" x14ac:dyDescent="0.2">
      <c r="A48" s="275"/>
      <c r="B48" s="78"/>
      <c r="C48" s="189"/>
      <c r="D48" s="185"/>
      <c r="E48" s="186"/>
      <c r="F48" s="187"/>
    </row>
    <row r="49" spans="1:6" x14ac:dyDescent="0.2">
      <c r="A49" s="275"/>
      <c r="B49" s="78"/>
      <c r="C49" s="189"/>
      <c r="D49" s="185"/>
      <c r="E49" s="186"/>
      <c r="F49" s="187"/>
    </row>
    <row r="50" spans="1:6" x14ac:dyDescent="0.2">
      <c r="A50" s="275"/>
      <c r="B50" s="78"/>
      <c r="C50" s="189"/>
      <c r="D50" s="185"/>
      <c r="E50" s="186"/>
      <c r="F50" s="187"/>
    </row>
    <row r="51" spans="1:6" x14ac:dyDescent="0.2">
      <c r="A51" s="275"/>
      <c r="B51" s="78"/>
      <c r="C51" s="189"/>
      <c r="D51" s="185"/>
      <c r="E51" s="186"/>
      <c r="F51" s="187"/>
    </row>
    <row r="52" spans="1:6" x14ac:dyDescent="0.2">
      <c r="A52" s="275"/>
      <c r="B52" s="78"/>
      <c r="C52" s="189"/>
      <c r="D52" s="185"/>
      <c r="E52" s="186"/>
      <c r="F52" s="187"/>
    </row>
    <row r="53" spans="1:6" x14ac:dyDescent="0.2">
      <c r="A53" s="275"/>
      <c r="B53" s="78"/>
      <c r="C53" s="189"/>
      <c r="D53" s="185"/>
      <c r="E53" s="186"/>
      <c r="F53" s="187"/>
    </row>
    <row r="54" spans="1:6" x14ac:dyDescent="0.2">
      <c r="A54" s="275"/>
      <c r="B54" s="78"/>
      <c r="C54" s="189"/>
      <c r="D54" s="185"/>
      <c r="E54" s="186"/>
      <c r="F54" s="187"/>
    </row>
    <row r="55" spans="1:6" x14ac:dyDescent="0.2">
      <c r="A55" s="275"/>
      <c r="B55" s="78"/>
      <c r="C55" s="189"/>
      <c r="D55" s="185"/>
      <c r="E55" s="186"/>
      <c r="F55" s="187"/>
    </row>
    <row r="56" spans="1:6" x14ac:dyDescent="0.2">
      <c r="A56" s="275"/>
      <c r="B56" s="78"/>
      <c r="C56" s="189"/>
      <c r="D56" s="185"/>
      <c r="E56" s="186"/>
      <c r="F56" s="187"/>
    </row>
    <row r="57" spans="1:6" x14ac:dyDescent="0.2">
      <c r="A57" s="275"/>
      <c r="B57" s="78"/>
      <c r="C57" s="189"/>
      <c r="D57" s="185"/>
      <c r="E57" s="186"/>
      <c r="F57" s="187"/>
    </row>
    <row r="58" spans="1:6" x14ac:dyDescent="0.2">
      <c r="A58" s="275"/>
      <c r="B58" s="78"/>
      <c r="C58" s="189"/>
      <c r="D58" s="185"/>
      <c r="E58" s="186"/>
      <c r="F58" s="187"/>
    </row>
    <row r="59" spans="1:6" x14ac:dyDescent="0.2">
      <c r="A59" s="275"/>
      <c r="B59" s="78"/>
      <c r="C59" s="189"/>
      <c r="D59" s="185"/>
      <c r="E59" s="186"/>
      <c r="F59" s="187"/>
    </row>
    <row r="60" spans="1:6" x14ac:dyDescent="0.2">
      <c r="A60" s="275"/>
      <c r="B60" s="78"/>
      <c r="C60" s="189"/>
      <c r="D60" s="185"/>
      <c r="E60" s="186"/>
      <c r="F60" s="187"/>
    </row>
    <row r="61" spans="1:6" x14ac:dyDescent="0.2">
      <c r="A61" s="275"/>
      <c r="B61" s="78"/>
      <c r="C61" s="189"/>
      <c r="D61" s="185"/>
      <c r="E61" s="186"/>
      <c r="F61" s="187"/>
    </row>
    <row r="62" spans="1:6" x14ac:dyDescent="0.2">
      <c r="A62" s="275"/>
      <c r="B62" s="78"/>
      <c r="C62" s="189"/>
      <c r="D62" s="185"/>
      <c r="E62" s="186"/>
      <c r="F62" s="187"/>
    </row>
    <row r="63" spans="1:6" x14ac:dyDescent="0.2">
      <c r="A63" s="275"/>
      <c r="B63" s="78"/>
      <c r="C63" s="189"/>
      <c r="D63" s="185"/>
      <c r="E63" s="186"/>
      <c r="F63" s="187"/>
    </row>
    <row r="64" spans="1:6" x14ac:dyDescent="0.2">
      <c r="A64" s="275"/>
      <c r="B64" s="78"/>
      <c r="C64" s="189"/>
      <c r="D64" s="185"/>
      <c r="E64" s="186"/>
      <c r="F64" s="187"/>
    </row>
    <row r="65" spans="1:6" x14ac:dyDescent="0.2">
      <c r="A65" s="275"/>
      <c r="B65" s="78"/>
      <c r="C65" s="189"/>
      <c r="D65" s="185"/>
      <c r="E65" s="186"/>
      <c r="F65" s="187"/>
    </row>
    <row r="66" spans="1:6" x14ac:dyDescent="0.2">
      <c r="A66" s="275"/>
      <c r="B66" s="78"/>
      <c r="C66" s="189"/>
      <c r="D66" s="185"/>
      <c r="E66" s="186"/>
      <c r="F66" s="187"/>
    </row>
    <row r="67" spans="1:6" x14ac:dyDescent="0.2">
      <c r="A67" s="275"/>
      <c r="B67" s="78"/>
      <c r="C67" s="189"/>
      <c r="D67" s="185"/>
      <c r="E67" s="186"/>
      <c r="F67" s="187"/>
    </row>
    <row r="68" spans="1:6" x14ac:dyDescent="0.2">
      <c r="A68" s="275"/>
      <c r="B68" s="78"/>
      <c r="C68" s="189"/>
      <c r="D68" s="185"/>
      <c r="E68" s="186"/>
      <c r="F68" s="187"/>
    </row>
    <row r="69" spans="1:6" x14ac:dyDescent="0.2">
      <c r="A69" s="275"/>
      <c r="B69" s="78"/>
      <c r="C69" s="189"/>
      <c r="D69" s="185"/>
      <c r="E69" s="186"/>
      <c r="F69" s="187"/>
    </row>
    <row r="70" spans="1:6" x14ac:dyDescent="0.2">
      <c r="A70" s="275"/>
      <c r="B70" s="78"/>
      <c r="C70" s="189"/>
      <c r="D70" s="185"/>
      <c r="E70" s="186"/>
      <c r="F70" s="187"/>
    </row>
    <row r="71" spans="1:6" x14ac:dyDescent="0.2">
      <c r="A71" s="275"/>
      <c r="B71" s="78"/>
      <c r="C71" s="189"/>
      <c r="D71" s="185"/>
      <c r="E71" s="186"/>
      <c r="F71" s="187"/>
    </row>
    <row r="72" spans="1:6" x14ac:dyDescent="0.2">
      <c r="A72" s="275"/>
      <c r="B72" s="78"/>
      <c r="C72" s="189"/>
      <c r="D72" s="185"/>
      <c r="E72" s="186"/>
      <c r="F72" s="187"/>
    </row>
    <row r="73" spans="1:6" x14ac:dyDescent="0.2">
      <c r="A73" s="275"/>
      <c r="B73" s="78"/>
      <c r="C73" s="189"/>
      <c r="D73" s="185"/>
      <c r="E73" s="186"/>
      <c r="F73" s="187"/>
    </row>
    <row r="74" spans="1:6" x14ac:dyDescent="0.2">
      <c r="A74" s="275"/>
      <c r="B74" s="78"/>
      <c r="C74" s="189"/>
      <c r="D74" s="185"/>
      <c r="E74" s="186"/>
      <c r="F74" s="187"/>
    </row>
    <row r="75" spans="1:6" x14ac:dyDescent="0.2">
      <c r="A75" s="275"/>
      <c r="B75" s="78"/>
      <c r="C75" s="189"/>
      <c r="D75" s="185"/>
      <c r="E75" s="186"/>
      <c r="F75" s="187"/>
    </row>
    <row r="76" spans="1:6" x14ac:dyDescent="0.2">
      <c r="A76" s="275"/>
      <c r="B76" s="78"/>
      <c r="C76" s="189"/>
      <c r="D76" s="185"/>
      <c r="E76" s="186"/>
      <c r="F76" s="187"/>
    </row>
    <row r="77" spans="1:6" x14ac:dyDescent="0.2">
      <c r="A77" s="275"/>
      <c r="B77" s="78"/>
      <c r="C77" s="189"/>
      <c r="D77" s="185"/>
      <c r="E77" s="186"/>
      <c r="F77" s="187"/>
    </row>
    <row r="78" spans="1:6" x14ac:dyDescent="0.2">
      <c r="A78" s="275"/>
      <c r="B78" s="78"/>
      <c r="C78" s="189"/>
      <c r="D78" s="185"/>
      <c r="E78" s="186"/>
      <c r="F78" s="187"/>
    </row>
    <row r="79" spans="1:6" x14ac:dyDescent="0.2">
      <c r="A79" s="275"/>
      <c r="B79" s="78"/>
      <c r="C79" s="189"/>
      <c r="D79" s="185"/>
      <c r="E79" s="186"/>
      <c r="F79" s="187"/>
    </row>
    <row r="80" spans="1:6" x14ac:dyDescent="0.2">
      <c r="A80" s="275"/>
      <c r="B80" s="78"/>
      <c r="C80" s="189"/>
      <c r="D80" s="185"/>
      <c r="E80" s="186"/>
      <c r="F80" s="187"/>
    </row>
    <row r="81" spans="1:6" x14ac:dyDescent="0.2">
      <c r="A81" s="275"/>
      <c r="B81" s="78"/>
      <c r="C81" s="189"/>
      <c r="D81" s="185"/>
      <c r="E81" s="186"/>
      <c r="F81" s="187"/>
    </row>
    <row r="82" spans="1:6" x14ac:dyDescent="0.2">
      <c r="A82" s="275"/>
      <c r="B82" s="78"/>
      <c r="C82" s="189"/>
      <c r="D82" s="185"/>
      <c r="E82" s="186"/>
      <c r="F82" s="187"/>
    </row>
    <row r="83" spans="1:6" x14ac:dyDescent="0.2">
      <c r="A83" s="275"/>
      <c r="B83" s="78"/>
      <c r="C83" s="189"/>
      <c r="D83" s="185"/>
      <c r="E83" s="186"/>
      <c r="F83" s="187"/>
    </row>
    <row r="84" spans="1:6" x14ac:dyDescent="0.2">
      <c r="A84" s="275"/>
      <c r="B84" s="78"/>
      <c r="C84" s="189"/>
      <c r="D84" s="185"/>
      <c r="E84" s="186"/>
      <c r="F84" s="187"/>
    </row>
    <row r="85" spans="1:6" x14ac:dyDescent="0.2">
      <c r="A85" s="275"/>
      <c r="B85" s="78"/>
      <c r="C85" s="189"/>
      <c r="D85" s="185"/>
      <c r="E85" s="186"/>
      <c r="F85" s="187"/>
    </row>
    <row r="86" spans="1:6" x14ac:dyDescent="0.2">
      <c r="A86" s="275"/>
      <c r="B86" s="78"/>
      <c r="C86" s="189"/>
      <c r="D86" s="185"/>
      <c r="E86" s="186"/>
      <c r="F86" s="187"/>
    </row>
    <row r="87" spans="1:6" x14ac:dyDescent="0.2">
      <c r="A87" s="275"/>
      <c r="B87" s="78"/>
      <c r="C87" s="189"/>
      <c r="D87" s="185"/>
      <c r="E87" s="186"/>
      <c r="F87" s="187"/>
    </row>
    <row r="88" spans="1:6" x14ac:dyDescent="0.2">
      <c r="A88" s="275"/>
      <c r="B88" s="78"/>
      <c r="C88" s="189"/>
      <c r="D88" s="185"/>
      <c r="E88" s="186"/>
      <c r="F88" s="187"/>
    </row>
    <row r="89" spans="1:6" x14ac:dyDescent="0.2">
      <c r="A89" s="275"/>
      <c r="B89" s="78"/>
      <c r="C89" s="189"/>
      <c r="D89" s="185"/>
      <c r="E89" s="186"/>
      <c r="F89" s="187"/>
    </row>
    <row r="90" spans="1:6" x14ac:dyDescent="0.2">
      <c r="A90" s="275"/>
      <c r="B90" s="78"/>
      <c r="C90" s="189"/>
      <c r="D90" s="185"/>
      <c r="E90" s="186"/>
      <c r="F90" s="187"/>
    </row>
    <row r="91" spans="1:6" x14ac:dyDescent="0.2">
      <c r="A91" s="275"/>
      <c r="B91" s="78"/>
      <c r="C91" s="189"/>
      <c r="D91" s="185"/>
      <c r="E91" s="186"/>
      <c r="F91" s="187"/>
    </row>
    <row r="92" spans="1:6" x14ac:dyDescent="0.2">
      <c r="A92" s="275"/>
      <c r="B92" s="78"/>
      <c r="C92" s="189"/>
      <c r="D92" s="185"/>
      <c r="E92" s="186"/>
      <c r="F92" s="187"/>
    </row>
    <row r="93" spans="1:6" x14ac:dyDescent="0.2">
      <c r="A93" s="275"/>
      <c r="B93" s="78"/>
      <c r="C93" s="189"/>
      <c r="D93" s="185"/>
      <c r="E93" s="186"/>
      <c r="F93" s="187"/>
    </row>
    <row r="94" spans="1:6" x14ac:dyDescent="0.2">
      <c r="A94" s="275"/>
      <c r="B94" s="78"/>
      <c r="C94" s="189"/>
      <c r="D94" s="185"/>
      <c r="E94" s="186"/>
      <c r="F94" s="187"/>
    </row>
    <row r="95" spans="1:6" x14ac:dyDescent="0.2">
      <c r="A95" s="275"/>
      <c r="B95" s="78"/>
      <c r="C95" s="189"/>
      <c r="D95" s="185"/>
      <c r="E95" s="186"/>
      <c r="F95" s="187"/>
    </row>
    <row r="96" spans="1:6" x14ac:dyDescent="0.2">
      <c r="A96" s="275"/>
      <c r="B96" s="78"/>
      <c r="C96" s="189"/>
      <c r="D96" s="185"/>
      <c r="E96" s="186"/>
      <c r="F96" s="187"/>
    </row>
    <row r="97" spans="1:6" x14ac:dyDescent="0.2">
      <c r="A97" s="275"/>
      <c r="B97" s="78"/>
      <c r="C97" s="189"/>
      <c r="D97" s="185"/>
      <c r="E97" s="186"/>
      <c r="F97" s="187"/>
    </row>
    <row r="98" spans="1:6" x14ac:dyDescent="0.2">
      <c r="A98" s="275"/>
      <c r="B98" s="78"/>
      <c r="C98" s="189"/>
      <c r="D98" s="185"/>
      <c r="E98" s="186"/>
      <c r="F98" s="187"/>
    </row>
    <row r="99" spans="1:6" x14ac:dyDescent="0.2">
      <c r="A99" s="275"/>
      <c r="B99" s="78"/>
      <c r="C99" s="189"/>
      <c r="D99" s="185"/>
      <c r="E99" s="186"/>
      <c r="F99" s="187"/>
    </row>
    <row r="100" spans="1:6" x14ac:dyDescent="0.2">
      <c r="A100" s="275"/>
      <c r="B100" s="78"/>
      <c r="C100" s="189"/>
      <c r="D100" s="185"/>
      <c r="E100" s="186"/>
      <c r="F100" s="187"/>
    </row>
    <row r="101" spans="1:6" x14ac:dyDescent="0.2">
      <c r="A101" s="275"/>
      <c r="B101" s="78"/>
      <c r="C101" s="189"/>
      <c r="D101" s="185"/>
      <c r="E101" s="186"/>
      <c r="F101" s="187"/>
    </row>
    <row r="102" spans="1:6" x14ac:dyDescent="0.2">
      <c r="A102" s="275"/>
      <c r="B102" s="78"/>
      <c r="C102" s="189"/>
      <c r="D102" s="185"/>
      <c r="E102" s="186"/>
      <c r="F102" s="187"/>
    </row>
    <row r="103" spans="1:6" x14ac:dyDescent="0.2">
      <c r="A103" s="275"/>
      <c r="B103" s="78"/>
      <c r="C103" s="189"/>
      <c r="D103" s="185"/>
      <c r="E103" s="186"/>
      <c r="F103" s="187"/>
    </row>
    <row r="104" spans="1:6" x14ac:dyDescent="0.2">
      <c r="A104" s="275"/>
      <c r="B104" s="78"/>
      <c r="C104" s="189"/>
      <c r="D104" s="185"/>
      <c r="E104" s="186"/>
      <c r="F104" s="187"/>
    </row>
    <row r="105" spans="1:6" x14ac:dyDescent="0.2">
      <c r="A105" s="275"/>
      <c r="B105" s="78"/>
      <c r="C105" s="189"/>
      <c r="D105" s="185"/>
      <c r="E105" s="186"/>
      <c r="F105" s="187"/>
    </row>
    <row r="106" spans="1:6" x14ac:dyDescent="0.2">
      <c r="A106" s="275"/>
      <c r="B106" s="78"/>
      <c r="C106" s="189"/>
      <c r="D106" s="185"/>
      <c r="E106" s="186"/>
      <c r="F106" s="187"/>
    </row>
    <row r="107" spans="1:6" x14ac:dyDescent="0.2">
      <c r="A107" s="275"/>
      <c r="B107" s="78"/>
      <c r="C107" s="189"/>
      <c r="D107" s="185"/>
      <c r="E107" s="186"/>
      <c r="F107" s="187"/>
    </row>
    <row r="108" spans="1:6" x14ac:dyDescent="0.2">
      <c r="A108" s="275"/>
      <c r="B108" s="78"/>
      <c r="C108" s="189"/>
      <c r="D108" s="185"/>
      <c r="E108" s="186"/>
      <c r="F108" s="187"/>
    </row>
    <row r="109" spans="1:6" x14ac:dyDescent="0.2">
      <c r="A109" s="275"/>
      <c r="B109" s="78"/>
      <c r="C109" s="189"/>
      <c r="D109" s="185"/>
      <c r="E109" s="186"/>
      <c r="F109" s="187"/>
    </row>
    <row r="110" spans="1:6" x14ac:dyDescent="0.2">
      <c r="A110" s="275"/>
      <c r="B110" s="78"/>
      <c r="C110" s="189"/>
      <c r="D110" s="185"/>
      <c r="E110" s="186"/>
      <c r="F110" s="187"/>
    </row>
    <row r="111" spans="1:6" x14ac:dyDescent="0.2">
      <c r="A111" s="275"/>
      <c r="B111" s="78"/>
      <c r="C111" s="189"/>
      <c r="D111" s="185"/>
      <c r="E111" s="186"/>
      <c r="F111" s="187"/>
    </row>
    <row r="112" spans="1:6" x14ac:dyDescent="0.2">
      <c r="A112" s="275"/>
      <c r="B112" s="78"/>
      <c r="C112" s="189"/>
      <c r="D112" s="185"/>
      <c r="E112" s="186"/>
      <c r="F112" s="187"/>
    </row>
    <row r="113" spans="1:6" x14ac:dyDescent="0.2">
      <c r="A113" s="275"/>
      <c r="B113" s="78"/>
      <c r="C113" s="189"/>
      <c r="D113" s="185"/>
      <c r="E113" s="186"/>
      <c r="F113" s="187"/>
    </row>
    <row r="114" spans="1:6" x14ac:dyDescent="0.2">
      <c r="A114" s="275"/>
      <c r="B114" s="78"/>
      <c r="C114" s="189"/>
      <c r="D114" s="185"/>
      <c r="E114" s="186"/>
      <c r="F114" s="187"/>
    </row>
    <row r="115" spans="1:6" x14ac:dyDescent="0.2">
      <c r="A115" s="275"/>
      <c r="B115" s="78"/>
      <c r="C115" s="189"/>
      <c r="D115" s="185"/>
      <c r="E115" s="186"/>
      <c r="F115" s="187"/>
    </row>
    <row r="116" spans="1:6" x14ac:dyDescent="0.2">
      <c r="A116" s="275"/>
      <c r="B116" s="78"/>
      <c r="C116" s="189"/>
      <c r="D116" s="185"/>
      <c r="E116" s="186"/>
      <c r="F116" s="187"/>
    </row>
    <row r="117" spans="1:6" x14ac:dyDescent="0.2">
      <c r="A117" s="275"/>
      <c r="B117" s="78"/>
      <c r="C117" s="189"/>
      <c r="D117" s="185"/>
      <c r="E117" s="186"/>
      <c r="F117" s="187"/>
    </row>
    <row r="118" spans="1:6" x14ac:dyDescent="0.2">
      <c r="A118" s="275"/>
      <c r="B118" s="78"/>
      <c r="C118" s="189"/>
      <c r="D118" s="185"/>
      <c r="E118" s="186"/>
      <c r="F118" s="187"/>
    </row>
    <row r="119" spans="1:6" x14ac:dyDescent="0.2">
      <c r="A119" s="275"/>
      <c r="B119" s="78"/>
      <c r="C119" s="189"/>
      <c r="D119" s="185"/>
      <c r="E119" s="186"/>
      <c r="F119" s="187"/>
    </row>
    <row r="120" spans="1:6" x14ac:dyDescent="0.2">
      <c r="A120" s="275"/>
      <c r="B120" s="78"/>
      <c r="C120" s="189"/>
      <c r="D120" s="185"/>
      <c r="E120" s="186"/>
      <c r="F120" s="187"/>
    </row>
    <row r="121" spans="1:6" x14ac:dyDescent="0.2">
      <c r="A121" s="275"/>
      <c r="B121" s="78"/>
      <c r="C121" s="189"/>
      <c r="D121" s="185"/>
      <c r="E121" s="186"/>
      <c r="F121" s="187"/>
    </row>
    <row r="122" spans="1:6" x14ac:dyDescent="0.2">
      <c r="A122" s="275"/>
      <c r="B122" s="78"/>
      <c r="C122" s="189"/>
      <c r="D122" s="185"/>
      <c r="E122" s="186"/>
      <c r="F122" s="187"/>
    </row>
    <row r="123" spans="1:6" x14ac:dyDescent="0.2">
      <c r="A123" s="275"/>
      <c r="B123" s="78"/>
      <c r="C123" s="189"/>
      <c r="D123" s="185"/>
      <c r="E123" s="186"/>
      <c r="F123" s="187"/>
    </row>
    <row r="124" spans="1:6" x14ac:dyDescent="0.2">
      <c r="A124" s="275"/>
      <c r="B124" s="78"/>
      <c r="C124" s="189"/>
      <c r="D124" s="185"/>
      <c r="E124" s="186"/>
      <c r="F124" s="187"/>
    </row>
    <row r="125" spans="1:6" x14ac:dyDescent="0.2">
      <c r="A125" s="275"/>
      <c r="B125" s="78"/>
      <c r="C125" s="189"/>
      <c r="D125" s="185"/>
      <c r="E125" s="186"/>
      <c r="F125" s="187"/>
    </row>
    <row r="126" spans="1:6" x14ac:dyDescent="0.2">
      <c r="A126" s="275"/>
      <c r="B126" s="78"/>
      <c r="C126" s="189"/>
      <c r="D126" s="185"/>
      <c r="E126" s="186"/>
      <c r="F126" s="187"/>
    </row>
    <row r="127" spans="1:6" x14ac:dyDescent="0.2">
      <c r="A127" s="275"/>
      <c r="B127" s="78"/>
      <c r="C127" s="189"/>
      <c r="D127" s="185"/>
      <c r="E127" s="186"/>
      <c r="F127" s="187"/>
    </row>
    <row r="128" spans="1:6" x14ac:dyDescent="0.2">
      <c r="A128" s="275"/>
      <c r="B128" s="78"/>
      <c r="C128" s="189"/>
      <c r="D128" s="185"/>
      <c r="E128" s="186"/>
      <c r="F128" s="187"/>
    </row>
    <row r="129" spans="1:6" x14ac:dyDescent="0.2">
      <c r="A129" s="275"/>
      <c r="B129" s="78"/>
      <c r="C129" s="189"/>
      <c r="D129" s="185"/>
      <c r="E129" s="186"/>
      <c r="F129" s="187"/>
    </row>
    <row r="130" spans="1:6" x14ac:dyDescent="0.2">
      <c r="A130" s="275"/>
      <c r="B130" s="78"/>
      <c r="C130" s="189"/>
      <c r="D130" s="185"/>
      <c r="E130" s="186"/>
      <c r="F130" s="187"/>
    </row>
    <row r="131" spans="1:6" x14ac:dyDescent="0.2">
      <c r="A131" s="275"/>
      <c r="B131" s="78"/>
      <c r="C131" s="189"/>
      <c r="D131" s="185"/>
      <c r="E131" s="186"/>
      <c r="F131" s="187"/>
    </row>
    <row r="132" spans="1:6" x14ac:dyDescent="0.2">
      <c r="A132" s="275"/>
      <c r="B132" s="78"/>
      <c r="C132" s="189"/>
      <c r="D132" s="185"/>
      <c r="E132" s="186"/>
      <c r="F132" s="187"/>
    </row>
    <row r="133" spans="1:6" x14ac:dyDescent="0.2">
      <c r="A133" s="275"/>
      <c r="B133" s="78"/>
      <c r="C133" s="189"/>
      <c r="D133" s="185"/>
      <c r="E133" s="186"/>
      <c r="F133" s="187"/>
    </row>
    <row r="134" spans="1:6" x14ac:dyDescent="0.2">
      <c r="A134" s="275"/>
      <c r="B134" s="78"/>
      <c r="C134" s="189"/>
      <c r="D134" s="185"/>
      <c r="E134" s="186"/>
      <c r="F134" s="187"/>
    </row>
    <row r="135" spans="1:6" x14ac:dyDescent="0.2">
      <c r="A135" s="275"/>
      <c r="B135" s="78"/>
      <c r="C135" s="189"/>
      <c r="D135" s="185"/>
      <c r="E135" s="186"/>
      <c r="F135" s="187"/>
    </row>
    <row r="136" spans="1:6" x14ac:dyDescent="0.2">
      <c r="A136" s="275"/>
      <c r="B136" s="78"/>
      <c r="C136" s="189"/>
      <c r="D136" s="185"/>
      <c r="E136" s="186"/>
      <c r="F136" s="187"/>
    </row>
    <row r="137" spans="1:6" x14ac:dyDescent="0.2">
      <c r="A137" s="275"/>
      <c r="B137" s="78"/>
      <c r="C137" s="189"/>
      <c r="D137" s="185"/>
      <c r="E137" s="186"/>
      <c r="F137" s="187"/>
    </row>
    <row r="138" spans="1:6" x14ac:dyDescent="0.2">
      <c r="A138" s="275"/>
      <c r="B138" s="78"/>
      <c r="C138" s="189"/>
      <c r="D138" s="185"/>
      <c r="E138" s="186"/>
      <c r="F138" s="187"/>
    </row>
    <row r="139" spans="1:6" x14ac:dyDescent="0.2">
      <c r="A139" s="275"/>
      <c r="B139" s="78"/>
      <c r="C139" s="189"/>
      <c r="D139" s="185"/>
      <c r="E139" s="186"/>
      <c r="F139" s="187"/>
    </row>
    <row r="140" spans="1:6" x14ac:dyDescent="0.2">
      <c r="A140" s="275"/>
      <c r="B140" s="78"/>
      <c r="C140" s="189"/>
      <c r="D140" s="185"/>
      <c r="E140" s="186"/>
      <c r="F140" s="187"/>
    </row>
    <row r="141" spans="1:6" x14ac:dyDescent="0.2">
      <c r="A141" s="275"/>
      <c r="B141" s="78"/>
      <c r="C141" s="189"/>
      <c r="D141" s="185"/>
      <c r="E141" s="186"/>
      <c r="F141" s="187"/>
    </row>
    <row r="142" spans="1:6" x14ac:dyDescent="0.2">
      <c r="A142" s="275"/>
      <c r="B142" s="78"/>
      <c r="C142" s="189"/>
      <c r="D142" s="185"/>
      <c r="E142" s="186"/>
      <c r="F142" s="187"/>
    </row>
    <row r="143" spans="1:6" x14ac:dyDescent="0.2">
      <c r="A143" s="275"/>
      <c r="B143" s="78"/>
      <c r="C143" s="189"/>
      <c r="D143" s="185"/>
      <c r="E143" s="186"/>
      <c r="F143" s="187"/>
    </row>
    <row r="144" spans="1:6" x14ac:dyDescent="0.2">
      <c r="A144" s="275"/>
      <c r="B144" s="78"/>
      <c r="C144" s="189"/>
      <c r="D144" s="185"/>
      <c r="E144" s="186"/>
      <c r="F144" s="187"/>
    </row>
    <row r="145" spans="1:6" x14ac:dyDescent="0.2">
      <c r="A145" s="275"/>
      <c r="B145" s="78"/>
      <c r="C145" s="189"/>
      <c r="D145" s="185"/>
      <c r="E145" s="186"/>
      <c r="F145" s="187"/>
    </row>
    <row r="146" spans="1:6" x14ac:dyDescent="0.2">
      <c r="A146" s="275"/>
      <c r="B146" s="78"/>
      <c r="C146" s="189"/>
      <c r="D146" s="185"/>
      <c r="E146" s="186"/>
      <c r="F146" s="187"/>
    </row>
    <row r="147" spans="1:6" x14ac:dyDescent="0.2">
      <c r="A147" s="275"/>
      <c r="B147" s="78"/>
      <c r="C147" s="189"/>
      <c r="D147" s="185"/>
      <c r="E147" s="186"/>
      <c r="F147" s="187"/>
    </row>
    <row r="148" spans="1:6" x14ac:dyDescent="0.2">
      <c r="A148" s="275"/>
      <c r="B148" s="78"/>
      <c r="C148" s="189"/>
      <c r="D148" s="185"/>
      <c r="E148" s="186"/>
      <c r="F148" s="187"/>
    </row>
    <row r="149" spans="1:6" x14ac:dyDescent="0.2">
      <c r="A149" s="275"/>
      <c r="B149" s="78"/>
      <c r="C149" s="189"/>
      <c r="D149" s="185"/>
      <c r="E149" s="186"/>
      <c r="F149" s="187"/>
    </row>
    <row r="150" spans="1:6" x14ac:dyDescent="0.2">
      <c r="A150" s="275"/>
      <c r="B150" s="78"/>
      <c r="C150" s="189"/>
      <c r="D150" s="185"/>
      <c r="E150" s="186"/>
      <c r="F150" s="187"/>
    </row>
    <row r="151" spans="1:6" x14ac:dyDescent="0.2">
      <c r="A151" s="275"/>
      <c r="B151" s="78"/>
      <c r="C151" s="189"/>
      <c r="D151" s="185"/>
      <c r="E151" s="186"/>
      <c r="F151" s="187"/>
    </row>
    <row r="152" spans="1:6" x14ac:dyDescent="0.2">
      <c r="A152" s="275"/>
      <c r="B152" s="78"/>
      <c r="C152" s="189"/>
      <c r="D152" s="185"/>
      <c r="E152" s="186"/>
      <c r="F152" s="187"/>
    </row>
    <row r="153" spans="1:6" x14ac:dyDescent="0.2">
      <c r="A153" s="275"/>
      <c r="B153" s="78"/>
      <c r="C153" s="189"/>
      <c r="D153" s="185"/>
      <c r="E153" s="186"/>
      <c r="F153" s="187"/>
    </row>
    <row r="154" spans="1:6" x14ac:dyDescent="0.2">
      <c r="A154" s="275"/>
      <c r="B154" s="78"/>
      <c r="C154" s="189"/>
      <c r="D154" s="185"/>
      <c r="E154" s="186"/>
      <c r="F154" s="187"/>
    </row>
    <row r="155" spans="1:6" x14ac:dyDescent="0.2">
      <c r="A155" s="275"/>
      <c r="B155" s="78"/>
      <c r="C155" s="189"/>
      <c r="D155" s="185"/>
      <c r="E155" s="186"/>
      <c r="F155" s="187"/>
    </row>
    <row r="156" spans="1:6" x14ac:dyDescent="0.2">
      <c r="A156" s="275"/>
      <c r="B156" s="78"/>
      <c r="C156" s="189"/>
      <c r="D156" s="185"/>
      <c r="E156" s="186"/>
      <c r="F156" s="187"/>
    </row>
    <row r="157" spans="1:6" x14ac:dyDescent="0.2">
      <c r="A157" s="275"/>
      <c r="B157" s="78"/>
      <c r="C157" s="189"/>
      <c r="D157" s="185"/>
      <c r="E157" s="186"/>
      <c r="F157" s="187"/>
    </row>
    <row r="158" spans="1:6" x14ac:dyDescent="0.2">
      <c r="A158" s="275"/>
      <c r="B158" s="78"/>
      <c r="C158" s="189"/>
      <c r="D158" s="185"/>
      <c r="E158" s="186"/>
      <c r="F158" s="187"/>
    </row>
    <row r="159" spans="1:6" x14ac:dyDescent="0.2">
      <c r="A159" s="275"/>
      <c r="B159" s="78"/>
      <c r="C159" s="189"/>
      <c r="D159" s="185"/>
      <c r="E159" s="186"/>
      <c r="F159" s="187"/>
    </row>
    <row r="160" spans="1:6" x14ac:dyDescent="0.2">
      <c r="A160" s="275"/>
      <c r="B160" s="78"/>
      <c r="C160" s="189"/>
      <c r="D160" s="185"/>
      <c r="E160" s="186"/>
      <c r="F160" s="187"/>
    </row>
    <row r="161" spans="1:6" x14ac:dyDescent="0.2">
      <c r="A161" s="275"/>
      <c r="B161" s="78"/>
      <c r="C161" s="189"/>
      <c r="D161" s="185"/>
      <c r="E161" s="186"/>
      <c r="F161" s="187"/>
    </row>
    <row r="162" spans="1:6" x14ac:dyDescent="0.2">
      <c r="A162" s="275"/>
      <c r="B162" s="78"/>
      <c r="C162" s="189"/>
      <c r="D162" s="185"/>
      <c r="E162" s="186"/>
      <c r="F162" s="187"/>
    </row>
    <row r="163" spans="1:6" x14ac:dyDescent="0.2">
      <c r="A163" s="275"/>
      <c r="B163" s="78"/>
      <c r="C163" s="189"/>
      <c r="D163" s="185"/>
      <c r="E163" s="186"/>
      <c r="F163" s="187"/>
    </row>
    <row r="164" spans="1:6" x14ac:dyDescent="0.2">
      <c r="A164" s="275"/>
      <c r="B164" s="78"/>
      <c r="C164" s="189"/>
      <c r="D164" s="185"/>
      <c r="E164" s="186"/>
      <c r="F164" s="187"/>
    </row>
    <row r="165" spans="1:6" x14ac:dyDescent="0.2">
      <c r="A165" s="275"/>
      <c r="B165" s="78"/>
      <c r="C165" s="189"/>
      <c r="D165" s="185"/>
      <c r="E165" s="186"/>
      <c r="F165" s="187"/>
    </row>
    <row r="166" spans="1:6" x14ac:dyDescent="0.2">
      <c r="A166" s="275"/>
      <c r="B166" s="78"/>
      <c r="C166" s="189"/>
      <c r="D166" s="185"/>
      <c r="E166" s="186"/>
      <c r="F166" s="187"/>
    </row>
    <row r="167" spans="1:6" x14ac:dyDescent="0.2">
      <c r="A167" s="275"/>
      <c r="B167" s="78"/>
      <c r="C167" s="189"/>
      <c r="D167" s="185"/>
      <c r="E167" s="186"/>
      <c r="F167" s="187"/>
    </row>
    <row r="168" spans="1:6" x14ac:dyDescent="0.2">
      <c r="A168" s="275"/>
      <c r="B168" s="78"/>
      <c r="C168" s="189"/>
      <c r="D168" s="185"/>
      <c r="E168" s="186"/>
      <c r="F168" s="187"/>
    </row>
    <row r="169" spans="1:6" x14ac:dyDescent="0.2">
      <c r="A169" s="275"/>
      <c r="B169" s="78"/>
      <c r="C169" s="189"/>
      <c r="D169" s="185"/>
      <c r="E169" s="186"/>
      <c r="F169" s="187"/>
    </row>
    <row r="170" spans="1:6" x14ac:dyDescent="0.2">
      <c r="A170" s="275"/>
      <c r="B170" s="78"/>
      <c r="C170" s="189"/>
      <c r="D170" s="185"/>
      <c r="E170" s="186"/>
      <c r="F170" s="187"/>
    </row>
    <row r="171" spans="1:6" x14ac:dyDescent="0.2">
      <c r="A171" s="275"/>
      <c r="B171" s="78"/>
      <c r="C171" s="189"/>
      <c r="D171" s="185"/>
      <c r="E171" s="186"/>
      <c r="F171" s="187"/>
    </row>
    <row r="172" spans="1:6" x14ac:dyDescent="0.2">
      <c r="A172" s="275"/>
      <c r="B172" s="78"/>
      <c r="C172" s="189"/>
      <c r="D172" s="185"/>
      <c r="E172" s="186"/>
      <c r="F172" s="187"/>
    </row>
    <row r="173" spans="1:6" x14ac:dyDescent="0.2">
      <c r="A173" s="275"/>
      <c r="B173" s="78"/>
      <c r="C173" s="189"/>
      <c r="D173" s="185"/>
      <c r="E173" s="186"/>
      <c r="F173" s="187"/>
    </row>
    <row r="174" spans="1:6" x14ac:dyDescent="0.2">
      <c r="A174" s="275"/>
      <c r="B174" s="78"/>
      <c r="C174" s="189"/>
      <c r="D174" s="185"/>
      <c r="E174" s="186"/>
      <c r="F174" s="187"/>
    </row>
    <row r="175" spans="1:6" x14ac:dyDescent="0.2">
      <c r="A175" s="275"/>
      <c r="B175" s="78"/>
      <c r="C175" s="189"/>
      <c r="D175" s="185"/>
      <c r="E175" s="186"/>
      <c r="F175" s="187"/>
    </row>
    <row r="176" spans="1:6" x14ac:dyDescent="0.2">
      <c r="A176" s="275"/>
      <c r="B176" s="78"/>
      <c r="C176" s="189"/>
      <c r="D176" s="185"/>
      <c r="E176" s="186"/>
      <c r="F176" s="187"/>
    </row>
    <row r="177" spans="1:6" x14ac:dyDescent="0.2">
      <c r="A177" s="275"/>
      <c r="B177" s="78"/>
      <c r="C177" s="189"/>
      <c r="D177" s="185"/>
      <c r="E177" s="186"/>
      <c r="F177" s="187"/>
    </row>
    <row r="178" spans="1:6" x14ac:dyDescent="0.2">
      <c r="A178" s="275"/>
      <c r="B178" s="78"/>
      <c r="C178" s="189"/>
      <c r="D178" s="185"/>
      <c r="E178" s="186"/>
      <c r="F178" s="187"/>
    </row>
    <row r="179" spans="1:6" x14ac:dyDescent="0.2">
      <c r="A179" s="275"/>
      <c r="B179" s="78"/>
      <c r="C179" s="189"/>
      <c r="D179" s="185"/>
      <c r="E179" s="186"/>
      <c r="F179" s="187"/>
    </row>
    <row r="180" spans="1:6" x14ac:dyDescent="0.2">
      <c r="A180" s="275"/>
      <c r="B180" s="78"/>
      <c r="C180" s="189"/>
      <c r="D180" s="185"/>
      <c r="E180" s="186"/>
      <c r="F180" s="187"/>
    </row>
    <row r="181" spans="1:6" x14ac:dyDescent="0.2">
      <c r="A181" s="275"/>
      <c r="B181" s="78"/>
      <c r="C181" s="189"/>
      <c r="D181" s="185"/>
      <c r="E181" s="186"/>
      <c r="F181" s="187"/>
    </row>
    <row r="182" spans="1:6" x14ac:dyDescent="0.2">
      <c r="A182" s="275"/>
      <c r="B182" s="78"/>
      <c r="C182" s="189"/>
      <c r="D182" s="185"/>
      <c r="E182" s="186"/>
      <c r="F182" s="187"/>
    </row>
    <row r="183" spans="1:6" x14ac:dyDescent="0.2">
      <c r="A183" s="275"/>
      <c r="B183" s="78"/>
      <c r="C183" s="189"/>
      <c r="D183" s="185"/>
      <c r="E183" s="186"/>
      <c r="F183" s="187"/>
    </row>
    <row r="184" spans="1:6" x14ac:dyDescent="0.2">
      <c r="A184" s="275"/>
      <c r="B184" s="78"/>
      <c r="C184" s="189"/>
      <c r="D184" s="185"/>
      <c r="E184" s="186"/>
      <c r="F184" s="187"/>
    </row>
    <row r="185" spans="1:6" x14ac:dyDescent="0.2">
      <c r="A185" s="275"/>
      <c r="B185" s="78"/>
      <c r="C185" s="189"/>
      <c r="D185" s="185"/>
      <c r="E185" s="186"/>
      <c r="F185" s="187"/>
    </row>
    <row r="186" spans="1:6" x14ac:dyDescent="0.2">
      <c r="A186" s="275"/>
      <c r="B186" s="78"/>
      <c r="C186" s="189"/>
      <c r="D186" s="185"/>
      <c r="E186" s="186"/>
      <c r="F186" s="187"/>
    </row>
    <row r="187" spans="1:6" x14ac:dyDescent="0.2">
      <c r="A187" s="275"/>
      <c r="B187" s="78"/>
      <c r="C187" s="189"/>
      <c r="D187" s="185"/>
      <c r="E187" s="186"/>
      <c r="F187" s="187"/>
    </row>
    <row r="188" spans="1:6" x14ac:dyDescent="0.2">
      <c r="A188" s="275"/>
      <c r="B188" s="78"/>
      <c r="C188" s="189"/>
      <c r="D188" s="185"/>
      <c r="E188" s="186"/>
      <c r="F188" s="187"/>
    </row>
    <row r="189" spans="1:6" x14ac:dyDescent="0.2">
      <c r="A189" s="275"/>
      <c r="B189" s="78"/>
      <c r="C189" s="189"/>
      <c r="D189" s="185"/>
      <c r="E189" s="186"/>
      <c r="F189" s="187"/>
    </row>
    <row r="190" spans="1:6" x14ac:dyDescent="0.2">
      <c r="A190" s="275"/>
      <c r="B190" s="78"/>
      <c r="C190" s="189"/>
      <c r="D190" s="185"/>
      <c r="E190" s="186"/>
      <c r="F190" s="187"/>
    </row>
    <row r="191" spans="1:6" x14ac:dyDescent="0.2">
      <c r="A191" s="275"/>
      <c r="B191" s="78"/>
      <c r="C191" s="189"/>
      <c r="D191" s="185"/>
      <c r="E191" s="186"/>
      <c r="F191" s="187"/>
    </row>
    <row r="192" spans="1:6" x14ac:dyDescent="0.2">
      <c r="A192" s="275"/>
      <c r="B192" s="78"/>
      <c r="C192" s="189"/>
      <c r="D192" s="185"/>
      <c r="E192" s="186"/>
      <c r="F192" s="187"/>
    </row>
    <row r="193" spans="1:6" x14ac:dyDescent="0.2">
      <c r="A193" s="275"/>
      <c r="B193" s="78"/>
      <c r="C193" s="189"/>
      <c r="D193" s="185"/>
      <c r="E193" s="186"/>
      <c r="F193" s="187"/>
    </row>
    <row r="194" spans="1:6" x14ac:dyDescent="0.2">
      <c r="A194" s="275"/>
      <c r="B194" s="78"/>
      <c r="C194" s="189"/>
      <c r="D194" s="185"/>
      <c r="E194" s="186"/>
      <c r="F194" s="187"/>
    </row>
    <row r="195" spans="1:6" x14ac:dyDescent="0.2">
      <c r="A195" s="275"/>
      <c r="B195" s="78"/>
      <c r="C195" s="189"/>
      <c r="D195" s="185"/>
      <c r="E195" s="186"/>
      <c r="F195" s="187"/>
    </row>
    <row r="196" spans="1:6" x14ac:dyDescent="0.2">
      <c r="A196" s="275"/>
      <c r="B196" s="78"/>
      <c r="C196" s="189"/>
      <c r="D196" s="185"/>
      <c r="E196" s="186"/>
      <c r="F196" s="187"/>
    </row>
    <row r="197" spans="1:6" x14ac:dyDescent="0.2">
      <c r="A197" s="275"/>
      <c r="B197" s="78"/>
      <c r="C197" s="189"/>
      <c r="D197" s="185"/>
      <c r="E197" s="186"/>
      <c r="F197" s="187"/>
    </row>
    <row r="198" spans="1:6" x14ac:dyDescent="0.2">
      <c r="A198" s="275"/>
      <c r="B198" s="78"/>
      <c r="C198" s="189"/>
      <c r="D198" s="185"/>
      <c r="E198" s="186"/>
      <c r="F198" s="187"/>
    </row>
    <row r="199" spans="1:6" x14ac:dyDescent="0.2">
      <c r="A199" s="275"/>
      <c r="B199" s="78"/>
      <c r="C199" s="189"/>
      <c r="D199" s="185"/>
      <c r="E199" s="186"/>
      <c r="F199" s="187"/>
    </row>
    <row r="200" spans="1:6" x14ac:dyDescent="0.2">
      <c r="A200" s="275"/>
      <c r="B200" s="78"/>
      <c r="C200" s="189"/>
      <c r="D200" s="185"/>
      <c r="E200" s="186"/>
      <c r="F200" s="187"/>
    </row>
    <row r="201" spans="1:6" x14ac:dyDescent="0.2">
      <c r="A201" s="275"/>
      <c r="B201" s="78"/>
      <c r="C201" s="189"/>
      <c r="D201" s="185"/>
      <c r="E201" s="186"/>
      <c r="F201" s="187"/>
    </row>
    <row r="202" spans="1:6" x14ac:dyDescent="0.2">
      <c r="A202" s="275"/>
      <c r="B202" s="78"/>
      <c r="C202" s="189"/>
      <c r="D202" s="185"/>
      <c r="E202" s="186"/>
      <c r="F202" s="187"/>
    </row>
    <row r="203" spans="1:6" x14ac:dyDescent="0.2">
      <c r="A203" s="275"/>
      <c r="B203" s="78"/>
      <c r="C203" s="189"/>
      <c r="D203" s="185"/>
      <c r="E203" s="186"/>
      <c r="F203" s="187"/>
    </row>
    <row r="204" spans="1:6" x14ac:dyDescent="0.2">
      <c r="A204" s="275"/>
      <c r="B204" s="78"/>
      <c r="C204" s="189"/>
      <c r="D204" s="185"/>
      <c r="E204" s="186"/>
      <c r="F204" s="187"/>
    </row>
    <row r="205" spans="1:6" x14ac:dyDescent="0.2">
      <c r="A205" s="275"/>
      <c r="B205" s="78"/>
      <c r="C205" s="189"/>
      <c r="D205" s="185"/>
      <c r="E205" s="186"/>
      <c r="F205" s="187"/>
    </row>
    <row r="206" spans="1:6" x14ac:dyDescent="0.2">
      <c r="A206" s="275"/>
      <c r="B206" s="78"/>
      <c r="C206" s="189"/>
      <c r="D206" s="185"/>
      <c r="E206" s="186"/>
      <c r="F206" s="187"/>
    </row>
    <row r="207" spans="1:6" x14ac:dyDescent="0.2">
      <c r="A207" s="275"/>
      <c r="B207" s="78"/>
      <c r="C207" s="189"/>
      <c r="D207" s="185"/>
      <c r="E207" s="186"/>
      <c r="F207" s="187"/>
    </row>
    <row r="208" spans="1:6" x14ac:dyDescent="0.2">
      <c r="A208" s="275"/>
      <c r="B208" s="78"/>
      <c r="C208" s="189"/>
      <c r="D208" s="185"/>
      <c r="E208" s="186"/>
      <c r="F208" s="187"/>
    </row>
    <row r="209" spans="1:6" x14ac:dyDescent="0.2">
      <c r="A209" s="275"/>
      <c r="B209" s="78"/>
      <c r="C209" s="189"/>
      <c r="D209" s="185"/>
      <c r="E209" s="186"/>
      <c r="F209" s="187"/>
    </row>
    <row r="210" spans="1:6" x14ac:dyDescent="0.2">
      <c r="A210" s="275"/>
      <c r="B210" s="78"/>
      <c r="C210" s="189"/>
      <c r="D210" s="185"/>
      <c r="E210" s="186"/>
      <c r="F210" s="187"/>
    </row>
    <row r="211" spans="1:6" x14ac:dyDescent="0.2">
      <c r="A211" s="275"/>
      <c r="B211" s="78"/>
      <c r="C211" s="189"/>
      <c r="D211" s="185"/>
      <c r="E211" s="186"/>
      <c r="F211" s="187"/>
    </row>
    <row r="212" spans="1:6" x14ac:dyDescent="0.2">
      <c r="A212" s="275"/>
      <c r="B212" s="78"/>
      <c r="C212" s="189"/>
      <c r="D212" s="185"/>
      <c r="E212" s="186"/>
      <c r="F212" s="187"/>
    </row>
    <row r="213" spans="1:6" x14ac:dyDescent="0.2">
      <c r="A213" s="275"/>
      <c r="B213" s="78"/>
      <c r="C213" s="189"/>
      <c r="D213" s="185"/>
      <c r="E213" s="186"/>
      <c r="F213" s="187"/>
    </row>
    <row r="214" spans="1:6" x14ac:dyDescent="0.2">
      <c r="A214" s="275"/>
      <c r="B214" s="78"/>
      <c r="C214" s="189"/>
      <c r="D214" s="185"/>
      <c r="E214" s="186"/>
      <c r="F214" s="187"/>
    </row>
    <row r="215" spans="1:6" x14ac:dyDescent="0.2">
      <c r="A215" s="275"/>
      <c r="B215" s="78"/>
      <c r="C215" s="189"/>
      <c r="D215" s="185"/>
      <c r="E215" s="186"/>
      <c r="F215" s="187"/>
    </row>
    <row r="216" spans="1:6" x14ac:dyDescent="0.2">
      <c r="A216" s="275"/>
      <c r="B216" s="78"/>
      <c r="C216" s="189"/>
      <c r="D216" s="185"/>
      <c r="E216" s="186"/>
      <c r="F216" s="187"/>
    </row>
    <row r="217" spans="1:6" x14ac:dyDescent="0.2">
      <c r="A217" s="275"/>
      <c r="B217" s="78"/>
      <c r="C217" s="189"/>
      <c r="D217" s="185"/>
      <c r="E217" s="186"/>
      <c r="F217" s="187"/>
    </row>
    <row r="218" spans="1:6" x14ac:dyDescent="0.2">
      <c r="A218" s="275"/>
      <c r="B218" s="78"/>
      <c r="C218" s="189"/>
      <c r="D218" s="185"/>
      <c r="E218" s="186"/>
      <c r="F218" s="187"/>
    </row>
    <row r="219" spans="1:6" x14ac:dyDescent="0.2">
      <c r="A219" s="275"/>
      <c r="B219" s="78"/>
      <c r="C219" s="189"/>
      <c r="D219" s="185"/>
      <c r="E219" s="186"/>
      <c r="F219" s="187"/>
    </row>
    <row r="220" spans="1:6" x14ac:dyDescent="0.2">
      <c r="A220" s="275"/>
      <c r="B220" s="78"/>
      <c r="C220" s="189"/>
      <c r="D220" s="185"/>
      <c r="E220" s="186"/>
      <c r="F220" s="187"/>
    </row>
    <row r="221" spans="1:6" x14ac:dyDescent="0.2">
      <c r="A221" s="275"/>
      <c r="B221" s="78"/>
      <c r="C221" s="189"/>
      <c r="D221" s="185"/>
      <c r="E221" s="186"/>
      <c r="F221" s="187"/>
    </row>
    <row r="222" spans="1:6" x14ac:dyDescent="0.2">
      <c r="A222" s="275"/>
      <c r="B222" s="78"/>
      <c r="C222" s="189"/>
      <c r="D222" s="185"/>
      <c r="E222" s="186"/>
      <c r="F222" s="187"/>
    </row>
    <row r="223" spans="1:6" x14ac:dyDescent="0.2">
      <c r="A223" s="275"/>
      <c r="B223" s="78"/>
      <c r="C223" s="189"/>
      <c r="D223" s="185"/>
      <c r="E223" s="186"/>
      <c r="F223" s="187"/>
    </row>
    <row r="224" spans="1:6" x14ac:dyDescent="0.2">
      <c r="A224" s="275"/>
      <c r="B224" s="78"/>
      <c r="C224" s="189"/>
      <c r="D224" s="185"/>
      <c r="E224" s="186"/>
      <c r="F224" s="187"/>
    </row>
    <row r="225" spans="1:6" x14ac:dyDescent="0.2">
      <c r="A225" s="275"/>
      <c r="B225" s="78"/>
      <c r="C225" s="189"/>
      <c r="D225" s="185"/>
      <c r="E225" s="186"/>
      <c r="F225" s="187"/>
    </row>
    <row r="226" spans="1:6" x14ac:dyDescent="0.2">
      <c r="A226" s="275"/>
      <c r="B226" s="78"/>
      <c r="C226" s="189"/>
      <c r="D226" s="185"/>
      <c r="E226" s="186"/>
      <c r="F226" s="187"/>
    </row>
    <row r="227" spans="1:6" x14ac:dyDescent="0.2">
      <c r="A227" s="275"/>
      <c r="B227" s="78"/>
      <c r="C227" s="189"/>
      <c r="D227" s="185"/>
      <c r="E227" s="186"/>
      <c r="F227" s="187"/>
    </row>
    <row r="228" spans="1:6" x14ac:dyDescent="0.2">
      <c r="A228" s="275"/>
      <c r="B228" s="78"/>
      <c r="C228" s="189"/>
      <c r="D228" s="185"/>
      <c r="E228" s="186"/>
      <c r="F228" s="187"/>
    </row>
    <row r="229" spans="1:6" x14ac:dyDescent="0.2">
      <c r="A229" s="275"/>
      <c r="B229" s="78"/>
      <c r="C229" s="189"/>
      <c r="D229" s="185"/>
      <c r="E229" s="186"/>
      <c r="F229" s="187"/>
    </row>
    <row r="230" spans="1:6" x14ac:dyDescent="0.2">
      <c r="A230" s="275"/>
      <c r="B230" s="78"/>
      <c r="C230" s="189"/>
      <c r="D230" s="185"/>
      <c r="E230" s="186"/>
      <c r="F230" s="187"/>
    </row>
    <row r="231" spans="1:6" x14ac:dyDescent="0.2">
      <c r="A231" s="275"/>
      <c r="B231" s="78"/>
      <c r="C231" s="189"/>
      <c r="D231" s="185"/>
      <c r="E231" s="186"/>
      <c r="F231" s="187"/>
    </row>
    <row r="232" spans="1:6" x14ac:dyDescent="0.2">
      <c r="A232" s="275"/>
      <c r="B232" s="78"/>
      <c r="C232" s="189"/>
      <c r="D232" s="185"/>
      <c r="E232" s="186"/>
      <c r="F232" s="187"/>
    </row>
    <row r="233" spans="1:6" x14ac:dyDescent="0.2">
      <c r="A233" s="275"/>
      <c r="B233" s="78"/>
      <c r="C233" s="189"/>
      <c r="D233" s="185"/>
      <c r="E233" s="186"/>
      <c r="F233" s="187"/>
    </row>
    <row r="234" spans="1:6" x14ac:dyDescent="0.2">
      <c r="A234" s="275"/>
      <c r="B234" s="78"/>
      <c r="C234" s="189"/>
      <c r="D234" s="185"/>
      <c r="E234" s="186"/>
      <c r="F234" s="187"/>
    </row>
    <row r="235" spans="1:6" x14ac:dyDescent="0.2">
      <c r="A235" s="275"/>
      <c r="B235" s="78"/>
      <c r="C235" s="189"/>
      <c r="D235" s="185"/>
      <c r="E235" s="186"/>
      <c r="F235" s="187"/>
    </row>
    <row r="236" spans="1:6" x14ac:dyDescent="0.2">
      <c r="A236" s="275"/>
      <c r="B236" s="78"/>
      <c r="C236" s="189"/>
      <c r="D236" s="185"/>
      <c r="E236" s="186"/>
      <c r="F236" s="187"/>
    </row>
    <row r="237" spans="1:6" x14ac:dyDescent="0.2">
      <c r="A237" s="275"/>
      <c r="B237" s="78"/>
      <c r="C237" s="189"/>
      <c r="D237" s="185"/>
      <c r="E237" s="186"/>
      <c r="F237" s="187"/>
    </row>
    <row r="238" spans="1:6" x14ac:dyDescent="0.2">
      <c r="A238" s="275"/>
      <c r="B238" s="78"/>
      <c r="C238" s="189"/>
      <c r="D238" s="185"/>
      <c r="E238" s="186"/>
      <c r="F238" s="187"/>
    </row>
    <row r="239" spans="1:6" x14ac:dyDescent="0.2">
      <c r="A239" s="275"/>
      <c r="B239" s="78"/>
      <c r="C239" s="189"/>
      <c r="D239" s="185"/>
      <c r="E239" s="186"/>
      <c r="F239" s="187"/>
    </row>
    <row r="240" spans="1:6" x14ac:dyDescent="0.2">
      <c r="A240" s="275"/>
      <c r="B240" s="78"/>
      <c r="C240" s="189"/>
      <c r="D240" s="185"/>
      <c r="E240" s="186"/>
      <c r="F240" s="187"/>
    </row>
    <row r="241" spans="1:6" x14ac:dyDescent="0.2">
      <c r="A241" s="275"/>
      <c r="B241" s="78"/>
      <c r="C241" s="189"/>
      <c r="D241" s="185"/>
      <c r="E241" s="186"/>
      <c r="F241" s="187"/>
    </row>
    <row r="242" spans="1:6" x14ac:dyDescent="0.2">
      <c r="A242" s="275"/>
      <c r="B242" s="78"/>
      <c r="C242" s="189"/>
      <c r="D242" s="185"/>
      <c r="E242" s="186"/>
      <c r="F242" s="187"/>
    </row>
    <row r="243" spans="1:6" x14ac:dyDescent="0.2">
      <c r="A243" s="275"/>
      <c r="B243" s="78"/>
      <c r="C243" s="189"/>
      <c r="D243" s="185"/>
      <c r="E243" s="186"/>
      <c r="F243" s="187"/>
    </row>
    <row r="244" spans="1:6" x14ac:dyDescent="0.2">
      <c r="A244" s="275"/>
      <c r="B244" s="78"/>
      <c r="C244" s="189"/>
      <c r="D244" s="185"/>
      <c r="E244" s="186"/>
      <c r="F244" s="187"/>
    </row>
    <row r="245" spans="1:6" x14ac:dyDescent="0.2">
      <c r="A245" s="275"/>
      <c r="B245" s="78"/>
      <c r="C245" s="189"/>
      <c r="D245" s="185"/>
      <c r="E245" s="186"/>
      <c r="F245" s="187"/>
    </row>
    <row r="246" spans="1:6" x14ac:dyDescent="0.2">
      <c r="A246" s="275"/>
      <c r="B246" s="78"/>
      <c r="C246" s="189"/>
      <c r="D246" s="185"/>
      <c r="E246" s="186"/>
      <c r="F246" s="187"/>
    </row>
    <row r="247" spans="1:6" x14ac:dyDescent="0.2">
      <c r="A247" s="275"/>
      <c r="B247" s="78"/>
      <c r="C247" s="189"/>
      <c r="D247" s="185"/>
      <c r="E247" s="186"/>
      <c r="F247" s="187"/>
    </row>
    <row r="248" spans="1:6" x14ac:dyDescent="0.2">
      <c r="A248" s="275"/>
      <c r="B248" s="78"/>
      <c r="C248" s="189"/>
      <c r="D248" s="185"/>
      <c r="E248" s="186"/>
      <c r="F248" s="187"/>
    </row>
    <row r="249" spans="1:6" x14ac:dyDescent="0.2">
      <c r="A249" s="275"/>
      <c r="B249" s="78"/>
      <c r="C249" s="189"/>
      <c r="D249" s="185"/>
      <c r="E249" s="186"/>
      <c r="F249" s="187"/>
    </row>
    <row r="250" spans="1:6" x14ac:dyDescent="0.2">
      <c r="A250" s="275"/>
      <c r="B250" s="78"/>
      <c r="C250" s="189"/>
      <c r="D250" s="185"/>
      <c r="E250" s="186"/>
      <c r="F250" s="187"/>
    </row>
    <row r="251" spans="1:6" x14ac:dyDescent="0.2">
      <c r="A251" s="275"/>
      <c r="B251" s="78"/>
      <c r="C251" s="189"/>
      <c r="D251" s="185"/>
      <c r="E251" s="186"/>
      <c r="F251" s="187"/>
    </row>
    <row r="252" spans="1:6" x14ac:dyDescent="0.2">
      <c r="A252" s="275"/>
      <c r="B252" s="78"/>
      <c r="C252" s="189"/>
      <c r="D252" s="185"/>
      <c r="E252" s="186"/>
      <c r="F252" s="187"/>
    </row>
    <row r="253" spans="1:6" x14ac:dyDescent="0.2">
      <c r="A253" s="275"/>
      <c r="B253" s="78"/>
      <c r="C253" s="189"/>
      <c r="D253" s="185"/>
      <c r="E253" s="186"/>
      <c r="F253" s="187"/>
    </row>
    <row r="254" spans="1:6" x14ac:dyDescent="0.2">
      <c r="A254" s="275"/>
      <c r="B254" s="78"/>
      <c r="C254" s="189"/>
      <c r="D254" s="185"/>
      <c r="E254" s="186"/>
      <c r="F254" s="187"/>
    </row>
    <row r="255" spans="1:6" x14ac:dyDescent="0.2">
      <c r="A255" s="275"/>
      <c r="B255" s="78"/>
      <c r="C255" s="189"/>
      <c r="D255" s="185"/>
      <c r="E255" s="186"/>
      <c r="F255" s="187"/>
    </row>
    <row r="256" spans="1:6" x14ac:dyDescent="0.2">
      <c r="A256" s="275"/>
      <c r="B256" s="78"/>
      <c r="C256" s="189"/>
      <c r="D256" s="185"/>
      <c r="E256" s="186"/>
      <c r="F256" s="187"/>
    </row>
    <row r="257" spans="1:6" x14ac:dyDescent="0.2">
      <c r="A257" s="275"/>
      <c r="B257" s="78"/>
      <c r="C257" s="189"/>
      <c r="D257" s="185"/>
      <c r="E257" s="186"/>
      <c r="F257" s="187"/>
    </row>
    <row r="258" spans="1:6" x14ac:dyDescent="0.2">
      <c r="A258" s="275"/>
      <c r="B258" s="78"/>
      <c r="C258" s="189"/>
      <c r="D258" s="185"/>
      <c r="E258" s="186"/>
      <c r="F258" s="187"/>
    </row>
    <row r="259" spans="1:6" x14ac:dyDescent="0.2">
      <c r="A259" s="275"/>
      <c r="B259" s="78"/>
      <c r="C259" s="189"/>
      <c r="D259" s="185"/>
      <c r="E259" s="186"/>
      <c r="F259" s="187"/>
    </row>
    <row r="260" spans="1:6" x14ac:dyDescent="0.2">
      <c r="A260" s="275"/>
      <c r="B260" s="78"/>
      <c r="C260" s="189"/>
      <c r="D260" s="185"/>
      <c r="E260" s="186"/>
      <c r="F260" s="187"/>
    </row>
    <row r="261" spans="1:6" x14ac:dyDescent="0.2">
      <c r="A261" s="275"/>
      <c r="B261" s="78"/>
      <c r="C261" s="189"/>
      <c r="D261" s="185"/>
      <c r="E261" s="186"/>
      <c r="F261" s="187"/>
    </row>
    <row r="262" spans="1:6" x14ac:dyDescent="0.2">
      <c r="A262" s="275"/>
      <c r="B262" s="78"/>
      <c r="C262" s="189"/>
      <c r="D262" s="185"/>
      <c r="E262" s="186"/>
      <c r="F262" s="187"/>
    </row>
    <row r="263" spans="1:6" x14ac:dyDescent="0.2">
      <c r="A263" s="275"/>
      <c r="B263" s="78"/>
      <c r="C263" s="189"/>
      <c r="D263" s="185"/>
      <c r="E263" s="186"/>
      <c r="F263" s="187"/>
    </row>
    <row r="264" spans="1:6" x14ac:dyDescent="0.2">
      <c r="A264" s="275"/>
      <c r="B264" s="78"/>
      <c r="C264" s="189"/>
      <c r="D264" s="185"/>
      <c r="E264" s="186"/>
      <c r="F264" s="187"/>
    </row>
    <row r="265" spans="1:6" x14ac:dyDescent="0.2">
      <c r="A265" s="275"/>
      <c r="B265" s="78"/>
      <c r="C265" s="189"/>
      <c r="D265" s="185"/>
      <c r="E265" s="186"/>
      <c r="F265" s="187"/>
    </row>
    <row r="266" spans="1:6" x14ac:dyDescent="0.2">
      <c r="A266" s="275"/>
      <c r="B266" s="78"/>
      <c r="C266" s="189"/>
      <c r="D266" s="185"/>
      <c r="E266" s="186"/>
      <c r="F266" s="187"/>
    </row>
    <row r="267" spans="1:6" x14ac:dyDescent="0.2">
      <c r="A267" s="275"/>
      <c r="B267" s="78"/>
      <c r="C267" s="189"/>
      <c r="D267" s="185"/>
      <c r="E267" s="186"/>
      <c r="F267" s="187"/>
    </row>
    <row r="268" spans="1:6" x14ac:dyDescent="0.2">
      <c r="A268" s="275"/>
      <c r="B268" s="78"/>
      <c r="C268" s="189"/>
      <c r="D268" s="185"/>
      <c r="E268" s="186"/>
      <c r="F268" s="187"/>
    </row>
    <row r="269" spans="1:6" x14ac:dyDescent="0.2">
      <c r="A269" s="275"/>
      <c r="B269" s="78"/>
      <c r="C269" s="189"/>
      <c r="D269" s="185"/>
      <c r="E269" s="186"/>
      <c r="F269" s="187"/>
    </row>
    <row r="270" spans="1:6" x14ac:dyDescent="0.2">
      <c r="A270" s="275"/>
      <c r="B270" s="78"/>
      <c r="C270" s="189"/>
      <c r="D270" s="185"/>
      <c r="E270" s="186"/>
      <c r="F270" s="187"/>
    </row>
    <row r="271" spans="1:6" x14ac:dyDescent="0.2">
      <c r="A271" s="275"/>
      <c r="B271" s="78"/>
      <c r="C271" s="189"/>
      <c r="D271" s="185"/>
      <c r="E271" s="186"/>
      <c r="F271" s="187"/>
    </row>
    <row r="272" spans="1:6" x14ac:dyDescent="0.2">
      <c r="A272" s="275"/>
      <c r="B272" s="78"/>
      <c r="C272" s="189"/>
      <c r="D272" s="185"/>
      <c r="E272" s="186"/>
      <c r="F272" s="187"/>
    </row>
    <row r="273" spans="1:6" x14ac:dyDescent="0.2">
      <c r="A273" s="275"/>
      <c r="B273" s="78"/>
      <c r="C273" s="189"/>
      <c r="D273" s="185"/>
      <c r="E273" s="186"/>
      <c r="F273" s="187"/>
    </row>
    <row r="274" spans="1:6" x14ac:dyDescent="0.2">
      <c r="A274" s="275"/>
      <c r="B274" s="78"/>
      <c r="C274" s="189"/>
      <c r="D274" s="185"/>
      <c r="E274" s="186"/>
      <c r="F274" s="187"/>
    </row>
    <row r="275" spans="1:6" x14ac:dyDescent="0.2">
      <c r="A275" s="275"/>
      <c r="B275" s="78"/>
      <c r="C275" s="189"/>
      <c r="D275" s="185"/>
      <c r="E275" s="186"/>
      <c r="F275" s="187"/>
    </row>
    <row r="276" spans="1:6" x14ac:dyDescent="0.2">
      <c r="A276" s="275"/>
      <c r="B276" s="78"/>
      <c r="C276" s="189"/>
      <c r="D276" s="185"/>
      <c r="E276" s="186"/>
      <c r="F276" s="187"/>
    </row>
    <row r="277" spans="1:6" x14ac:dyDescent="0.2">
      <c r="A277" s="275"/>
      <c r="B277" s="78"/>
      <c r="C277" s="189"/>
      <c r="D277" s="185"/>
      <c r="E277" s="186"/>
      <c r="F277" s="187"/>
    </row>
    <row r="278" spans="1:6" x14ac:dyDescent="0.2">
      <c r="A278" s="275"/>
      <c r="B278" s="78"/>
      <c r="C278" s="189"/>
      <c r="D278" s="185"/>
      <c r="E278" s="186"/>
      <c r="F278" s="187"/>
    </row>
    <row r="279" spans="1:6" x14ac:dyDescent="0.2">
      <c r="A279" s="275"/>
      <c r="B279" s="78"/>
      <c r="C279" s="189"/>
      <c r="D279" s="185"/>
      <c r="E279" s="186"/>
      <c r="F279" s="187"/>
    </row>
    <row r="280" spans="1:6" x14ac:dyDescent="0.2">
      <c r="A280" s="275"/>
      <c r="B280" s="78"/>
      <c r="C280" s="189"/>
      <c r="D280" s="185"/>
      <c r="E280" s="186"/>
      <c r="F280" s="187"/>
    </row>
    <row r="281" spans="1:6" x14ac:dyDescent="0.2">
      <c r="A281" s="275"/>
      <c r="B281" s="78"/>
      <c r="C281" s="189"/>
      <c r="D281" s="185"/>
      <c r="E281" s="186"/>
      <c r="F281" s="187"/>
    </row>
    <row r="282" spans="1:6" x14ac:dyDescent="0.2">
      <c r="A282" s="275"/>
      <c r="B282" s="78"/>
      <c r="C282" s="189"/>
      <c r="D282" s="185"/>
      <c r="E282" s="186"/>
      <c r="F282" s="187"/>
    </row>
    <row r="283" spans="1:6" x14ac:dyDescent="0.2">
      <c r="A283" s="275"/>
      <c r="B283" s="78"/>
      <c r="C283" s="189"/>
      <c r="D283" s="185"/>
      <c r="E283" s="186"/>
      <c r="F283" s="187"/>
    </row>
    <row r="284" spans="1:6" x14ac:dyDescent="0.2">
      <c r="A284" s="275"/>
      <c r="B284" s="78"/>
      <c r="C284" s="189"/>
      <c r="D284" s="185"/>
      <c r="E284" s="186"/>
      <c r="F284" s="187"/>
    </row>
    <row r="285" spans="1:6" x14ac:dyDescent="0.2">
      <c r="A285" s="275"/>
      <c r="B285" s="78"/>
      <c r="C285" s="189"/>
      <c r="D285" s="185"/>
      <c r="E285" s="186"/>
      <c r="F285" s="187"/>
    </row>
    <row r="286" spans="1:6" x14ac:dyDescent="0.2">
      <c r="A286" s="275"/>
      <c r="B286" s="78"/>
      <c r="C286" s="189"/>
      <c r="D286" s="185"/>
      <c r="E286" s="186"/>
      <c r="F286" s="187"/>
    </row>
    <row r="287" spans="1:6" x14ac:dyDescent="0.2">
      <c r="A287" s="275"/>
      <c r="B287" s="78"/>
      <c r="C287" s="189"/>
      <c r="D287" s="185"/>
      <c r="E287" s="186"/>
      <c r="F287" s="187"/>
    </row>
    <row r="288" spans="1:6" x14ac:dyDescent="0.2">
      <c r="A288" s="275"/>
      <c r="B288" s="78"/>
      <c r="C288" s="189"/>
      <c r="D288" s="185"/>
      <c r="E288" s="186"/>
      <c r="F288" s="187"/>
    </row>
    <row r="289" spans="1:6" x14ac:dyDescent="0.2">
      <c r="A289" s="275"/>
      <c r="B289" s="78"/>
      <c r="C289" s="189"/>
      <c r="D289" s="185"/>
      <c r="E289" s="186"/>
      <c r="F289" s="187"/>
    </row>
    <row r="290" spans="1:6" x14ac:dyDescent="0.2">
      <c r="A290" s="275"/>
      <c r="B290" s="78"/>
      <c r="C290" s="189"/>
      <c r="D290" s="185"/>
      <c r="E290" s="186"/>
      <c r="F290" s="187"/>
    </row>
    <row r="291" spans="1:6" x14ac:dyDescent="0.2">
      <c r="A291" s="275"/>
      <c r="B291" s="78"/>
      <c r="C291" s="189"/>
      <c r="D291" s="185"/>
      <c r="E291" s="186"/>
      <c r="F291" s="187"/>
    </row>
    <row r="292" spans="1:6" x14ac:dyDescent="0.2">
      <c r="A292" s="275"/>
      <c r="B292" s="78"/>
      <c r="C292" s="189"/>
      <c r="D292" s="185"/>
      <c r="E292" s="186"/>
      <c r="F292" s="187"/>
    </row>
    <row r="293" spans="1:6" x14ac:dyDescent="0.2">
      <c r="A293" s="275"/>
      <c r="B293" s="78"/>
      <c r="C293" s="189"/>
      <c r="D293" s="185"/>
      <c r="E293" s="186"/>
      <c r="F293" s="187"/>
    </row>
    <row r="294" spans="1:6" x14ac:dyDescent="0.2">
      <c r="A294" s="275"/>
      <c r="B294" s="78"/>
      <c r="C294" s="189"/>
      <c r="D294" s="185"/>
      <c r="E294" s="186"/>
      <c r="F294" s="187"/>
    </row>
    <row r="295" spans="1:6" x14ac:dyDescent="0.2">
      <c r="A295" s="275"/>
      <c r="B295" s="78"/>
      <c r="C295" s="189"/>
      <c r="D295" s="185"/>
      <c r="E295" s="186"/>
      <c r="F295" s="187"/>
    </row>
    <row r="296" spans="1:6" x14ac:dyDescent="0.2">
      <c r="A296" s="275"/>
      <c r="B296" s="78"/>
      <c r="C296" s="189"/>
      <c r="D296" s="185"/>
      <c r="E296" s="186"/>
      <c r="F296" s="187"/>
    </row>
    <row r="297" spans="1:6" x14ac:dyDescent="0.2">
      <c r="A297" s="275"/>
      <c r="B297" s="78"/>
      <c r="C297" s="189"/>
      <c r="D297" s="185"/>
      <c r="E297" s="186"/>
      <c r="F297" s="187"/>
    </row>
    <row r="298" spans="1:6" x14ac:dyDescent="0.2">
      <c r="A298" s="275"/>
      <c r="B298" s="78"/>
      <c r="C298" s="189"/>
      <c r="D298" s="185"/>
      <c r="E298" s="186"/>
      <c r="F298" s="187"/>
    </row>
    <row r="299" spans="1:6" x14ac:dyDescent="0.2">
      <c r="A299" s="275"/>
      <c r="B299" s="78"/>
      <c r="C299" s="189"/>
      <c r="D299" s="185"/>
      <c r="E299" s="186"/>
      <c r="F299" s="187"/>
    </row>
    <row r="300" spans="1:6" x14ac:dyDescent="0.2">
      <c r="A300" s="275"/>
      <c r="B300" s="78"/>
      <c r="C300" s="189"/>
      <c r="D300" s="185"/>
      <c r="E300" s="186"/>
      <c r="F300" s="187"/>
    </row>
    <row r="301" spans="1:6" x14ac:dyDescent="0.2">
      <c r="A301" s="275"/>
      <c r="B301" s="78"/>
      <c r="C301" s="189"/>
      <c r="D301" s="185"/>
      <c r="E301" s="186"/>
      <c r="F301" s="187"/>
    </row>
    <row r="302" spans="1:6" x14ac:dyDescent="0.2">
      <c r="A302" s="275"/>
      <c r="B302" s="78"/>
      <c r="C302" s="189"/>
      <c r="D302" s="185"/>
      <c r="E302" s="186"/>
      <c r="F302" s="187"/>
    </row>
    <row r="303" spans="1:6" x14ac:dyDescent="0.2">
      <c r="A303" s="275"/>
      <c r="B303" s="78"/>
      <c r="C303" s="189"/>
      <c r="D303" s="185"/>
      <c r="E303" s="186"/>
      <c r="F303" s="187"/>
    </row>
    <row r="304" spans="1:6" x14ac:dyDescent="0.2">
      <c r="A304" s="275"/>
      <c r="B304" s="78"/>
      <c r="C304" s="189"/>
      <c r="D304" s="185"/>
      <c r="E304" s="186"/>
      <c r="F304" s="187"/>
    </row>
    <row r="305" spans="1:6" x14ac:dyDescent="0.2">
      <c r="A305" s="275"/>
      <c r="B305" s="78"/>
      <c r="C305" s="189"/>
      <c r="D305" s="185"/>
      <c r="E305" s="186"/>
      <c r="F305" s="187"/>
    </row>
    <row r="306" spans="1:6" x14ac:dyDescent="0.2">
      <c r="A306" s="275"/>
      <c r="B306" s="78"/>
      <c r="C306" s="189"/>
      <c r="D306" s="185"/>
      <c r="E306" s="186"/>
      <c r="F306" s="187"/>
    </row>
    <row r="307" spans="1:6" x14ac:dyDescent="0.2">
      <c r="A307" s="275"/>
      <c r="B307" s="78"/>
      <c r="C307" s="189"/>
      <c r="D307" s="185"/>
      <c r="E307" s="186"/>
      <c r="F307" s="187"/>
    </row>
    <row r="308" spans="1:6" x14ac:dyDescent="0.2">
      <c r="A308" s="275"/>
      <c r="B308" s="78"/>
      <c r="C308" s="189"/>
      <c r="D308" s="185"/>
      <c r="E308" s="186"/>
      <c r="F308" s="187"/>
    </row>
    <row r="309" spans="1:6" x14ac:dyDescent="0.2">
      <c r="A309" s="275"/>
      <c r="B309" s="78"/>
      <c r="C309" s="189"/>
      <c r="D309" s="185"/>
      <c r="E309" s="186"/>
      <c r="F309" s="187"/>
    </row>
    <row r="310" spans="1:6" x14ac:dyDescent="0.2">
      <c r="A310" s="275"/>
      <c r="B310" s="78"/>
      <c r="C310" s="189"/>
      <c r="D310" s="185"/>
      <c r="E310" s="186"/>
      <c r="F310" s="187"/>
    </row>
    <row r="311" spans="1:6" x14ac:dyDescent="0.2">
      <c r="A311" s="275"/>
      <c r="B311" s="78"/>
      <c r="C311" s="189"/>
      <c r="D311" s="185"/>
      <c r="E311" s="186"/>
      <c r="F311" s="187"/>
    </row>
    <row r="312" spans="1:6" x14ac:dyDescent="0.2">
      <c r="A312" s="275"/>
      <c r="B312" s="78"/>
      <c r="C312" s="189"/>
      <c r="D312" s="185"/>
      <c r="E312" s="186"/>
      <c r="F312" s="187"/>
    </row>
    <row r="313" spans="1:6" x14ac:dyDescent="0.2">
      <c r="A313" s="275"/>
      <c r="B313" s="78"/>
      <c r="C313" s="189"/>
      <c r="D313" s="185"/>
      <c r="E313" s="186"/>
      <c r="F313" s="187"/>
    </row>
    <row r="314" spans="1:6" x14ac:dyDescent="0.2">
      <c r="A314" s="275"/>
      <c r="B314" s="78"/>
      <c r="C314" s="189"/>
      <c r="D314" s="185"/>
      <c r="E314" s="186"/>
      <c r="F314" s="187"/>
    </row>
    <row r="315" spans="1:6" x14ac:dyDescent="0.2">
      <c r="A315" s="275"/>
      <c r="B315" s="78"/>
      <c r="C315" s="189"/>
      <c r="D315" s="185"/>
      <c r="E315" s="186"/>
      <c r="F315" s="187"/>
    </row>
    <row r="316" spans="1:6" x14ac:dyDescent="0.2">
      <c r="A316" s="275"/>
      <c r="B316" s="78"/>
      <c r="C316" s="189"/>
      <c r="D316" s="185"/>
      <c r="E316" s="186"/>
      <c r="F316" s="187"/>
    </row>
    <row r="317" spans="1:6" x14ac:dyDescent="0.2">
      <c r="A317" s="275"/>
      <c r="B317" s="78"/>
      <c r="C317" s="189"/>
      <c r="D317" s="185"/>
      <c r="E317" s="186"/>
      <c r="F317" s="187"/>
    </row>
    <row r="318" spans="1:6" x14ac:dyDescent="0.2">
      <c r="A318" s="275"/>
      <c r="B318" s="78"/>
      <c r="C318" s="189"/>
      <c r="D318" s="185"/>
      <c r="E318" s="186"/>
      <c r="F318" s="187"/>
    </row>
    <row r="319" spans="1:6" x14ac:dyDescent="0.2">
      <c r="A319" s="275"/>
      <c r="B319" s="78"/>
      <c r="C319" s="189"/>
      <c r="D319" s="185"/>
      <c r="E319" s="186"/>
      <c r="F319" s="187"/>
    </row>
    <row r="320" spans="1:6" x14ac:dyDescent="0.2">
      <c r="A320" s="275"/>
      <c r="B320" s="78"/>
      <c r="C320" s="189"/>
      <c r="D320" s="185"/>
      <c r="E320" s="186"/>
      <c r="F320" s="187"/>
    </row>
    <row r="321" spans="1:6" x14ac:dyDescent="0.2">
      <c r="A321" s="275"/>
      <c r="B321" s="78"/>
      <c r="C321" s="189"/>
      <c r="D321" s="185"/>
      <c r="E321" s="186"/>
      <c r="F321" s="187"/>
    </row>
    <row r="322" spans="1:6" x14ac:dyDescent="0.2">
      <c r="A322" s="275"/>
      <c r="B322" s="78"/>
      <c r="C322" s="189"/>
      <c r="D322" s="185"/>
      <c r="E322" s="186"/>
      <c r="F322" s="187"/>
    </row>
    <row r="323" spans="1:6" x14ac:dyDescent="0.2">
      <c r="A323" s="275"/>
      <c r="B323" s="78"/>
      <c r="C323" s="189"/>
      <c r="D323" s="185"/>
      <c r="E323" s="186"/>
      <c r="F323" s="187"/>
    </row>
    <row r="324" spans="1:6" x14ac:dyDescent="0.2">
      <c r="A324" s="275"/>
      <c r="B324" s="78"/>
      <c r="C324" s="189"/>
      <c r="D324" s="185"/>
      <c r="E324" s="186"/>
      <c r="F324" s="187"/>
    </row>
    <row r="325" spans="1:6" x14ac:dyDescent="0.2">
      <c r="A325" s="275"/>
      <c r="B325" s="78"/>
      <c r="C325" s="189"/>
      <c r="D325" s="185"/>
      <c r="E325" s="186"/>
      <c r="F325" s="187"/>
    </row>
    <row r="326" spans="1:6" x14ac:dyDescent="0.2">
      <c r="A326" s="275"/>
      <c r="B326" s="78"/>
      <c r="C326" s="189"/>
      <c r="D326" s="185"/>
      <c r="E326" s="186"/>
      <c r="F326" s="187"/>
    </row>
    <row r="327" spans="1:6" x14ac:dyDescent="0.2">
      <c r="A327" s="275"/>
      <c r="B327" s="78"/>
      <c r="C327" s="189"/>
      <c r="D327" s="185"/>
      <c r="E327" s="186"/>
      <c r="F327" s="187"/>
    </row>
    <row r="328" spans="1:6" x14ac:dyDescent="0.2">
      <c r="A328" s="275"/>
      <c r="B328" s="78"/>
      <c r="C328" s="189"/>
      <c r="D328" s="185"/>
      <c r="E328" s="186"/>
      <c r="F328" s="187"/>
    </row>
    <row r="329" spans="1:6" x14ac:dyDescent="0.2">
      <c r="A329" s="275"/>
      <c r="B329" s="78"/>
      <c r="C329" s="189"/>
      <c r="D329" s="185"/>
      <c r="E329" s="186"/>
      <c r="F329" s="187"/>
    </row>
    <row r="330" spans="1:6" x14ac:dyDescent="0.2">
      <c r="A330" s="275"/>
      <c r="B330" s="78"/>
      <c r="C330" s="189"/>
      <c r="D330" s="185"/>
      <c r="E330" s="186"/>
      <c r="F330" s="187"/>
    </row>
    <row r="331" spans="1:6" x14ac:dyDescent="0.2">
      <c r="A331" s="275"/>
      <c r="B331" s="78"/>
      <c r="C331" s="189"/>
      <c r="D331" s="185"/>
      <c r="E331" s="186"/>
      <c r="F331" s="187"/>
    </row>
    <row r="332" spans="1:6" x14ac:dyDescent="0.2">
      <c r="A332" s="275"/>
      <c r="B332" s="78"/>
      <c r="C332" s="189"/>
      <c r="D332" s="185"/>
      <c r="E332" s="186"/>
      <c r="F332" s="187"/>
    </row>
    <row r="333" spans="1:6" x14ac:dyDescent="0.2">
      <c r="A333" s="275"/>
      <c r="B333" s="78"/>
      <c r="C333" s="189"/>
      <c r="D333" s="185"/>
      <c r="E333" s="186"/>
      <c r="F333" s="187"/>
    </row>
    <row r="334" spans="1:6" x14ac:dyDescent="0.2">
      <c r="A334" s="275"/>
      <c r="B334" s="78"/>
      <c r="C334" s="189"/>
      <c r="D334" s="185"/>
      <c r="E334" s="186"/>
      <c r="F334" s="187"/>
    </row>
    <row r="335" spans="1:6" x14ac:dyDescent="0.2">
      <c r="A335" s="275"/>
      <c r="B335" s="78"/>
      <c r="C335" s="189"/>
      <c r="D335" s="185"/>
      <c r="E335" s="186"/>
      <c r="F335" s="187"/>
    </row>
    <row r="336" spans="1:6" x14ac:dyDescent="0.2">
      <c r="A336" s="275"/>
      <c r="B336" s="78"/>
      <c r="C336" s="189"/>
      <c r="D336" s="185"/>
      <c r="E336" s="186"/>
      <c r="F336" s="187"/>
    </row>
    <row r="337" spans="1:6" x14ac:dyDescent="0.2">
      <c r="A337" s="275"/>
      <c r="B337" s="78"/>
      <c r="C337" s="189"/>
      <c r="D337" s="185"/>
      <c r="E337" s="186"/>
      <c r="F337" s="187"/>
    </row>
    <row r="338" spans="1:6" x14ac:dyDescent="0.2">
      <c r="A338" s="275"/>
      <c r="B338" s="78"/>
      <c r="C338" s="189"/>
      <c r="D338" s="185"/>
      <c r="E338" s="186"/>
      <c r="F338" s="187"/>
    </row>
    <row r="339" spans="1:6" x14ac:dyDescent="0.2">
      <c r="A339" s="275"/>
      <c r="B339" s="78"/>
      <c r="C339" s="189"/>
      <c r="D339" s="185"/>
      <c r="E339" s="186"/>
      <c r="F339" s="187"/>
    </row>
    <row r="340" spans="1:6" x14ac:dyDescent="0.2">
      <c r="A340" s="275"/>
      <c r="B340" s="78"/>
      <c r="C340" s="189"/>
      <c r="D340" s="185"/>
      <c r="E340" s="186"/>
      <c r="F340" s="187"/>
    </row>
    <row r="341" spans="1:6" x14ac:dyDescent="0.2">
      <c r="A341" s="275"/>
      <c r="B341" s="78"/>
      <c r="C341" s="189"/>
      <c r="D341" s="185"/>
      <c r="E341" s="186"/>
      <c r="F341" s="187"/>
    </row>
    <row r="342" spans="1:6" x14ac:dyDescent="0.2">
      <c r="A342" s="275"/>
      <c r="B342" s="78"/>
      <c r="C342" s="189"/>
      <c r="D342" s="185"/>
      <c r="E342" s="186"/>
      <c r="F342" s="187"/>
    </row>
    <row r="343" spans="1:6" x14ac:dyDescent="0.2">
      <c r="A343" s="275"/>
      <c r="B343" s="78"/>
      <c r="C343" s="189"/>
      <c r="D343" s="185"/>
      <c r="E343" s="186"/>
      <c r="F343" s="187"/>
    </row>
    <row r="344" spans="1:6" x14ac:dyDescent="0.2">
      <c r="A344" s="275"/>
      <c r="B344" s="78"/>
      <c r="C344" s="189"/>
      <c r="D344" s="185"/>
      <c r="E344" s="186"/>
      <c r="F344" s="187"/>
    </row>
    <row r="345" spans="1:6" x14ac:dyDescent="0.2">
      <c r="A345" s="275"/>
      <c r="B345" s="78"/>
      <c r="C345" s="189"/>
      <c r="D345" s="185"/>
      <c r="E345" s="186"/>
      <c r="F345" s="187"/>
    </row>
    <row r="346" spans="1:6" x14ac:dyDescent="0.2">
      <c r="A346" s="275"/>
      <c r="B346" s="78"/>
      <c r="C346" s="189"/>
      <c r="D346" s="185"/>
      <c r="E346" s="186"/>
      <c r="F346" s="187"/>
    </row>
    <row r="347" spans="1:6" x14ac:dyDescent="0.2">
      <c r="A347" s="275"/>
      <c r="B347" s="78"/>
      <c r="C347" s="189"/>
      <c r="D347" s="185"/>
      <c r="E347" s="186"/>
      <c r="F347" s="187"/>
    </row>
    <row r="348" spans="1:6" x14ac:dyDescent="0.2">
      <c r="A348" s="275"/>
      <c r="B348" s="78"/>
      <c r="C348" s="189"/>
      <c r="D348" s="185"/>
      <c r="E348" s="186"/>
      <c r="F348" s="187"/>
    </row>
    <row r="349" spans="1:6" x14ac:dyDescent="0.2">
      <c r="A349" s="275"/>
      <c r="B349" s="78"/>
      <c r="C349" s="189"/>
      <c r="D349" s="185"/>
      <c r="E349" s="186"/>
      <c r="F349" s="187"/>
    </row>
    <row r="350" spans="1:6" x14ac:dyDescent="0.2">
      <c r="A350" s="275"/>
      <c r="B350" s="78"/>
      <c r="C350" s="189"/>
      <c r="D350" s="185"/>
      <c r="E350" s="186"/>
      <c r="F350" s="187"/>
    </row>
    <row r="351" spans="1:6" x14ac:dyDescent="0.2">
      <c r="A351" s="275"/>
      <c r="B351" s="78"/>
      <c r="C351" s="189"/>
      <c r="D351" s="185"/>
      <c r="E351" s="186"/>
      <c r="F351" s="187"/>
    </row>
    <row r="352" spans="1:6" x14ac:dyDescent="0.2">
      <c r="A352" s="275"/>
      <c r="B352" s="78"/>
      <c r="C352" s="189"/>
      <c r="D352" s="185"/>
      <c r="E352" s="186"/>
      <c r="F352" s="187"/>
    </row>
    <row r="353" spans="1:6" x14ac:dyDescent="0.2">
      <c r="A353" s="275"/>
      <c r="B353" s="78"/>
      <c r="C353" s="189"/>
      <c r="D353" s="185"/>
      <c r="E353" s="186"/>
      <c r="F353" s="187"/>
    </row>
    <row r="354" spans="1:6" x14ac:dyDescent="0.2">
      <c r="A354" s="275"/>
      <c r="B354" s="78"/>
      <c r="C354" s="189"/>
      <c r="D354" s="185"/>
      <c r="E354" s="186"/>
      <c r="F354" s="187"/>
    </row>
    <row r="355" spans="1:6" x14ac:dyDescent="0.2">
      <c r="A355" s="275"/>
      <c r="B355" s="78"/>
      <c r="C355" s="189"/>
      <c r="D355" s="185"/>
      <c r="E355" s="186"/>
      <c r="F355" s="187"/>
    </row>
    <row r="356" spans="1:6" x14ac:dyDescent="0.2">
      <c r="A356" s="275"/>
      <c r="B356" s="78"/>
      <c r="C356" s="189"/>
      <c r="D356" s="185"/>
      <c r="E356" s="186"/>
      <c r="F356" s="187"/>
    </row>
    <row r="357" spans="1:6" x14ac:dyDescent="0.2">
      <c r="A357" s="275"/>
      <c r="B357" s="78"/>
      <c r="C357" s="189"/>
      <c r="D357" s="185"/>
      <c r="E357" s="186"/>
      <c r="F357" s="187"/>
    </row>
    <row r="358" spans="1:6" x14ac:dyDescent="0.2">
      <c r="A358" s="275"/>
      <c r="B358" s="78"/>
      <c r="C358" s="189"/>
      <c r="D358" s="185"/>
      <c r="E358" s="186"/>
      <c r="F358" s="187"/>
    </row>
    <row r="359" spans="1:6" x14ac:dyDescent="0.2">
      <c r="A359" s="275"/>
      <c r="B359" s="78"/>
      <c r="C359" s="189"/>
      <c r="D359" s="185"/>
      <c r="E359" s="186"/>
      <c r="F359" s="187"/>
    </row>
    <row r="360" spans="1:6" x14ac:dyDescent="0.2">
      <c r="A360" s="275"/>
      <c r="B360" s="78"/>
      <c r="C360" s="189"/>
      <c r="D360" s="185"/>
      <c r="E360" s="186"/>
      <c r="F360" s="187"/>
    </row>
    <row r="361" spans="1:6" x14ac:dyDescent="0.2">
      <c r="A361" s="275"/>
      <c r="B361" s="78"/>
      <c r="C361" s="189"/>
      <c r="D361" s="185"/>
      <c r="E361" s="186"/>
      <c r="F361" s="187"/>
    </row>
    <row r="362" spans="1:6" x14ac:dyDescent="0.2">
      <c r="A362" s="275"/>
      <c r="B362" s="78"/>
      <c r="C362" s="189"/>
      <c r="D362" s="185"/>
      <c r="E362" s="186"/>
      <c r="F362" s="187"/>
    </row>
    <row r="363" spans="1:6" x14ac:dyDescent="0.2">
      <c r="A363" s="275"/>
      <c r="B363" s="78"/>
      <c r="C363" s="189"/>
      <c r="D363" s="185"/>
      <c r="E363" s="186"/>
      <c r="F363" s="187"/>
    </row>
    <row r="364" spans="1:6" x14ac:dyDescent="0.2">
      <c r="A364" s="275"/>
      <c r="B364" s="78"/>
      <c r="C364" s="189"/>
      <c r="D364" s="185"/>
      <c r="E364" s="186"/>
      <c r="F364" s="187"/>
    </row>
    <row r="365" spans="1:6" x14ac:dyDescent="0.2">
      <c r="A365" s="275"/>
      <c r="B365" s="78"/>
      <c r="C365" s="189"/>
      <c r="D365" s="185"/>
      <c r="E365" s="186"/>
      <c r="F365" s="187"/>
    </row>
    <row r="366" spans="1:6" x14ac:dyDescent="0.2">
      <c r="A366" s="275"/>
      <c r="B366" s="78"/>
      <c r="C366" s="189"/>
      <c r="D366" s="185"/>
      <c r="E366" s="186"/>
      <c r="F366" s="187"/>
    </row>
    <row r="367" spans="1:6" x14ac:dyDescent="0.2">
      <c r="A367" s="275"/>
      <c r="B367" s="78"/>
      <c r="C367" s="189"/>
      <c r="D367" s="185"/>
      <c r="E367" s="186"/>
      <c r="F367" s="187"/>
    </row>
    <row r="368" spans="1:6" x14ac:dyDescent="0.2">
      <c r="A368" s="275"/>
      <c r="B368" s="78"/>
      <c r="C368" s="189"/>
      <c r="D368" s="185"/>
      <c r="E368" s="186"/>
      <c r="F368" s="187"/>
    </row>
    <row r="369" spans="1:6" x14ac:dyDescent="0.2">
      <c r="A369" s="275"/>
      <c r="B369" s="78"/>
      <c r="C369" s="189"/>
      <c r="D369" s="185"/>
      <c r="E369" s="186"/>
      <c r="F369" s="187"/>
    </row>
    <row r="370" spans="1:6" x14ac:dyDescent="0.2">
      <c r="A370" s="275"/>
      <c r="B370" s="78"/>
      <c r="C370" s="189"/>
      <c r="D370" s="185"/>
      <c r="E370" s="186"/>
      <c r="F370" s="187"/>
    </row>
    <row r="371" spans="1:6" x14ac:dyDescent="0.2">
      <c r="A371" s="275"/>
      <c r="B371" s="78"/>
      <c r="C371" s="189"/>
      <c r="D371" s="185"/>
      <c r="E371" s="186"/>
      <c r="F371" s="187"/>
    </row>
    <row r="372" spans="1:6" x14ac:dyDescent="0.2">
      <c r="A372" s="275"/>
      <c r="B372" s="78"/>
      <c r="C372" s="189"/>
      <c r="D372" s="185"/>
      <c r="E372" s="186"/>
      <c r="F372" s="187"/>
    </row>
    <row r="373" spans="1:6" x14ac:dyDescent="0.2">
      <c r="A373" s="275"/>
      <c r="B373" s="78"/>
      <c r="C373" s="189"/>
      <c r="D373" s="185"/>
      <c r="E373" s="186"/>
      <c r="F373" s="187"/>
    </row>
    <row r="374" spans="1:6" x14ac:dyDescent="0.2">
      <c r="A374" s="275"/>
      <c r="B374" s="78"/>
      <c r="C374" s="189"/>
      <c r="D374" s="185"/>
      <c r="E374" s="186"/>
      <c r="F374" s="187"/>
    </row>
    <row r="375" spans="1:6" x14ac:dyDescent="0.2">
      <c r="A375" s="275"/>
      <c r="B375" s="78"/>
      <c r="C375" s="189"/>
      <c r="D375" s="185"/>
      <c r="E375" s="186"/>
      <c r="F375" s="187"/>
    </row>
    <row r="376" spans="1:6" x14ac:dyDescent="0.2">
      <c r="A376" s="275"/>
      <c r="B376" s="78"/>
      <c r="C376" s="189"/>
      <c r="D376" s="185"/>
      <c r="E376" s="186"/>
      <c r="F376" s="187"/>
    </row>
    <row r="377" spans="1:6" x14ac:dyDescent="0.2">
      <c r="A377" s="275"/>
      <c r="B377" s="78"/>
      <c r="C377" s="189"/>
      <c r="D377" s="185"/>
      <c r="E377" s="186"/>
      <c r="F377" s="187"/>
    </row>
    <row r="378" spans="1:6" x14ac:dyDescent="0.2">
      <c r="A378" s="275"/>
      <c r="B378" s="78"/>
      <c r="C378" s="189"/>
      <c r="D378" s="185"/>
      <c r="E378" s="186"/>
      <c r="F378" s="187"/>
    </row>
    <row r="379" spans="1:6" x14ac:dyDescent="0.2">
      <c r="A379" s="275"/>
      <c r="B379" s="78"/>
      <c r="C379" s="189"/>
      <c r="D379" s="185"/>
      <c r="E379" s="186"/>
      <c r="F379" s="187"/>
    </row>
    <row r="380" spans="1:6" x14ac:dyDescent="0.2">
      <c r="A380" s="275"/>
      <c r="B380" s="78"/>
      <c r="C380" s="189"/>
      <c r="D380" s="185"/>
      <c r="E380" s="186"/>
      <c r="F380" s="187"/>
    </row>
    <row r="381" spans="1:6" x14ac:dyDescent="0.2">
      <c r="A381" s="275"/>
      <c r="B381" s="78"/>
      <c r="C381" s="189"/>
      <c r="D381" s="185"/>
      <c r="E381" s="186"/>
      <c r="F381" s="187"/>
    </row>
    <row r="382" spans="1:6" x14ac:dyDescent="0.2">
      <c r="A382" s="275"/>
      <c r="B382" s="78"/>
      <c r="C382" s="189"/>
      <c r="D382" s="185"/>
      <c r="E382" s="186"/>
      <c r="F382" s="187"/>
    </row>
    <row r="383" spans="1:6" x14ac:dyDescent="0.2">
      <c r="A383" s="275"/>
      <c r="B383" s="78"/>
      <c r="C383" s="189"/>
      <c r="D383" s="185"/>
      <c r="E383" s="186"/>
      <c r="F383" s="187"/>
    </row>
    <row r="384" spans="1:6" x14ac:dyDescent="0.2">
      <c r="A384" s="275"/>
      <c r="B384" s="78"/>
      <c r="C384" s="189"/>
      <c r="D384" s="185"/>
      <c r="E384" s="186"/>
      <c r="F384" s="187"/>
    </row>
    <row r="385" spans="1:6" x14ac:dyDescent="0.2">
      <c r="A385" s="275"/>
      <c r="B385" s="78"/>
      <c r="C385" s="189"/>
      <c r="D385" s="185"/>
      <c r="E385" s="186"/>
      <c r="F385" s="187"/>
    </row>
    <row r="386" spans="1:6" x14ac:dyDescent="0.2">
      <c r="A386" s="275"/>
      <c r="B386" s="78"/>
      <c r="C386" s="189"/>
      <c r="D386" s="185"/>
      <c r="E386" s="186"/>
      <c r="F386" s="187"/>
    </row>
    <row r="387" spans="1:6" x14ac:dyDescent="0.2">
      <c r="A387" s="275"/>
      <c r="B387" s="78"/>
      <c r="C387" s="189"/>
      <c r="D387" s="185"/>
      <c r="E387" s="186"/>
      <c r="F387" s="187"/>
    </row>
    <row r="388" spans="1:6" x14ac:dyDescent="0.2">
      <c r="A388" s="275"/>
      <c r="B388" s="78"/>
      <c r="C388" s="189"/>
      <c r="D388" s="185"/>
      <c r="E388" s="186"/>
      <c r="F388" s="187"/>
    </row>
    <row r="389" spans="1:6" x14ac:dyDescent="0.2">
      <c r="A389" s="275"/>
      <c r="B389" s="78"/>
      <c r="C389" s="189"/>
      <c r="D389" s="185"/>
      <c r="E389" s="186"/>
      <c r="F389" s="187"/>
    </row>
    <row r="390" spans="1:6" x14ac:dyDescent="0.2">
      <c r="A390" s="275"/>
      <c r="B390" s="78"/>
      <c r="C390" s="189"/>
      <c r="D390" s="185"/>
      <c r="E390" s="186"/>
      <c r="F390" s="187"/>
    </row>
    <row r="391" spans="1:6" x14ac:dyDescent="0.2">
      <c r="A391" s="275"/>
      <c r="B391" s="78"/>
      <c r="C391" s="189"/>
      <c r="D391" s="185"/>
      <c r="E391" s="186"/>
      <c r="F391" s="187"/>
    </row>
    <row r="392" spans="1:6" x14ac:dyDescent="0.2">
      <c r="A392" s="275"/>
      <c r="B392" s="78"/>
      <c r="C392" s="189"/>
      <c r="D392" s="185"/>
      <c r="E392" s="186"/>
      <c r="F392" s="187"/>
    </row>
    <row r="393" spans="1:6" x14ac:dyDescent="0.2">
      <c r="A393" s="275"/>
      <c r="B393" s="78"/>
      <c r="C393" s="189"/>
      <c r="D393" s="185"/>
      <c r="E393" s="186"/>
      <c r="F393" s="187"/>
    </row>
    <row r="394" spans="1:6" x14ac:dyDescent="0.2">
      <c r="A394" s="275"/>
      <c r="B394" s="78"/>
      <c r="C394" s="189"/>
      <c r="D394" s="185"/>
      <c r="E394" s="186"/>
      <c r="F394" s="187"/>
    </row>
    <row r="395" spans="1:6" x14ac:dyDescent="0.2">
      <c r="A395" s="275"/>
      <c r="B395" s="78"/>
      <c r="C395" s="189"/>
      <c r="D395" s="185"/>
      <c r="E395" s="186"/>
      <c r="F395" s="187"/>
    </row>
    <row r="396" spans="1:6" x14ac:dyDescent="0.2">
      <c r="A396" s="275"/>
      <c r="B396" s="78"/>
      <c r="C396" s="189"/>
      <c r="D396" s="185"/>
      <c r="E396" s="186"/>
      <c r="F396" s="187"/>
    </row>
    <row r="397" spans="1:6" x14ac:dyDescent="0.2">
      <c r="A397" s="275"/>
      <c r="B397" s="78"/>
      <c r="C397" s="189"/>
      <c r="D397" s="185"/>
      <c r="E397" s="186"/>
      <c r="F397" s="187"/>
    </row>
    <row r="398" spans="1:6" x14ac:dyDescent="0.2">
      <c r="A398" s="275"/>
      <c r="B398" s="78"/>
      <c r="C398" s="189"/>
      <c r="D398" s="185"/>
      <c r="E398" s="186"/>
      <c r="F398" s="187"/>
    </row>
    <row r="399" spans="1:6" x14ac:dyDescent="0.2">
      <c r="A399" s="275"/>
      <c r="B399" s="78"/>
      <c r="C399" s="189"/>
      <c r="D399" s="185"/>
      <c r="E399" s="186"/>
      <c r="F399" s="187"/>
    </row>
    <row r="400" spans="1:6" x14ac:dyDescent="0.2">
      <c r="A400" s="275"/>
      <c r="B400" s="78"/>
      <c r="C400" s="189"/>
      <c r="D400" s="185"/>
      <c r="E400" s="186"/>
      <c r="F400" s="187"/>
    </row>
    <row r="401" spans="1:6" x14ac:dyDescent="0.2">
      <c r="A401" s="275"/>
      <c r="B401" s="78"/>
      <c r="C401" s="189"/>
      <c r="D401" s="185"/>
      <c r="E401" s="186"/>
      <c r="F401" s="187"/>
    </row>
    <row r="402" spans="1:6" x14ac:dyDescent="0.2">
      <c r="A402" s="275"/>
      <c r="B402" s="78"/>
      <c r="C402" s="189"/>
      <c r="D402" s="185"/>
      <c r="E402" s="186"/>
      <c r="F402" s="187"/>
    </row>
    <row r="403" spans="1:6" x14ac:dyDescent="0.2">
      <c r="A403" s="275"/>
      <c r="B403" s="78"/>
      <c r="C403" s="189"/>
      <c r="D403" s="185"/>
      <c r="E403" s="186"/>
      <c r="F403" s="187"/>
    </row>
    <row r="404" spans="1:6" x14ac:dyDescent="0.2">
      <c r="A404" s="275"/>
      <c r="B404" s="78"/>
      <c r="C404" s="189"/>
      <c r="D404" s="185"/>
      <c r="E404" s="186"/>
      <c r="F404" s="187"/>
    </row>
    <row r="405" spans="1:6" x14ac:dyDescent="0.2">
      <c r="A405" s="275"/>
      <c r="B405" s="78"/>
      <c r="C405" s="189"/>
      <c r="D405" s="185"/>
      <c r="E405" s="186"/>
      <c r="F405" s="187"/>
    </row>
    <row r="406" spans="1:6" x14ac:dyDescent="0.2">
      <c r="A406" s="275"/>
      <c r="B406" s="78"/>
      <c r="C406" s="189"/>
      <c r="D406" s="185"/>
      <c r="E406" s="186"/>
      <c r="F406" s="187"/>
    </row>
    <row r="407" spans="1:6" x14ac:dyDescent="0.2">
      <c r="A407" s="275"/>
      <c r="B407" s="78"/>
      <c r="C407" s="189"/>
      <c r="D407" s="185"/>
      <c r="E407" s="186"/>
      <c r="F407" s="187"/>
    </row>
    <row r="408" spans="1:6" x14ac:dyDescent="0.2">
      <c r="A408" s="275"/>
      <c r="B408" s="78"/>
      <c r="C408" s="189"/>
      <c r="D408" s="185"/>
      <c r="E408" s="186"/>
      <c r="F408" s="187"/>
    </row>
    <row r="409" spans="1:6" x14ac:dyDescent="0.2">
      <c r="A409" s="275"/>
      <c r="B409" s="78"/>
      <c r="C409" s="189"/>
      <c r="D409" s="185"/>
      <c r="E409" s="186"/>
      <c r="F409" s="187"/>
    </row>
    <row r="410" spans="1:6" x14ac:dyDescent="0.2">
      <c r="A410" s="275"/>
      <c r="B410" s="78"/>
      <c r="C410" s="189"/>
      <c r="D410" s="185"/>
      <c r="E410" s="186"/>
      <c r="F410" s="187"/>
    </row>
    <row r="411" spans="1:6" x14ac:dyDescent="0.2">
      <c r="A411" s="275"/>
      <c r="B411" s="78"/>
      <c r="C411" s="189"/>
      <c r="D411" s="185"/>
      <c r="E411" s="186"/>
      <c r="F411" s="187"/>
    </row>
    <row r="412" spans="1:6" x14ac:dyDescent="0.2">
      <c r="A412" s="275"/>
      <c r="B412" s="78"/>
      <c r="C412" s="189"/>
      <c r="D412" s="185"/>
      <c r="E412" s="186"/>
      <c r="F412" s="187"/>
    </row>
    <row r="413" spans="1:6" x14ac:dyDescent="0.2">
      <c r="A413" s="275"/>
      <c r="B413" s="78"/>
      <c r="C413" s="189"/>
      <c r="D413" s="185"/>
      <c r="E413" s="186"/>
      <c r="F413" s="187"/>
    </row>
    <row r="414" spans="1:6" x14ac:dyDescent="0.2">
      <c r="A414" s="275"/>
      <c r="B414" s="78"/>
      <c r="C414" s="189"/>
      <c r="D414" s="185"/>
      <c r="E414" s="186"/>
      <c r="F414" s="187"/>
    </row>
    <row r="415" spans="1:6" x14ac:dyDescent="0.2">
      <c r="A415" s="275"/>
      <c r="B415" s="78"/>
      <c r="C415" s="189"/>
      <c r="D415" s="185"/>
      <c r="E415" s="186"/>
      <c r="F415" s="187"/>
    </row>
    <row r="416" spans="1:6" x14ac:dyDescent="0.2">
      <c r="A416" s="275"/>
      <c r="B416" s="78"/>
      <c r="C416" s="189"/>
      <c r="D416" s="185"/>
      <c r="E416" s="186"/>
      <c r="F416" s="187"/>
    </row>
    <row r="417" spans="1:6" x14ac:dyDescent="0.2">
      <c r="A417" s="275"/>
      <c r="B417" s="78"/>
      <c r="C417" s="189"/>
      <c r="D417" s="185"/>
      <c r="E417" s="186"/>
      <c r="F417" s="187"/>
    </row>
    <row r="418" spans="1:6" x14ac:dyDescent="0.2">
      <c r="A418" s="275"/>
      <c r="B418" s="78"/>
      <c r="C418" s="189"/>
      <c r="D418" s="185"/>
      <c r="E418" s="186"/>
      <c r="F418" s="187"/>
    </row>
    <row r="419" spans="1:6" x14ac:dyDescent="0.2">
      <c r="A419" s="275"/>
      <c r="B419" s="78"/>
      <c r="C419" s="189"/>
      <c r="D419" s="185"/>
      <c r="E419" s="186"/>
      <c r="F419" s="187"/>
    </row>
    <row r="420" spans="1:6" x14ac:dyDescent="0.2">
      <c r="A420" s="275"/>
      <c r="B420" s="78"/>
      <c r="C420" s="189"/>
      <c r="D420" s="185"/>
      <c r="E420" s="186"/>
      <c r="F420" s="187"/>
    </row>
    <row r="421" spans="1:6" x14ac:dyDescent="0.2">
      <c r="A421" s="275"/>
      <c r="B421" s="78"/>
      <c r="C421" s="189"/>
      <c r="D421" s="185"/>
      <c r="E421" s="186"/>
      <c r="F421" s="187"/>
    </row>
    <row r="422" spans="1:6" x14ac:dyDescent="0.2">
      <c r="A422" s="275"/>
      <c r="B422" s="78"/>
      <c r="C422" s="189"/>
      <c r="D422" s="185"/>
      <c r="E422" s="186"/>
      <c r="F422" s="187"/>
    </row>
    <row r="423" spans="1:6" x14ac:dyDescent="0.2">
      <c r="A423" s="275"/>
      <c r="B423" s="78"/>
      <c r="C423" s="189"/>
      <c r="D423" s="185"/>
      <c r="E423" s="186"/>
      <c r="F423" s="187"/>
    </row>
    <row r="424" spans="1:6" x14ac:dyDescent="0.2">
      <c r="A424" s="275"/>
      <c r="B424" s="78"/>
      <c r="C424" s="189"/>
      <c r="D424" s="185"/>
      <c r="E424" s="186"/>
      <c r="F424" s="187"/>
    </row>
    <row r="425" spans="1:6" x14ac:dyDescent="0.2">
      <c r="A425" s="275"/>
      <c r="B425" s="78"/>
      <c r="C425" s="189"/>
      <c r="D425" s="185"/>
      <c r="E425" s="186"/>
      <c r="F425" s="187"/>
    </row>
    <row r="426" spans="1:6" x14ac:dyDescent="0.2">
      <c r="A426" s="275"/>
      <c r="B426" s="78"/>
      <c r="C426" s="189"/>
      <c r="D426" s="185"/>
      <c r="E426" s="186"/>
      <c r="F426" s="187"/>
    </row>
    <row r="427" spans="1:6" x14ac:dyDescent="0.2">
      <c r="A427" s="275"/>
      <c r="B427" s="78"/>
      <c r="C427" s="189"/>
      <c r="D427" s="185"/>
      <c r="E427" s="186"/>
      <c r="F427" s="187"/>
    </row>
    <row r="428" spans="1:6" x14ac:dyDescent="0.2">
      <c r="A428" s="275"/>
      <c r="B428" s="78"/>
      <c r="C428" s="189"/>
      <c r="D428" s="185"/>
      <c r="E428" s="186"/>
      <c r="F428" s="187"/>
    </row>
    <row r="429" spans="1:6" x14ac:dyDescent="0.2">
      <c r="A429" s="275"/>
      <c r="B429" s="78"/>
      <c r="C429" s="189"/>
      <c r="D429" s="185"/>
      <c r="E429" s="186"/>
      <c r="F429" s="187"/>
    </row>
    <row r="430" spans="1:6" x14ac:dyDescent="0.2">
      <c r="A430" s="275"/>
      <c r="B430" s="78"/>
      <c r="C430" s="189"/>
      <c r="D430" s="185"/>
      <c r="E430" s="186"/>
      <c r="F430" s="187"/>
    </row>
    <row r="431" spans="1:6" x14ac:dyDescent="0.2">
      <c r="A431" s="275"/>
      <c r="B431" s="78"/>
      <c r="C431" s="189"/>
      <c r="D431" s="185"/>
      <c r="E431" s="186"/>
      <c r="F431" s="187"/>
    </row>
    <row r="432" spans="1:6" x14ac:dyDescent="0.2">
      <c r="A432" s="275"/>
      <c r="B432" s="78"/>
      <c r="C432" s="189"/>
      <c r="D432" s="185"/>
      <c r="E432" s="186"/>
      <c r="F432" s="187"/>
    </row>
    <row r="433" spans="1:6" x14ac:dyDescent="0.2">
      <c r="A433" s="275"/>
      <c r="B433" s="78"/>
      <c r="C433" s="189"/>
      <c r="D433" s="185"/>
      <c r="E433" s="186"/>
      <c r="F433" s="187"/>
    </row>
    <row r="434" spans="1:6" x14ac:dyDescent="0.2">
      <c r="A434" s="275"/>
      <c r="B434" s="78"/>
      <c r="C434" s="189"/>
      <c r="D434" s="185"/>
      <c r="E434" s="186"/>
      <c r="F434" s="187"/>
    </row>
    <row r="435" spans="1:6" x14ac:dyDescent="0.2">
      <c r="A435" s="275"/>
      <c r="B435" s="78"/>
      <c r="C435" s="189"/>
      <c r="D435" s="185"/>
      <c r="E435" s="186"/>
      <c r="F435" s="187"/>
    </row>
    <row r="436" spans="1:6" x14ac:dyDescent="0.2">
      <c r="A436" s="275"/>
      <c r="B436" s="78"/>
      <c r="C436" s="189"/>
      <c r="D436" s="185"/>
      <c r="E436" s="186"/>
      <c r="F436" s="187"/>
    </row>
    <row r="437" spans="1:6" x14ac:dyDescent="0.2">
      <c r="A437" s="275"/>
      <c r="B437" s="78"/>
      <c r="C437" s="189"/>
      <c r="D437" s="185"/>
      <c r="E437" s="186"/>
      <c r="F437" s="187"/>
    </row>
    <row r="438" spans="1:6" x14ac:dyDescent="0.2">
      <c r="A438" s="275"/>
      <c r="B438" s="78"/>
      <c r="C438" s="189"/>
      <c r="D438" s="185"/>
      <c r="E438" s="186"/>
      <c r="F438" s="187"/>
    </row>
    <row r="439" spans="1:6" x14ac:dyDescent="0.2">
      <c r="A439" s="275"/>
      <c r="B439" s="78"/>
      <c r="C439" s="189"/>
      <c r="D439" s="185"/>
      <c r="E439" s="186"/>
      <c r="F439" s="187"/>
    </row>
    <row r="440" spans="1:6" x14ac:dyDescent="0.2">
      <c r="A440" s="275"/>
      <c r="B440" s="78"/>
      <c r="C440" s="189"/>
      <c r="D440" s="185"/>
      <c r="E440" s="186"/>
      <c r="F440" s="187"/>
    </row>
    <row r="441" spans="1:6" x14ac:dyDescent="0.2">
      <c r="A441" s="275"/>
      <c r="B441" s="78"/>
      <c r="C441" s="189"/>
      <c r="D441" s="185"/>
      <c r="E441" s="186"/>
      <c r="F441" s="187"/>
    </row>
    <row r="442" spans="1:6" x14ac:dyDescent="0.2">
      <c r="A442" s="275"/>
      <c r="B442" s="78"/>
      <c r="C442" s="189"/>
      <c r="D442" s="185"/>
      <c r="E442" s="186"/>
      <c r="F442" s="187"/>
    </row>
    <row r="443" spans="1:6" x14ac:dyDescent="0.2">
      <c r="A443" s="275"/>
      <c r="B443" s="78"/>
      <c r="C443" s="189"/>
      <c r="D443" s="185"/>
      <c r="E443" s="186"/>
      <c r="F443" s="187"/>
    </row>
    <row r="444" spans="1:6" x14ac:dyDescent="0.2">
      <c r="A444" s="275"/>
      <c r="B444" s="78"/>
      <c r="C444" s="189"/>
      <c r="D444" s="185"/>
      <c r="E444" s="186"/>
      <c r="F444" s="187"/>
    </row>
    <row r="445" spans="1:6" x14ac:dyDescent="0.2">
      <c r="A445" s="275"/>
      <c r="B445" s="78"/>
      <c r="C445" s="189"/>
      <c r="D445" s="185"/>
      <c r="E445" s="186"/>
      <c r="F445" s="187"/>
    </row>
    <row r="446" spans="1:6" x14ac:dyDescent="0.2">
      <c r="A446" s="275"/>
      <c r="B446" s="78"/>
      <c r="C446" s="189"/>
      <c r="D446" s="185"/>
      <c r="E446" s="186"/>
      <c r="F446" s="187"/>
    </row>
    <row r="447" spans="1:6" x14ac:dyDescent="0.2">
      <c r="A447" s="275"/>
      <c r="B447" s="78"/>
      <c r="C447" s="189"/>
      <c r="D447" s="185"/>
      <c r="E447" s="186"/>
      <c r="F447" s="187"/>
    </row>
    <row r="448" spans="1:6" x14ac:dyDescent="0.2">
      <c r="A448" s="275"/>
      <c r="B448" s="78"/>
      <c r="C448" s="189"/>
      <c r="D448" s="185"/>
      <c r="E448" s="186"/>
      <c r="F448" s="187"/>
    </row>
    <row r="449" spans="1:6" x14ac:dyDescent="0.2">
      <c r="A449" s="275"/>
      <c r="B449" s="78"/>
      <c r="C449" s="189"/>
      <c r="D449" s="185"/>
      <c r="E449" s="186"/>
      <c r="F449" s="187"/>
    </row>
    <row r="450" spans="1:6" x14ac:dyDescent="0.2">
      <c r="A450" s="275"/>
      <c r="B450" s="78"/>
      <c r="C450" s="189"/>
      <c r="D450" s="185"/>
      <c r="E450" s="186"/>
      <c r="F450" s="187"/>
    </row>
    <row r="451" spans="1:6" x14ac:dyDescent="0.2">
      <c r="A451" s="275"/>
      <c r="B451" s="78"/>
      <c r="C451" s="189"/>
      <c r="D451" s="185"/>
      <c r="E451" s="186"/>
      <c r="F451" s="187"/>
    </row>
    <row r="452" spans="1:6" x14ac:dyDescent="0.2">
      <c r="A452" s="275"/>
      <c r="B452" s="78"/>
      <c r="C452" s="189"/>
      <c r="D452" s="185"/>
      <c r="E452" s="186"/>
      <c r="F452" s="187"/>
    </row>
    <row r="453" spans="1:6" x14ac:dyDescent="0.2">
      <c r="A453" s="275"/>
      <c r="B453" s="78"/>
      <c r="C453" s="189"/>
      <c r="D453" s="185"/>
      <c r="E453" s="186"/>
      <c r="F453" s="187"/>
    </row>
    <row r="454" spans="1:6" x14ac:dyDescent="0.2">
      <c r="A454" s="275"/>
      <c r="B454" s="78"/>
      <c r="C454" s="189"/>
      <c r="D454" s="185"/>
      <c r="E454" s="186"/>
      <c r="F454" s="187"/>
    </row>
    <row r="455" spans="1:6" x14ac:dyDescent="0.2">
      <c r="A455" s="275"/>
      <c r="B455" s="78"/>
      <c r="C455" s="189"/>
      <c r="D455" s="185"/>
      <c r="E455" s="186"/>
      <c r="F455" s="187"/>
    </row>
    <row r="456" spans="1:6" x14ac:dyDescent="0.2">
      <c r="A456" s="275"/>
      <c r="B456" s="78"/>
      <c r="C456" s="189"/>
      <c r="D456" s="185"/>
      <c r="E456" s="186"/>
      <c r="F456" s="187"/>
    </row>
    <row r="457" spans="1:6" x14ac:dyDescent="0.2">
      <c r="A457" s="275"/>
      <c r="B457" s="78"/>
      <c r="C457" s="189"/>
      <c r="D457" s="185"/>
      <c r="E457" s="186"/>
      <c r="F457" s="187"/>
    </row>
    <row r="458" spans="1:6" x14ac:dyDescent="0.2">
      <c r="A458" s="275"/>
      <c r="B458" s="78"/>
      <c r="C458" s="189"/>
      <c r="D458" s="185"/>
      <c r="E458" s="186"/>
      <c r="F458" s="187"/>
    </row>
    <row r="459" spans="1:6" x14ac:dyDescent="0.2">
      <c r="A459" s="275"/>
      <c r="B459" s="78"/>
      <c r="C459" s="189"/>
      <c r="D459" s="185"/>
      <c r="E459" s="186"/>
      <c r="F459" s="187"/>
    </row>
    <row r="460" spans="1:6" x14ac:dyDescent="0.2">
      <c r="A460" s="275"/>
      <c r="B460" s="78"/>
      <c r="C460" s="189"/>
      <c r="D460" s="185"/>
      <c r="E460" s="186"/>
      <c r="F460" s="187"/>
    </row>
    <row r="461" spans="1:6" x14ac:dyDescent="0.2">
      <c r="A461" s="275"/>
      <c r="B461" s="78"/>
      <c r="C461" s="189"/>
      <c r="D461" s="185"/>
      <c r="E461" s="186"/>
      <c r="F461" s="187"/>
    </row>
    <row r="462" spans="1:6" x14ac:dyDescent="0.2">
      <c r="A462" s="275"/>
      <c r="B462" s="78"/>
      <c r="C462" s="189"/>
      <c r="D462" s="185"/>
      <c r="E462" s="186"/>
      <c r="F462" s="187"/>
    </row>
    <row r="463" spans="1:6" x14ac:dyDescent="0.2">
      <c r="A463" s="275"/>
      <c r="B463" s="78"/>
      <c r="C463" s="189"/>
      <c r="D463" s="185"/>
      <c r="E463" s="186"/>
      <c r="F463" s="187"/>
    </row>
    <row r="464" spans="1:6" x14ac:dyDescent="0.2">
      <c r="A464" s="275"/>
      <c r="B464" s="78"/>
      <c r="C464" s="189"/>
      <c r="D464" s="185"/>
      <c r="E464" s="186"/>
      <c r="F464" s="187"/>
    </row>
    <row r="465" spans="1:6" x14ac:dyDescent="0.2">
      <c r="A465" s="275"/>
      <c r="B465" s="78"/>
      <c r="C465" s="189"/>
      <c r="D465" s="185"/>
      <c r="E465" s="186"/>
      <c r="F465" s="187"/>
    </row>
    <row r="466" spans="1:6" x14ac:dyDescent="0.2">
      <c r="A466" s="275"/>
      <c r="B466" s="78"/>
      <c r="C466" s="189"/>
      <c r="D466" s="185"/>
      <c r="E466" s="186"/>
      <c r="F466" s="187"/>
    </row>
    <row r="467" spans="1:6" x14ac:dyDescent="0.2">
      <c r="A467" s="275"/>
      <c r="B467" s="78"/>
      <c r="C467" s="189"/>
      <c r="D467" s="185"/>
      <c r="E467" s="186"/>
      <c r="F467" s="187"/>
    </row>
    <row r="468" spans="1:6" x14ac:dyDescent="0.2">
      <c r="A468" s="275"/>
      <c r="B468" s="78"/>
      <c r="C468" s="189"/>
      <c r="D468" s="185"/>
      <c r="E468" s="186"/>
      <c r="F468" s="187"/>
    </row>
    <row r="469" spans="1:6" x14ac:dyDescent="0.2">
      <c r="A469" s="275"/>
      <c r="B469" s="78"/>
      <c r="C469" s="189"/>
      <c r="D469" s="185"/>
      <c r="E469" s="186"/>
      <c r="F469" s="187"/>
    </row>
    <row r="470" spans="1:6" x14ac:dyDescent="0.2">
      <c r="A470" s="275"/>
      <c r="B470" s="78"/>
      <c r="C470" s="189"/>
      <c r="D470" s="185"/>
      <c r="E470" s="186"/>
      <c r="F470" s="187"/>
    </row>
    <row r="471" spans="1:6" x14ac:dyDescent="0.2">
      <c r="A471" s="275"/>
      <c r="B471" s="78"/>
      <c r="C471" s="189"/>
      <c r="D471" s="185"/>
      <c r="E471" s="186"/>
      <c r="F471" s="187"/>
    </row>
    <row r="472" spans="1:6" x14ac:dyDescent="0.2">
      <c r="A472" s="275"/>
      <c r="B472" s="78"/>
      <c r="C472" s="189"/>
      <c r="D472" s="185"/>
      <c r="E472" s="186"/>
      <c r="F472" s="187"/>
    </row>
    <row r="473" spans="1:6" x14ac:dyDescent="0.2">
      <c r="A473" s="275"/>
      <c r="B473" s="78"/>
      <c r="C473" s="189"/>
      <c r="D473" s="185"/>
      <c r="E473" s="186"/>
      <c r="F473" s="187"/>
    </row>
    <row r="474" spans="1:6" x14ac:dyDescent="0.2">
      <c r="A474" s="275"/>
      <c r="B474" s="78"/>
      <c r="C474" s="189"/>
      <c r="D474" s="185"/>
      <c r="E474" s="186"/>
      <c r="F474" s="187"/>
    </row>
    <row r="475" spans="1:6" x14ac:dyDescent="0.2">
      <c r="A475" s="275"/>
      <c r="B475" s="78"/>
      <c r="C475" s="189"/>
      <c r="D475" s="185"/>
      <c r="E475" s="186"/>
      <c r="F475" s="187"/>
    </row>
    <row r="476" spans="1:6" x14ac:dyDescent="0.2">
      <c r="A476" s="275"/>
      <c r="B476" s="78"/>
      <c r="C476" s="189"/>
      <c r="D476" s="185"/>
      <c r="E476" s="186"/>
      <c r="F476" s="187"/>
    </row>
    <row r="477" spans="1:6" x14ac:dyDescent="0.2">
      <c r="A477" s="275"/>
      <c r="B477" s="78"/>
      <c r="C477" s="189"/>
      <c r="D477" s="185"/>
      <c r="E477" s="186"/>
      <c r="F477" s="187"/>
    </row>
    <row r="478" spans="1:6" x14ac:dyDescent="0.2">
      <c r="A478" s="275"/>
      <c r="B478" s="78"/>
      <c r="C478" s="189"/>
      <c r="D478" s="185"/>
      <c r="E478" s="186"/>
      <c r="F478" s="187"/>
    </row>
    <row r="479" spans="1:6" x14ac:dyDescent="0.2">
      <c r="A479" s="275"/>
      <c r="B479" s="78"/>
      <c r="C479" s="189"/>
      <c r="D479" s="185"/>
      <c r="E479" s="186"/>
      <c r="F479" s="187"/>
    </row>
    <row r="480" spans="1:6" x14ac:dyDescent="0.2">
      <c r="A480" s="275"/>
      <c r="B480" s="78"/>
      <c r="C480" s="189"/>
      <c r="D480" s="185"/>
      <c r="E480" s="186"/>
      <c r="F480" s="187"/>
    </row>
    <row r="481" spans="1:6" x14ac:dyDescent="0.2">
      <c r="A481" s="275"/>
      <c r="B481" s="78"/>
      <c r="C481" s="189"/>
      <c r="D481" s="185"/>
      <c r="E481" s="186"/>
      <c r="F481" s="187"/>
    </row>
    <row r="482" spans="1:6" x14ac:dyDescent="0.2">
      <c r="A482" s="275"/>
      <c r="B482" s="78"/>
      <c r="C482" s="189"/>
      <c r="D482" s="185"/>
      <c r="E482" s="186"/>
      <c r="F482" s="187"/>
    </row>
    <row r="483" spans="1:6" x14ac:dyDescent="0.2">
      <c r="A483" s="275"/>
      <c r="B483" s="78"/>
      <c r="C483" s="189"/>
      <c r="D483" s="185"/>
      <c r="E483" s="186"/>
      <c r="F483" s="187"/>
    </row>
    <row r="484" spans="1:6" x14ac:dyDescent="0.2">
      <c r="A484" s="275"/>
      <c r="B484" s="78"/>
      <c r="C484" s="189"/>
      <c r="D484" s="185"/>
      <c r="E484" s="186"/>
      <c r="F484" s="187"/>
    </row>
    <row r="485" spans="1:6" x14ac:dyDescent="0.2">
      <c r="A485" s="275"/>
      <c r="B485" s="78"/>
      <c r="C485" s="189"/>
      <c r="D485" s="185"/>
      <c r="E485" s="186"/>
      <c r="F485" s="187"/>
    </row>
    <row r="486" spans="1:6" x14ac:dyDescent="0.2">
      <c r="A486" s="275"/>
      <c r="B486" s="78"/>
      <c r="C486" s="189"/>
      <c r="D486" s="185"/>
      <c r="E486" s="186"/>
      <c r="F486" s="187"/>
    </row>
    <row r="487" spans="1:6" x14ac:dyDescent="0.2">
      <c r="A487" s="275"/>
      <c r="B487" s="78"/>
      <c r="C487" s="189"/>
      <c r="D487" s="185"/>
      <c r="E487" s="186"/>
      <c r="F487" s="187"/>
    </row>
    <row r="488" spans="1:6" x14ac:dyDescent="0.2">
      <c r="A488" s="275"/>
      <c r="B488" s="78"/>
      <c r="C488" s="189"/>
      <c r="D488" s="185"/>
      <c r="E488" s="186"/>
      <c r="F488" s="187"/>
    </row>
    <row r="489" spans="1:6" x14ac:dyDescent="0.2">
      <c r="A489" s="275"/>
      <c r="B489" s="78"/>
      <c r="C489" s="189"/>
      <c r="D489" s="185"/>
      <c r="E489" s="186"/>
      <c r="F489" s="187"/>
    </row>
    <row r="490" spans="1:6" x14ac:dyDescent="0.2">
      <c r="A490" s="275"/>
      <c r="B490" s="78"/>
      <c r="C490" s="189"/>
      <c r="D490" s="185"/>
      <c r="E490" s="186"/>
      <c r="F490" s="187"/>
    </row>
    <row r="491" spans="1:6" x14ac:dyDescent="0.2">
      <c r="A491" s="275"/>
      <c r="B491" s="78"/>
      <c r="C491" s="189"/>
      <c r="D491" s="185"/>
      <c r="E491" s="186"/>
      <c r="F491" s="187"/>
    </row>
    <row r="492" spans="1:6" x14ac:dyDescent="0.2">
      <c r="A492" s="275"/>
      <c r="B492" s="78"/>
      <c r="C492" s="189"/>
      <c r="D492" s="185"/>
      <c r="E492" s="186"/>
      <c r="F492" s="187"/>
    </row>
    <row r="493" spans="1:6" x14ac:dyDescent="0.2">
      <c r="A493" s="275"/>
      <c r="B493" s="78"/>
      <c r="C493" s="189"/>
      <c r="D493" s="185"/>
      <c r="E493" s="186"/>
      <c r="F493" s="187"/>
    </row>
    <row r="494" spans="1:6" x14ac:dyDescent="0.2">
      <c r="A494" s="275"/>
      <c r="B494" s="78"/>
      <c r="C494" s="189"/>
      <c r="D494" s="185"/>
      <c r="E494" s="186"/>
      <c r="F494" s="187"/>
    </row>
    <row r="495" spans="1:6" x14ac:dyDescent="0.2">
      <c r="A495" s="275"/>
      <c r="B495" s="78"/>
      <c r="C495" s="189"/>
      <c r="D495" s="185"/>
      <c r="E495" s="186"/>
      <c r="F495" s="187"/>
    </row>
    <row r="496" spans="1:6" x14ac:dyDescent="0.2">
      <c r="A496" s="275"/>
      <c r="B496" s="78"/>
      <c r="C496" s="189"/>
      <c r="D496" s="185"/>
      <c r="E496" s="186"/>
      <c r="F496" s="187"/>
    </row>
    <row r="497" spans="1:6" x14ac:dyDescent="0.2">
      <c r="A497" s="275"/>
      <c r="B497" s="78"/>
      <c r="C497" s="189"/>
      <c r="D497" s="185"/>
      <c r="E497" s="186"/>
      <c r="F497" s="187"/>
    </row>
    <row r="498" spans="1:6" x14ac:dyDescent="0.2">
      <c r="A498" s="275"/>
      <c r="B498" s="78"/>
      <c r="C498" s="189"/>
      <c r="D498" s="185"/>
      <c r="E498" s="186"/>
      <c r="F498" s="187"/>
    </row>
    <row r="499" spans="1:6" x14ac:dyDescent="0.2">
      <c r="A499" s="275"/>
      <c r="B499" s="78"/>
      <c r="C499" s="189"/>
      <c r="D499" s="185"/>
      <c r="E499" s="186"/>
      <c r="F499" s="187"/>
    </row>
    <row r="500" spans="1:6" x14ac:dyDescent="0.2">
      <c r="A500" s="275"/>
      <c r="B500" s="78"/>
      <c r="C500" s="189"/>
      <c r="D500" s="185"/>
      <c r="E500" s="186"/>
      <c r="F500" s="187"/>
    </row>
    <row r="501" spans="1:6" x14ac:dyDescent="0.2">
      <c r="A501" s="275"/>
      <c r="B501" s="78"/>
      <c r="C501" s="189"/>
      <c r="D501" s="185"/>
      <c r="E501" s="186"/>
      <c r="F501" s="187"/>
    </row>
    <row r="502" spans="1:6" x14ac:dyDescent="0.2">
      <c r="A502" s="275"/>
      <c r="B502" s="78"/>
      <c r="C502" s="189"/>
      <c r="D502" s="185"/>
      <c r="E502" s="186"/>
      <c r="F502" s="187"/>
    </row>
    <row r="503" spans="1:6" x14ac:dyDescent="0.2">
      <c r="A503" s="275"/>
      <c r="B503" s="78"/>
      <c r="C503" s="189"/>
      <c r="D503" s="185"/>
      <c r="E503" s="186"/>
      <c r="F503" s="187"/>
    </row>
    <row r="504" spans="1:6" x14ac:dyDescent="0.2">
      <c r="A504" s="275"/>
      <c r="B504" s="78"/>
      <c r="C504" s="189"/>
      <c r="D504" s="185"/>
      <c r="E504" s="186"/>
      <c r="F504" s="187"/>
    </row>
    <row r="505" spans="1:6" x14ac:dyDescent="0.2">
      <c r="A505" s="275"/>
      <c r="B505" s="78"/>
      <c r="C505" s="189"/>
      <c r="D505" s="185"/>
      <c r="E505" s="186"/>
      <c r="F505" s="187"/>
    </row>
    <row r="506" spans="1:6" x14ac:dyDescent="0.2">
      <c r="A506" s="275"/>
      <c r="B506" s="78"/>
      <c r="C506" s="189"/>
      <c r="D506" s="185"/>
      <c r="E506" s="186"/>
      <c r="F506" s="187"/>
    </row>
    <row r="507" spans="1:6" x14ac:dyDescent="0.2">
      <c r="A507" s="275"/>
      <c r="B507" s="78"/>
      <c r="C507" s="189"/>
      <c r="D507" s="185"/>
      <c r="E507" s="186"/>
      <c r="F507" s="187"/>
    </row>
    <row r="508" spans="1:6" x14ac:dyDescent="0.2">
      <c r="A508" s="275"/>
      <c r="B508" s="78"/>
      <c r="C508" s="189"/>
      <c r="D508" s="185"/>
      <c r="E508" s="186"/>
      <c r="F508" s="187"/>
    </row>
    <row r="509" spans="1:6" x14ac:dyDescent="0.2">
      <c r="A509" s="275"/>
      <c r="B509" s="78"/>
      <c r="C509" s="189"/>
      <c r="D509" s="185"/>
      <c r="E509" s="186"/>
      <c r="F509" s="187"/>
    </row>
    <row r="510" spans="1:6" x14ac:dyDescent="0.2">
      <c r="A510" s="275"/>
      <c r="B510" s="78"/>
      <c r="C510" s="189"/>
      <c r="D510" s="185"/>
      <c r="E510" s="186"/>
      <c r="F510" s="187"/>
    </row>
    <row r="511" spans="1:6" x14ac:dyDescent="0.2">
      <c r="A511" s="275"/>
      <c r="B511" s="78"/>
      <c r="C511" s="189"/>
      <c r="D511" s="185"/>
      <c r="E511" s="186"/>
      <c r="F511" s="187"/>
    </row>
    <row r="512" spans="1:6" x14ac:dyDescent="0.2">
      <c r="A512" s="275"/>
      <c r="B512" s="78"/>
      <c r="C512" s="189"/>
      <c r="D512" s="185"/>
      <c r="E512" s="186"/>
      <c r="F512" s="187"/>
    </row>
    <row r="513" spans="1:6" x14ac:dyDescent="0.2">
      <c r="A513" s="275"/>
      <c r="B513" s="78"/>
      <c r="C513" s="189"/>
      <c r="D513" s="185"/>
      <c r="E513" s="186"/>
      <c r="F513" s="187"/>
    </row>
    <row r="514" spans="1:6" x14ac:dyDescent="0.2">
      <c r="A514" s="275"/>
      <c r="B514" s="78"/>
      <c r="C514" s="189"/>
      <c r="D514" s="185"/>
      <c r="E514" s="186"/>
      <c r="F514" s="187"/>
    </row>
    <row r="515" spans="1:6" x14ac:dyDescent="0.2">
      <c r="A515" s="275"/>
      <c r="B515" s="78"/>
      <c r="C515" s="189"/>
      <c r="D515" s="185"/>
      <c r="E515" s="186"/>
      <c r="F515" s="187"/>
    </row>
    <row r="516" spans="1:6" x14ac:dyDescent="0.2">
      <c r="A516" s="275"/>
      <c r="B516" s="78"/>
      <c r="C516" s="189"/>
      <c r="D516" s="185"/>
      <c r="E516" s="186"/>
      <c r="F516" s="187"/>
    </row>
    <row r="517" spans="1:6" x14ac:dyDescent="0.2">
      <c r="A517" s="275"/>
      <c r="B517" s="78"/>
      <c r="C517" s="189"/>
      <c r="D517" s="185"/>
      <c r="E517" s="186"/>
      <c r="F517" s="187"/>
    </row>
    <row r="518" spans="1:6" x14ac:dyDescent="0.2">
      <c r="A518" s="275"/>
      <c r="B518" s="78"/>
      <c r="C518" s="189"/>
      <c r="D518" s="185"/>
      <c r="E518" s="186"/>
      <c r="F518" s="187"/>
    </row>
    <row r="519" spans="1:6" x14ac:dyDescent="0.2">
      <c r="A519" s="275"/>
      <c r="B519" s="78"/>
      <c r="C519" s="189"/>
      <c r="D519" s="185"/>
      <c r="E519" s="186"/>
      <c r="F519" s="187"/>
    </row>
    <row r="520" spans="1:6" x14ac:dyDescent="0.2">
      <c r="A520" s="275"/>
      <c r="B520" s="78"/>
      <c r="C520" s="189"/>
      <c r="D520" s="185"/>
      <c r="E520" s="186"/>
      <c r="F520" s="187"/>
    </row>
    <row r="521" spans="1:6" x14ac:dyDescent="0.2">
      <c r="A521" s="275"/>
      <c r="B521" s="78"/>
      <c r="C521" s="189"/>
      <c r="D521" s="185"/>
      <c r="E521" s="186"/>
      <c r="F521" s="187"/>
    </row>
    <row r="522" spans="1:6" x14ac:dyDescent="0.2">
      <c r="A522" s="275"/>
      <c r="B522" s="78"/>
      <c r="C522" s="189"/>
      <c r="D522" s="185"/>
      <c r="E522" s="186"/>
      <c r="F522" s="187"/>
    </row>
    <row r="523" spans="1:6" x14ac:dyDescent="0.2">
      <c r="A523" s="275"/>
      <c r="B523" s="78"/>
      <c r="C523" s="189"/>
      <c r="D523" s="185"/>
      <c r="E523" s="186"/>
      <c r="F523" s="187"/>
    </row>
    <row r="524" spans="1:6" x14ac:dyDescent="0.2">
      <c r="A524" s="275"/>
      <c r="B524" s="78"/>
      <c r="C524" s="189"/>
      <c r="D524" s="185"/>
      <c r="E524" s="186"/>
      <c r="F524" s="187"/>
    </row>
    <row r="525" spans="1:6" x14ac:dyDescent="0.2">
      <c r="A525" s="275"/>
      <c r="B525" s="78"/>
      <c r="C525" s="189"/>
      <c r="D525" s="185"/>
      <c r="E525" s="186"/>
      <c r="F525" s="187"/>
    </row>
    <row r="526" spans="1:6" x14ac:dyDescent="0.2">
      <c r="A526" s="275"/>
      <c r="B526" s="78"/>
      <c r="C526" s="189"/>
      <c r="D526" s="185"/>
      <c r="E526" s="186"/>
      <c r="F526" s="187"/>
    </row>
    <row r="527" spans="1:6" x14ac:dyDescent="0.2">
      <c r="A527" s="275"/>
      <c r="B527" s="78"/>
      <c r="C527" s="189"/>
      <c r="D527" s="185"/>
      <c r="E527" s="186"/>
      <c r="F527" s="187"/>
    </row>
    <row r="528" spans="1:6" x14ac:dyDescent="0.2">
      <c r="A528" s="275"/>
      <c r="B528" s="78"/>
      <c r="C528" s="189"/>
      <c r="D528" s="185"/>
      <c r="E528" s="186"/>
      <c r="F528" s="187"/>
    </row>
    <row r="529" spans="1:6" x14ac:dyDescent="0.2">
      <c r="A529" s="275"/>
      <c r="B529" s="78"/>
      <c r="C529" s="189"/>
      <c r="D529" s="185"/>
      <c r="E529" s="186"/>
      <c r="F529" s="187"/>
    </row>
    <row r="530" spans="1:6" x14ac:dyDescent="0.2">
      <c r="A530" s="275"/>
      <c r="B530" s="78"/>
      <c r="C530" s="189"/>
      <c r="D530" s="185"/>
      <c r="E530" s="186"/>
      <c r="F530" s="187"/>
    </row>
    <row r="531" spans="1:6" x14ac:dyDescent="0.2">
      <c r="A531" s="275"/>
      <c r="B531" s="78"/>
      <c r="C531" s="189"/>
      <c r="D531" s="185"/>
      <c r="E531" s="186"/>
      <c r="F531" s="187"/>
    </row>
    <row r="532" spans="1:6" x14ac:dyDescent="0.2">
      <c r="A532" s="275"/>
      <c r="B532" s="78"/>
      <c r="C532" s="189"/>
      <c r="D532" s="185"/>
      <c r="E532" s="186"/>
      <c r="F532" s="187"/>
    </row>
    <row r="533" spans="1:6" x14ac:dyDescent="0.2">
      <c r="A533" s="275"/>
      <c r="B533" s="78"/>
      <c r="C533" s="189"/>
      <c r="D533" s="185"/>
      <c r="E533" s="186"/>
      <c r="F533" s="187"/>
    </row>
    <row r="534" spans="1:6" x14ac:dyDescent="0.2">
      <c r="A534" s="275"/>
      <c r="B534" s="78"/>
      <c r="C534" s="189"/>
      <c r="D534" s="185"/>
      <c r="E534" s="186"/>
      <c r="F534" s="187"/>
    </row>
    <row r="535" spans="1:6" x14ac:dyDescent="0.2">
      <c r="A535" s="275"/>
      <c r="B535" s="78"/>
      <c r="C535" s="189"/>
      <c r="D535" s="185"/>
      <c r="E535" s="186"/>
      <c r="F535" s="187"/>
    </row>
    <row r="536" spans="1:6" x14ac:dyDescent="0.2">
      <c r="A536" s="275"/>
      <c r="B536" s="78"/>
      <c r="C536" s="189"/>
      <c r="D536" s="185"/>
      <c r="E536" s="186"/>
      <c r="F536" s="187"/>
    </row>
    <row r="537" spans="1:6" x14ac:dyDescent="0.2">
      <c r="A537" s="275"/>
      <c r="B537" s="78"/>
      <c r="C537" s="189"/>
      <c r="D537" s="185"/>
      <c r="E537" s="186"/>
      <c r="F537" s="187"/>
    </row>
    <row r="538" spans="1:6" x14ac:dyDescent="0.2">
      <c r="A538" s="275"/>
      <c r="B538" s="78"/>
      <c r="C538" s="189"/>
      <c r="D538" s="185"/>
      <c r="E538" s="186"/>
      <c r="F538" s="187"/>
    </row>
    <row r="539" spans="1:6" x14ac:dyDescent="0.2">
      <c r="A539" s="275"/>
      <c r="B539" s="78"/>
      <c r="C539" s="189"/>
      <c r="D539" s="185"/>
      <c r="E539" s="186"/>
      <c r="F539" s="187"/>
    </row>
    <row r="540" spans="1:6" x14ac:dyDescent="0.2">
      <c r="A540" s="275"/>
      <c r="B540" s="78"/>
      <c r="C540" s="189"/>
      <c r="D540" s="185"/>
      <c r="E540" s="186"/>
      <c r="F540" s="187"/>
    </row>
    <row r="541" spans="1:6" x14ac:dyDescent="0.2">
      <c r="A541" s="275"/>
      <c r="B541" s="78"/>
      <c r="C541" s="189"/>
      <c r="D541" s="185"/>
      <c r="E541" s="186"/>
      <c r="F541" s="187"/>
    </row>
    <row r="542" spans="1:6" x14ac:dyDescent="0.2">
      <c r="A542" s="275"/>
      <c r="B542" s="78"/>
      <c r="C542" s="189"/>
      <c r="D542" s="185"/>
      <c r="E542" s="186"/>
      <c r="F542" s="187"/>
    </row>
    <row r="543" spans="1:6" x14ac:dyDescent="0.2">
      <c r="A543" s="275"/>
      <c r="B543" s="78"/>
      <c r="C543" s="189"/>
      <c r="D543" s="185"/>
      <c r="E543" s="186"/>
      <c r="F543" s="187"/>
    </row>
    <row r="544" spans="1:6" x14ac:dyDescent="0.2">
      <c r="A544" s="275"/>
      <c r="B544" s="78"/>
      <c r="C544" s="189"/>
      <c r="D544" s="185"/>
      <c r="E544" s="186"/>
      <c r="F544" s="187"/>
    </row>
    <row r="545" spans="1:6" x14ac:dyDescent="0.2">
      <c r="A545" s="275"/>
      <c r="B545" s="78"/>
      <c r="C545" s="189"/>
      <c r="D545" s="185"/>
      <c r="E545" s="186"/>
      <c r="F545" s="187"/>
    </row>
    <row r="546" spans="1:6" x14ac:dyDescent="0.2">
      <c r="A546" s="275"/>
      <c r="B546" s="78"/>
      <c r="C546" s="189"/>
      <c r="D546" s="185"/>
      <c r="E546" s="186"/>
      <c r="F546" s="187"/>
    </row>
    <row r="547" spans="1:6" x14ac:dyDescent="0.2">
      <c r="A547" s="275"/>
      <c r="B547" s="78"/>
      <c r="C547" s="189"/>
      <c r="D547" s="185"/>
      <c r="E547" s="186"/>
      <c r="F547" s="187"/>
    </row>
    <row r="548" spans="1:6" x14ac:dyDescent="0.2">
      <c r="A548" s="275"/>
      <c r="B548" s="78"/>
      <c r="C548" s="189"/>
      <c r="D548" s="185"/>
      <c r="E548" s="186"/>
      <c r="F548" s="187"/>
    </row>
    <row r="549" spans="1:6" x14ac:dyDescent="0.2">
      <c r="A549" s="275"/>
      <c r="B549" s="78"/>
      <c r="C549" s="189"/>
      <c r="D549" s="185"/>
      <c r="E549" s="186"/>
      <c r="F549" s="187"/>
    </row>
    <row r="550" spans="1:6" x14ac:dyDescent="0.2">
      <c r="A550" s="275"/>
      <c r="B550" s="78"/>
      <c r="C550" s="189"/>
      <c r="D550" s="185"/>
      <c r="E550" s="186"/>
      <c r="F550" s="187"/>
    </row>
    <row r="551" spans="1:6" x14ac:dyDescent="0.2">
      <c r="A551" s="275"/>
      <c r="B551" s="78"/>
      <c r="C551" s="189"/>
      <c r="D551" s="185"/>
      <c r="E551" s="186"/>
      <c r="F551" s="187"/>
    </row>
    <row r="552" spans="1:6" x14ac:dyDescent="0.2">
      <c r="A552" s="275"/>
      <c r="B552" s="78"/>
      <c r="C552" s="189"/>
      <c r="D552" s="185"/>
      <c r="E552" s="186"/>
      <c r="F552" s="187"/>
    </row>
    <row r="553" spans="1:6" x14ac:dyDescent="0.2">
      <c r="A553" s="275"/>
      <c r="B553" s="78"/>
      <c r="C553" s="189"/>
      <c r="D553" s="185"/>
      <c r="E553" s="186"/>
      <c r="F553" s="187"/>
    </row>
    <row r="554" spans="1:6" x14ac:dyDescent="0.2">
      <c r="A554" s="275"/>
      <c r="B554" s="78"/>
      <c r="C554" s="189"/>
      <c r="D554" s="185"/>
      <c r="E554" s="186"/>
      <c r="F554" s="187"/>
    </row>
    <row r="555" spans="1:6" x14ac:dyDescent="0.2">
      <c r="A555" s="275"/>
      <c r="B555" s="78"/>
      <c r="C555" s="189"/>
      <c r="D555" s="185"/>
      <c r="E555" s="186"/>
      <c r="F555" s="187"/>
    </row>
    <row r="556" spans="1:6" x14ac:dyDescent="0.2">
      <c r="A556" s="275"/>
      <c r="B556" s="78"/>
      <c r="C556" s="189"/>
      <c r="D556" s="185"/>
      <c r="E556" s="186"/>
      <c r="F556" s="187"/>
    </row>
    <row r="557" spans="1:6" x14ac:dyDescent="0.2">
      <c r="A557" s="275"/>
      <c r="B557" s="78"/>
      <c r="C557" s="189"/>
      <c r="D557" s="185"/>
      <c r="E557" s="186"/>
      <c r="F557" s="187"/>
    </row>
    <row r="558" spans="1:6" x14ac:dyDescent="0.2">
      <c r="A558" s="275"/>
      <c r="B558" s="78"/>
      <c r="C558" s="189"/>
      <c r="D558" s="185"/>
      <c r="E558" s="186"/>
      <c r="F558" s="187"/>
    </row>
    <row r="559" spans="1:6" x14ac:dyDescent="0.2">
      <c r="A559" s="275"/>
      <c r="B559" s="78"/>
      <c r="C559" s="189"/>
      <c r="D559" s="185"/>
      <c r="E559" s="186"/>
      <c r="F559" s="187"/>
    </row>
    <row r="560" spans="1:6" x14ac:dyDescent="0.2">
      <c r="A560" s="275"/>
      <c r="B560" s="78"/>
      <c r="C560" s="189"/>
      <c r="D560" s="185"/>
      <c r="E560" s="186"/>
      <c r="F560" s="187"/>
    </row>
    <row r="561" spans="1:6" x14ac:dyDescent="0.2">
      <c r="A561" s="275"/>
      <c r="B561" s="78"/>
      <c r="C561" s="189"/>
      <c r="D561" s="185"/>
      <c r="E561" s="186"/>
      <c r="F561" s="187"/>
    </row>
    <row r="562" spans="1:6" x14ac:dyDescent="0.2">
      <c r="A562" s="275"/>
      <c r="B562" s="78"/>
      <c r="C562" s="189"/>
      <c r="D562" s="185"/>
      <c r="E562" s="186"/>
      <c r="F562" s="187"/>
    </row>
    <row r="563" spans="1:6" x14ac:dyDescent="0.2">
      <c r="A563" s="275"/>
      <c r="B563" s="78"/>
      <c r="C563" s="189"/>
      <c r="D563" s="185"/>
      <c r="E563" s="186"/>
      <c r="F563" s="187"/>
    </row>
    <row r="564" spans="1:6" x14ac:dyDescent="0.2">
      <c r="A564" s="275"/>
      <c r="B564" s="78"/>
      <c r="C564" s="189"/>
      <c r="D564" s="185"/>
      <c r="E564" s="186"/>
      <c r="F564" s="187"/>
    </row>
    <row r="565" spans="1:6" x14ac:dyDescent="0.2">
      <c r="A565" s="275"/>
      <c r="B565" s="78"/>
      <c r="C565" s="189"/>
      <c r="D565" s="185"/>
      <c r="E565" s="186"/>
      <c r="F565" s="187"/>
    </row>
    <row r="566" spans="1:6" x14ac:dyDescent="0.2">
      <c r="A566" s="275"/>
      <c r="B566" s="78"/>
      <c r="C566" s="189"/>
      <c r="D566" s="185"/>
      <c r="E566" s="186"/>
      <c r="F566" s="187"/>
    </row>
    <row r="567" spans="1:6" x14ac:dyDescent="0.2">
      <c r="A567" s="275"/>
      <c r="B567" s="78"/>
      <c r="C567" s="189"/>
      <c r="D567" s="185"/>
      <c r="E567" s="186"/>
      <c r="F567" s="187"/>
    </row>
    <row r="568" spans="1:6" x14ac:dyDescent="0.2">
      <c r="A568" s="275"/>
      <c r="B568" s="78"/>
      <c r="C568" s="189"/>
      <c r="D568" s="185"/>
      <c r="E568" s="186"/>
      <c r="F568" s="187"/>
    </row>
    <row r="569" spans="1:6" x14ac:dyDescent="0.2">
      <c r="A569" s="275"/>
      <c r="B569" s="78"/>
      <c r="C569" s="189"/>
      <c r="D569" s="185"/>
      <c r="E569" s="186"/>
      <c r="F569" s="187"/>
    </row>
    <row r="570" spans="1:6" x14ac:dyDescent="0.2">
      <c r="A570" s="275"/>
      <c r="B570" s="78"/>
      <c r="C570" s="189"/>
      <c r="D570" s="185"/>
      <c r="E570" s="186"/>
      <c r="F570" s="187"/>
    </row>
    <row r="571" spans="1:6" x14ac:dyDescent="0.2">
      <c r="A571" s="275"/>
      <c r="B571" s="78"/>
      <c r="C571" s="189"/>
      <c r="D571" s="185"/>
      <c r="E571" s="186"/>
      <c r="F571" s="187"/>
    </row>
    <row r="572" spans="1:6" x14ac:dyDescent="0.2">
      <c r="A572" s="275"/>
      <c r="B572" s="78"/>
      <c r="C572" s="189"/>
      <c r="D572" s="185"/>
      <c r="E572" s="186"/>
      <c r="F572" s="187"/>
    </row>
    <row r="573" spans="1:6" x14ac:dyDescent="0.2">
      <c r="A573" s="275"/>
      <c r="B573" s="78"/>
      <c r="C573" s="189"/>
      <c r="D573" s="185"/>
      <c r="E573" s="186"/>
      <c r="F573" s="187"/>
    </row>
    <row r="574" spans="1:6" x14ac:dyDescent="0.2">
      <c r="A574" s="275"/>
      <c r="B574" s="78"/>
      <c r="C574" s="189"/>
      <c r="D574" s="185"/>
      <c r="E574" s="186"/>
      <c r="F574" s="187"/>
    </row>
    <row r="575" spans="1:6" x14ac:dyDescent="0.2">
      <c r="A575" s="275"/>
      <c r="B575" s="78"/>
      <c r="C575" s="189"/>
      <c r="D575" s="185"/>
      <c r="E575" s="186"/>
      <c r="F575" s="187"/>
    </row>
    <row r="576" spans="1:6" x14ac:dyDescent="0.2">
      <c r="A576" s="275"/>
      <c r="B576" s="78"/>
      <c r="C576" s="189"/>
      <c r="D576" s="185"/>
      <c r="E576" s="186"/>
      <c r="F576" s="187"/>
    </row>
    <row r="577" spans="1:6" x14ac:dyDescent="0.2">
      <c r="A577" s="275"/>
      <c r="B577" s="78"/>
      <c r="C577" s="189"/>
      <c r="D577" s="185"/>
      <c r="E577" s="186"/>
      <c r="F577" s="187"/>
    </row>
    <row r="578" spans="1:6" x14ac:dyDescent="0.2">
      <c r="A578" s="275"/>
      <c r="B578" s="78"/>
      <c r="C578" s="189"/>
      <c r="D578" s="185"/>
      <c r="E578" s="186"/>
      <c r="F578" s="187"/>
    </row>
    <row r="579" spans="1:6" x14ac:dyDescent="0.2">
      <c r="A579" s="275"/>
      <c r="B579" s="78"/>
      <c r="C579" s="189"/>
      <c r="D579" s="185"/>
      <c r="E579" s="186"/>
      <c r="F579" s="187"/>
    </row>
    <row r="580" spans="1:6" x14ac:dyDescent="0.2">
      <c r="A580" s="275"/>
      <c r="B580" s="78"/>
      <c r="C580" s="189"/>
      <c r="D580" s="185"/>
      <c r="E580" s="186"/>
      <c r="F580" s="187"/>
    </row>
    <row r="581" spans="1:6" x14ac:dyDescent="0.2">
      <c r="A581" s="275"/>
      <c r="B581" s="78"/>
      <c r="C581" s="189"/>
      <c r="D581" s="185"/>
      <c r="E581" s="186"/>
      <c r="F581" s="187"/>
    </row>
    <row r="582" spans="1:6" x14ac:dyDescent="0.2">
      <c r="A582" s="275"/>
      <c r="B582" s="78"/>
      <c r="C582" s="189"/>
      <c r="D582" s="185"/>
      <c r="E582" s="186"/>
      <c r="F582" s="187"/>
    </row>
    <row r="583" spans="1:6" x14ac:dyDescent="0.2">
      <c r="A583" s="275"/>
      <c r="B583" s="78"/>
      <c r="C583" s="189"/>
      <c r="D583" s="185"/>
      <c r="E583" s="186"/>
      <c r="F583" s="187"/>
    </row>
    <row r="584" spans="1:6" x14ac:dyDescent="0.2">
      <c r="A584" s="275"/>
      <c r="B584" s="78"/>
      <c r="C584" s="189"/>
      <c r="D584" s="185"/>
      <c r="E584" s="186"/>
      <c r="F584" s="187"/>
    </row>
    <row r="585" spans="1:6" x14ac:dyDescent="0.2">
      <c r="A585" s="275"/>
      <c r="B585" s="78"/>
      <c r="C585" s="189"/>
      <c r="D585" s="185"/>
      <c r="E585" s="186"/>
      <c r="F585" s="187"/>
    </row>
    <row r="586" spans="1:6" x14ac:dyDescent="0.2">
      <c r="A586" s="275"/>
      <c r="B586" s="78"/>
      <c r="C586" s="189"/>
      <c r="D586" s="185"/>
      <c r="E586" s="186"/>
      <c r="F586" s="187"/>
    </row>
    <row r="587" spans="1:6" x14ac:dyDescent="0.2">
      <c r="A587" s="275"/>
      <c r="B587" s="78"/>
      <c r="C587" s="189"/>
      <c r="D587" s="185"/>
      <c r="E587" s="186"/>
      <c r="F587" s="187"/>
    </row>
    <row r="588" spans="1:6" x14ac:dyDescent="0.2">
      <c r="A588" s="275"/>
      <c r="B588" s="78"/>
      <c r="C588" s="189"/>
      <c r="D588" s="185"/>
      <c r="E588" s="186"/>
      <c r="F588" s="187"/>
    </row>
    <row r="589" spans="1:6" x14ac:dyDescent="0.2">
      <c r="A589" s="275"/>
      <c r="B589" s="78"/>
      <c r="C589" s="189"/>
      <c r="D589" s="185"/>
      <c r="E589" s="186"/>
      <c r="F589" s="187"/>
    </row>
    <row r="590" spans="1:6" x14ac:dyDescent="0.2">
      <c r="A590" s="275"/>
      <c r="B590" s="78"/>
      <c r="C590" s="189"/>
      <c r="D590" s="185"/>
      <c r="E590" s="186"/>
      <c r="F590" s="187"/>
    </row>
    <row r="591" spans="1:6" x14ac:dyDescent="0.2">
      <c r="A591" s="275"/>
      <c r="B591" s="78"/>
      <c r="C591" s="189"/>
      <c r="D591" s="185"/>
      <c r="E591" s="186"/>
      <c r="F591" s="187"/>
    </row>
    <row r="592" spans="1:6" x14ac:dyDescent="0.2">
      <c r="A592" s="275"/>
      <c r="B592" s="78"/>
      <c r="C592" s="189"/>
      <c r="D592" s="185"/>
      <c r="E592" s="186"/>
      <c r="F592" s="187"/>
    </row>
    <row r="593" spans="1:6" x14ac:dyDescent="0.2">
      <c r="A593" s="275"/>
      <c r="B593" s="78"/>
      <c r="C593" s="189"/>
      <c r="D593" s="185"/>
      <c r="E593" s="186"/>
      <c r="F593" s="187"/>
    </row>
    <row r="594" spans="1:6" x14ac:dyDescent="0.2">
      <c r="A594" s="275"/>
      <c r="B594" s="78"/>
      <c r="C594" s="189"/>
      <c r="D594" s="185"/>
      <c r="E594" s="186"/>
      <c r="F594" s="187"/>
    </row>
    <row r="595" spans="1:6" x14ac:dyDescent="0.2">
      <c r="A595" s="275"/>
      <c r="B595" s="78"/>
      <c r="C595" s="189"/>
      <c r="D595" s="185"/>
      <c r="E595" s="186"/>
      <c r="F595" s="187"/>
    </row>
    <row r="596" spans="1:6" x14ac:dyDescent="0.2">
      <c r="A596" s="275"/>
      <c r="B596" s="78"/>
      <c r="C596" s="189"/>
      <c r="D596" s="185"/>
      <c r="E596" s="186"/>
      <c r="F596" s="187"/>
    </row>
    <row r="597" spans="1:6" x14ac:dyDescent="0.2">
      <c r="A597" s="275"/>
      <c r="B597" s="78"/>
      <c r="C597" s="189"/>
      <c r="D597" s="185"/>
      <c r="E597" s="186"/>
      <c r="F597" s="187"/>
    </row>
    <row r="598" spans="1:6" x14ac:dyDescent="0.2">
      <c r="A598" s="275"/>
      <c r="B598" s="78"/>
      <c r="C598" s="189"/>
      <c r="D598" s="185"/>
      <c r="E598" s="186"/>
      <c r="F598" s="187"/>
    </row>
    <row r="599" spans="1:6" x14ac:dyDescent="0.2">
      <c r="A599" s="275"/>
      <c r="B599" s="78"/>
      <c r="C599" s="189"/>
      <c r="D599" s="185"/>
      <c r="E599" s="186"/>
      <c r="F599" s="187"/>
    </row>
    <row r="600" spans="1:6" x14ac:dyDescent="0.2">
      <c r="A600" s="275"/>
      <c r="B600" s="78"/>
      <c r="C600" s="189"/>
      <c r="D600" s="185"/>
      <c r="E600" s="186"/>
      <c r="F600" s="187"/>
    </row>
    <row r="601" spans="1:6" x14ac:dyDescent="0.2">
      <c r="A601" s="275"/>
      <c r="B601" s="78"/>
      <c r="C601" s="189"/>
      <c r="D601" s="185"/>
      <c r="E601" s="186"/>
      <c r="F601" s="187"/>
    </row>
    <row r="602" spans="1:6" x14ac:dyDescent="0.2">
      <c r="A602" s="275"/>
      <c r="B602" s="78"/>
      <c r="C602" s="189"/>
      <c r="D602" s="185"/>
      <c r="E602" s="186"/>
      <c r="F602" s="187"/>
    </row>
    <row r="603" spans="1:6" x14ac:dyDescent="0.2">
      <c r="A603" s="275"/>
      <c r="B603" s="78"/>
      <c r="C603" s="189"/>
      <c r="D603" s="185"/>
      <c r="E603" s="186"/>
      <c r="F603" s="187"/>
    </row>
    <row r="604" spans="1:6" x14ac:dyDescent="0.2">
      <c r="A604" s="275"/>
      <c r="B604" s="78"/>
      <c r="C604" s="189"/>
      <c r="D604" s="185"/>
      <c r="E604" s="186"/>
      <c r="F604" s="187"/>
    </row>
    <row r="605" spans="1:6" x14ac:dyDescent="0.2">
      <c r="A605" s="275"/>
      <c r="B605" s="78"/>
      <c r="C605" s="189"/>
      <c r="D605" s="185"/>
      <c r="E605" s="186"/>
      <c r="F605" s="187"/>
    </row>
    <row r="606" spans="1:6" x14ac:dyDescent="0.2">
      <c r="A606" s="275"/>
      <c r="B606" s="78"/>
      <c r="C606" s="189"/>
      <c r="D606" s="185"/>
      <c r="E606" s="186"/>
      <c r="F606" s="187"/>
    </row>
    <row r="607" spans="1:6" x14ac:dyDescent="0.2">
      <c r="A607" s="275"/>
      <c r="B607" s="78"/>
      <c r="C607" s="189"/>
      <c r="D607" s="185"/>
      <c r="E607" s="186"/>
      <c r="F607" s="187"/>
    </row>
    <row r="608" spans="1:6" x14ac:dyDescent="0.2">
      <c r="A608" s="275"/>
      <c r="B608" s="78"/>
      <c r="C608" s="189"/>
      <c r="D608" s="185"/>
      <c r="E608" s="186"/>
      <c r="F608" s="187"/>
    </row>
    <row r="609" spans="1:6" x14ac:dyDescent="0.2">
      <c r="A609" s="275"/>
      <c r="B609" s="78"/>
      <c r="C609" s="189"/>
      <c r="D609" s="185"/>
      <c r="E609" s="186"/>
      <c r="F609" s="187"/>
    </row>
    <row r="610" spans="1:6" x14ac:dyDescent="0.2">
      <c r="A610" s="275"/>
      <c r="B610" s="78"/>
      <c r="C610" s="189"/>
      <c r="D610" s="185"/>
      <c r="E610" s="186"/>
      <c r="F610" s="187"/>
    </row>
    <row r="611" spans="1:6" x14ac:dyDescent="0.2">
      <c r="A611" s="275"/>
      <c r="B611" s="78"/>
      <c r="C611" s="189"/>
      <c r="D611" s="185"/>
      <c r="E611" s="186"/>
      <c r="F611" s="187"/>
    </row>
    <row r="612" spans="1:6" x14ac:dyDescent="0.2">
      <c r="A612" s="275"/>
      <c r="B612" s="78"/>
      <c r="C612" s="189"/>
      <c r="D612" s="185"/>
      <c r="E612" s="186"/>
      <c r="F612" s="187"/>
    </row>
    <row r="613" spans="1:6" x14ac:dyDescent="0.2">
      <c r="A613" s="275"/>
      <c r="B613" s="78"/>
      <c r="C613" s="189"/>
      <c r="D613" s="185"/>
      <c r="E613" s="186"/>
      <c r="F613" s="187"/>
    </row>
    <row r="614" spans="1:6" x14ac:dyDescent="0.2">
      <c r="A614" s="275"/>
      <c r="B614" s="78"/>
      <c r="C614" s="189"/>
      <c r="D614" s="185"/>
      <c r="E614" s="186"/>
      <c r="F614" s="187"/>
    </row>
    <row r="615" spans="1:6" x14ac:dyDescent="0.2">
      <c r="A615" s="275"/>
      <c r="B615" s="78"/>
      <c r="C615" s="189"/>
      <c r="D615" s="185"/>
      <c r="E615" s="186"/>
      <c r="F615" s="187"/>
    </row>
    <row r="616" spans="1:6" x14ac:dyDescent="0.2">
      <c r="A616" s="275"/>
      <c r="B616" s="78"/>
      <c r="C616" s="189"/>
      <c r="D616" s="185"/>
      <c r="E616" s="186"/>
      <c r="F616" s="187"/>
    </row>
    <row r="617" spans="1:6" x14ac:dyDescent="0.2">
      <c r="A617" s="275"/>
      <c r="B617" s="78"/>
      <c r="C617" s="189"/>
      <c r="D617" s="185"/>
      <c r="E617" s="186"/>
      <c r="F617" s="187"/>
    </row>
    <row r="618" spans="1:6" x14ac:dyDescent="0.2">
      <c r="A618" s="275"/>
      <c r="B618" s="78"/>
      <c r="C618" s="189"/>
      <c r="D618" s="185"/>
      <c r="E618" s="186"/>
      <c r="F618" s="187"/>
    </row>
    <row r="619" spans="1:6" x14ac:dyDescent="0.2">
      <c r="A619" s="275"/>
      <c r="B619" s="78"/>
      <c r="C619" s="189"/>
      <c r="D619" s="185"/>
      <c r="E619" s="186"/>
      <c r="F619" s="187"/>
    </row>
    <row r="620" spans="1:6" x14ac:dyDescent="0.2">
      <c r="A620" s="275"/>
      <c r="B620" s="78"/>
      <c r="C620" s="189"/>
      <c r="D620" s="185"/>
      <c r="E620" s="186"/>
      <c r="F620" s="187"/>
    </row>
    <row r="621" spans="1:6" x14ac:dyDescent="0.2">
      <c r="A621" s="275"/>
      <c r="B621" s="78"/>
      <c r="C621" s="189"/>
      <c r="D621" s="185"/>
      <c r="E621" s="186"/>
      <c r="F621" s="187"/>
    </row>
    <row r="622" spans="1:6" x14ac:dyDescent="0.2">
      <c r="A622" s="275"/>
      <c r="B622" s="78"/>
      <c r="C622" s="189"/>
      <c r="D622" s="185"/>
      <c r="E622" s="186"/>
      <c r="F622" s="187"/>
    </row>
    <row r="623" spans="1:6" x14ac:dyDescent="0.2">
      <c r="A623" s="275"/>
      <c r="B623" s="78"/>
      <c r="C623" s="189"/>
      <c r="D623" s="185"/>
      <c r="E623" s="186"/>
      <c r="F623" s="187"/>
    </row>
    <row r="624" spans="1:6" x14ac:dyDescent="0.2">
      <c r="A624" s="275"/>
      <c r="B624" s="78"/>
      <c r="C624" s="189"/>
      <c r="D624" s="185"/>
      <c r="E624" s="186"/>
      <c r="F624" s="187"/>
    </row>
    <row r="625" spans="1:6" x14ac:dyDescent="0.2">
      <c r="A625" s="275"/>
      <c r="B625" s="78"/>
      <c r="C625" s="189"/>
      <c r="D625" s="185"/>
      <c r="E625" s="186"/>
      <c r="F625" s="187"/>
    </row>
    <row r="626" spans="1:6" x14ac:dyDescent="0.2">
      <c r="A626" s="275"/>
      <c r="B626" s="78"/>
      <c r="C626" s="189"/>
      <c r="D626" s="185"/>
      <c r="E626" s="186"/>
      <c r="F626" s="187"/>
    </row>
    <row r="627" spans="1:6" x14ac:dyDescent="0.2">
      <c r="A627" s="275"/>
      <c r="B627" s="78"/>
      <c r="C627" s="189"/>
      <c r="D627" s="185"/>
      <c r="E627" s="186"/>
      <c r="F627" s="187"/>
    </row>
    <row r="628" spans="1:6" x14ac:dyDescent="0.2">
      <c r="A628" s="275"/>
      <c r="B628" s="78"/>
      <c r="C628" s="189"/>
      <c r="D628" s="185"/>
      <c r="E628" s="186"/>
      <c r="F628" s="187"/>
    </row>
    <row r="629" spans="1:6" x14ac:dyDescent="0.2">
      <c r="A629" s="275"/>
      <c r="B629" s="78"/>
      <c r="C629" s="189"/>
      <c r="D629" s="185"/>
      <c r="E629" s="186"/>
      <c r="F629" s="187"/>
    </row>
    <row r="630" spans="1:6" x14ac:dyDescent="0.2">
      <c r="A630" s="275"/>
      <c r="B630" s="78"/>
      <c r="C630" s="189"/>
      <c r="D630" s="185"/>
      <c r="E630" s="186"/>
      <c r="F630" s="187"/>
    </row>
    <row r="631" spans="1:6" x14ac:dyDescent="0.2">
      <c r="A631" s="275"/>
      <c r="B631" s="78"/>
      <c r="C631" s="189"/>
      <c r="D631" s="185"/>
      <c r="E631" s="186"/>
      <c r="F631" s="187"/>
    </row>
    <row r="632" spans="1:6" x14ac:dyDescent="0.2">
      <c r="A632" s="275"/>
      <c r="B632" s="78"/>
      <c r="C632" s="189"/>
      <c r="D632" s="185"/>
      <c r="E632" s="186"/>
      <c r="F632" s="187"/>
    </row>
    <row r="633" spans="1:6" x14ac:dyDescent="0.2">
      <c r="A633" s="275"/>
      <c r="B633" s="78"/>
      <c r="C633" s="189"/>
      <c r="D633" s="185"/>
      <c r="E633" s="186"/>
      <c r="F633" s="187"/>
    </row>
    <row r="634" spans="1:6" x14ac:dyDescent="0.2">
      <c r="A634" s="275"/>
      <c r="B634" s="78"/>
      <c r="C634" s="189"/>
      <c r="D634" s="185"/>
      <c r="E634" s="186"/>
      <c r="F634" s="187"/>
    </row>
    <row r="635" spans="1:6" x14ac:dyDescent="0.2">
      <c r="A635" s="275"/>
      <c r="B635" s="78"/>
      <c r="C635" s="189"/>
      <c r="D635" s="185"/>
      <c r="E635" s="186"/>
      <c r="F635" s="187"/>
    </row>
    <row r="636" spans="1:6" x14ac:dyDescent="0.2">
      <c r="A636" s="275"/>
      <c r="B636" s="78"/>
      <c r="C636" s="189"/>
      <c r="D636" s="185"/>
      <c r="E636" s="186"/>
      <c r="F636" s="187"/>
    </row>
    <row r="637" spans="1:6" x14ac:dyDescent="0.2">
      <c r="A637" s="275"/>
      <c r="B637" s="78"/>
      <c r="C637" s="189"/>
      <c r="D637" s="185"/>
      <c r="E637" s="186"/>
      <c r="F637" s="187"/>
    </row>
    <row r="638" spans="1:6" x14ac:dyDescent="0.2">
      <c r="A638" s="275"/>
      <c r="B638" s="78"/>
      <c r="C638" s="189"/>
      <c r="D638" s="185"/>
      <c r="E638" s="186"/>
      <c r="F638" s="187"/>
    </row>
    <row r="639" spans="1:6" x14ac:dyDescent="0.2">
      <c r="A639" s="275"/>
      <c r="B639" s="78"/>
      <c r="C639" s="189"/>
      <c r="D639" s="185"/>
      <c r="E639" s="186"/>
      <c r="F639" s="187"/>
    </row>
    <row r="640" spans="1:6" x14ac:dyDescent="0.2">
      <c r="A640" s="275"/>
      <c r="B640" s="78"/>
      <c r="C640" s="189"/>
      <c r="D640" s="185"/>
      <c r="E640" s="186"/>
      <c r="F640" s="187"/>
    </row>
    <row r="641" spans="1:6" x14ac:dyDescent="0.2">
      <c r="A641" s="275"/>
      <c r="B641" s="78"/>
      <c r="C641" s="189"/>
      <c r="D641" s="185"/>
      <c r="E641" s="186"/>
      <c r="F641" s="187"/>
    </row>
    <row r="642" spans="1:6" x14ac:dyDescent="0.2">
      <c r="A642" s="275"/>
      <c r="B642" s="78"/>
      <c r="C642" s="189"/>
      <c r="D642" s="185"/>
      <c r="E642" s="186"/>
      <c r="F642" s="187"/>
    </row>
    <row r="643" spans="1:6" x14ac:dyDescent="0.2">
      <c r="A643" s="275"/>
      <c r="B643" s="78"/>
      <c r="C643" s="189"/>
      <c r="D643" s="185"/>
      <c r="E643" s="186"/>
      <c r="F643" s="187"/>
    </row>
    <row r="644" spans="1:6" x14ac:dyDescent="0.2">
      <c r="A644" s="275"/>
      <c r="B644" s="78"/>
      <c r="C644" s="189"/>
      <c r="D644" s="185"/>
      <c r="E644" s="186"/>
      <c r="F644" s="187"/>
    </row>
    <row r="645" spans="1:6" x14ac:dyDescent="0.2">
      <c r="A645" s="275"/>
      <c r="B645" s="78"/>
      <c r="C645" s="189"/>
      <c r="D645" s="185"/>
      <c r="E645" s="186"/>
      <c r="F645" s="187"/>
    </row>
    <row r="646" spans="1:6" x14ac:dyDescent="0.2">
      <c r="A646" s="275"/>
      <c r="B646" s="78"/>
      <c r="C646" s="189"/>
      <c r="D646" s="185"/>
      <c r="E646" s="186"/>
      <c r="F646" s="187"/>
    </row>
    <row r="647" spans="1:6" x14ac:dyDescent="0.2">
      <c r="A647" s="275"/>
      <c r="B647" s="78"/>
      <c r="C647" s="189"/>
      <c r="D647" s="185"/>
      <c r="E647" s="186"/>
      <c r="F647" s="187"/>
    </row>
    <row r="648" spans="1:6" x14ac:dyDescent="0.2">
      <c r="A648" s="275"/>
      <c r="B648" s="78"/>
      <c r="C648" s="189"/>
      <c r="D648" s="185"/>
      <c r="E648" s="186"/>
      <c r="F648" s="187"/>
    </row>
    <row r="649" spans="1:6" x14ac:dyDescent="0.2">
      <c r="A649" s="275"/>
      <c r="B649" s="78"/>
      <c r="C649" s="189"/>
      <c r="D649" s="185"/>
      <c r="E649" s="186"/>
      <c r="F649" s="187"/>
    </row>
    <row r="650" spans="1:6" x14ac:dyDescent="0.2">
      <c r="A650" s="275"/>
      <c r="B650" s="78"/>
      <c r="C650" s="189"/>
      <c r="D650" s="185"/>
      <c r="E650" s="186"/>
      <c r="F650" s="187"/>
    </row>
    <row r="651" spans="1:6" x14ac:dyDescent="0.2">
      <c r="A651" s="275"/>
      <c r="B651" s="78"/>
      <c r="C651" s="189"/>
      <c r="D651" s="185"/>
      <c r="E651" s="186"/>
      <c r="F651" s="187"/>
    </row>
    <row r="652" spans="1:6" x14ac:dyDescent="0.2">
      <c r="A652" s="275"/>
      <c r="B652" s="78"/>
      <c r="C652" s="189"/>
      <c r="D652" s="185"/>
      <c r="E652" s="186"/>
      <c r="F652" s="187"/>
    </row>
    <row r="653" spans="1:6" x14ac:dyDescent="0.2">
      <c r="A653" s="275"/>
      <c r="B653" s="78"/>
      <c r="C653" s="189"/>
      <c r="D653" s="185"/>
      <c r="E653" s="186"/>
      <c r="F653" s="187"/>
    </row>
    <row r="654" spans="1:6" x14ac:dyDescent="0.2">
      <c r="A654" s="275"/>
      <c r="B654" s="78"/>
      <c r="C654" s="189"/>
      <c r="D654" s="185"/>
      <c r="E654" s="186"/>
      <c r="F654" s="187"/>
    </row>
    <row r="655" spans="1:6" x14ac:dyDescent="0.2">
      <c r="A655" s="275"/>
      <c r="B655" s="78"/>
      <c r="C655" s="189"/>
      <c r="D655" s="185"/>
      <c r="E655" s="186"/>
      <c r="F655" s="187"/>
    </row>
    <row r="656" spans="1:6" x14ac:dyDescent="0.2">
      <c r="A656" s="275"/>
      <c r="B656" s="78"/>
      <c r="C656" s="189"/>
      <c r="D656" s="185"/>
      <c r="E656" s="186"/>
      <c r="F656" s="187"/>
    </row>
    <row r="657" spans="1:6" x14ac:dyDescent="0.2">
      <c r="A657" s="275"/>
      <c r="B657" s="78"/>
      <c r="C657" s="189"/>
      <c r="D657" s="185"/>
      <c r="E657" s="186"/>
      <c r="F657" s="187"/>
    </row>
    <row r="658" spans="1:6" x14ac:dyDescent="0.2">
      <c r="A658" s="275"/>
      <c r="B658" s="78"/>
      <c r="C658" s="189"/>
      <c r="D658" s="185"/>
      <c r="E658" s="186"/>
      <c r="F658" s="187"/>
    </row>
    <row r="659" spans="1:6" x14ac:dyDescent="0.2">
      <c r="A659" s="275"/>
      <c r="B659" s="78"/>
      <c r="C659" s="189"/>
      <c r="D659" s="185"/>
      <c r="E659" s="186"/>
      <c r="F659" s="187"/>
    </row>
    <row r="660" spans="1:6" x14ac:dyDescent="0.2">
      <c r="A660" s="275"/>
      <c r="B660" s="78"/>
      <c r="C660" s="189"/>
      <c r="D660" s="185"/>
      <c r="E660" s="186"/>
      <c r="F660" s="187"/>
    </row>
    <row r="661" spans="1:6" x14ac:dyDescent="0.2">
      <c r="A661" s="275"/>
      <c r="B661" s="78"/>
      <c r="C661" s="189"/>
      <c r="D661" s="185"/>
      <c r="E661" s="186"/>
      <c r="F661" s="187"/>
    </row>
    <row r="662" spans="1:6" x14ac:dyDescent="0.2">
      <c r="A662" s="275"/>
      <c r="B662" s="78"/>
      <c r="C662" s="189"/>
      <c r="D662" s="185"/>
      <c r="E662" s="186"/>
      <c r="F662" s="187"/>
    </row>
    <row r="663" spans="1:6" x14ac:dyDescent="0.2">
      <c r="A663" s="275"/>
      <c r="B663" s="78"/>
      <c r="C663" s="189"/>
      <c r="D663" s="185"/>
      <c r="E663" s="186"/>
      <c r="F663" s="187"/>
    </row>
    <row r="664" spans="1:6" x14ac:dyDescent="0.2">
      <c r="A664" s="275"/>
      <c r="B664" s="78"/>
      <c r="C664" s="189"/>
      <c r="D664" s="185"/>
      <c r="E664" s="186"/>
      <c r="F664" s="187"/>
    </row>
    <row r="665" spans="1:6" x14ac:dyDescent="0.2">
      <c r="A665" s="275"/>
      <c r="B665" s="78"/>
      <c r="C665" s="189"/>
      <c r="D665" s="185"/>
      <c r="E665" s="186"/>
      <c r="F665" s="187"/>
    </row>
    <row r="666" spans="1:6" x14ac:dyDescent="0.2">
      <c r="A666" s="275"/>
      <c r="B666" s="78"/>
      <c r="C666" s="189"/>
      <c r="D666" s="185"/>
      <c r="E666" s="186"/>
      <c r="F666" s="187"/>
    </row>
    <row r="667" spans="1:6" x14ac:dyDescent="0.2">
      <c r="A667" s="275"/>
      <c r="B667" s="78"/>
      <c r="C667" s="189"/>
      <c r="D667" s="185"/>
      <c r="E667" s="186"/>
      <c r="F667" s="187"/>
    </row>
    <row r="668" spans="1:6" x14ac:dyDescent="0.2">
      <c r="A668" s="275"/>
      <c r="B668" s="78"/>
      <c r="C668" s="189"/>
      <c r="D668" s="185"/>
      <c r="E668" s="186"/>
      <c r="F668" s="187"/>
    </row>
    <row r="669" spans="1:6" x14ac:dyDescent="0.2">
      <c r="A669" s="275"/>
      <c r="B669" s="78"/>
      <c r="C669" s="189"/>
      <c r="D669" s="185"/>
      <c r="E669" s="186"/>
      <c r="F669" s="187"/>
    </row>
    <row r="670" spans="1:6" x14ac:dyDescent="0.2">
      <c r="A670" s="275"/>
      <c r="B670" s="78"/>
      <c r="C670" s="189"/>
      <c r="D670" s="185"/>
      <c r="E670" s="186"/>
      <c r="F670" s="187"/>
    </row>
    <row r="671" spans="1:6" x14ac:dyDescent="0.2">
      <c r="A671" s="275"/>
      <c r="B671" s="78"/>
      <c r="C671" s="189"/>
      <c r="D671" s="185"/>
      <c r="E671" s="186"/>
      <c r="F671" s="187"/>
    </row>
    <row r="672" spans="1:6" x14ac:dyDescent="0.2">
      <c r="A672" s="275"/>
      <c r="B672" s="78"/>
      <c r="C672" s="189"/>
      <c r="D672" s="185"/>
      <c r="E672" s="186"/>
      <c r="F672" s="187"/>
    </row>
    <row r="673" spans="1:6" x14ac:dyDescent="0.2">
      <c r="A673" s="275"/>
      <c r="B673" s="78"/>
      <c r="C673" s="189"/>
      <c r="D673" s="185"/>
      <c r="E673" s="186"/>
      <c r="F673" s="187"/>
    </row>
    <row r="674" spans="1:6" x14ac:dyDescent="0.2">
      <c r="A674" s="275"/>
      <c r="B674" s="78"/>
      <c r="C674" s="189"/>
      <c r="D674" s="185"/>
      <c r="E674" s="186"/>
      <c r="F674" s="187"/>
    </row>
    <row r="675" spans="1:6" x14ac:dyDescent="0.2">
      <c r="A675" s="275"/>
      <c r="B675" s="78"/>
      <c r="C675" s="189"/>
      <c r="D675" s="185"/>
      <c r="E675" s="186"/>
      <c r="F675" s="187"/>
    </row>
    <row r="676" spans="1:6" x14ac:dyDescent="0.2">
      <c r="A676" s="275"/>
      <c r="B676" s="78"/>
      <c r="C676" s="189"/>
      <c r="D676" s="185"/>
      <c r="E676" s="186"/>
      <c r="F676" s="187"/>
    </row>
    <row r="677" spans="1:6" x14ac:dyDescent="0.2">
      <c r="A677" s="275"/>
      <c r="B677" s="78"/>
      <c r="C677" s="189"/>
      <c r="D677" s="185"/>
      <c r="E677" s="186"/>
      <c r="F677" s="187"/>
    </row>
    <row r="678" spans="1:6" x14ac:dyDescent="0.2">
      <c r="A678" s="275"/>
      <c r="B678" s="78"/>
      <c r="C678" s="189"/>
      <c r="D678" s="185"/>
      <c r="E678" s="186"/>
      <c r="F678" s="187"/>
    </row>
    <row r="679" spans="1:6" x14ac:dyDescent="0.2">
      <c r="A679" s="275"/>
      <c r="B679" s="78"/>
      <c r="C679" s="189"/>
      <c r="D679" s="185"/>
      <c r="E679" s="186"/>
      <c r="F679" s="187"/>
    </row>
    <row r="680" spans="1:6" x14ac:dyDescent="0.2">
      <c r="A680" s="275"/>
      <c r="B680" s="78"/>
      <c r="C680" s="189"/>
      <c r="D680" s="185"/>
      <c r="E680" s="186"/>
      <c r="F680" s="187"/>
    </row>
    <row r="681" spans="1:6" x14ac:dyDescent="0.2">
      <c r="A681" s="275"/>
      <c r="B681" s="78"/>
      <c r="C681" s="189"/>
      <c r="D681" s="185"/>
      <c r="E681" s="186"/>
      <c r="F681" s="187"/>
    </row>
    <row r="682" spans="1:6" x14ac:dyDescent="0.2">
      <c r="A682" s="275"/>
      <c r="B682" s="78"/>
      <c r="C682" s="189"/>
      <c r="D682" s="185"/>
      <c r="E682" s="186"/>
      <c r="F682" s="187"/>
    </row>
    <row r="683" spans="1:6" x14ac:dyDescent="0.2">
      <c r="A683" s="275"/>
      <c r="B683" s="78"/>
      <c r="C683" s="189"/>
      <c r="D683" s="185"/>
      <c r="E683" s="186"/>
      <c r="F683" s="187"/>
    </row>
    <row r="684" spans="1:6" x14ac:dyDescent="0.2">
      <c r="A684" s="275"/>
      <c r="B684" s="78"/>
      <c r="C684" s="189"/>
      <c r="D684" s="185"/>
      <c r="E684" s="186"/>
      <c r="F684" s="187"/>
    </row>
    <row r="685" spans="1:6" x14ac:dyDescent="0.2">
      <c r="A685" s="275"/>
      <c r="B685" s="78"/>
      <c r="C685" s="189"/>
      <c r="D685" s="185"/>
      <c r="E685" s="186"/>
      <c r="F685" s="187"/>
    </row>
    <row r="686" spans="1:6" x14ac:dyDescent="0.2">
      <c r="A686" s="275"/>
      <c r="B686" s="78"/>
      <c r="C686" s="189"/>
      <c r="D686" s="185"/>
      <c r="E686" s="186"/>
      <c r="F686" s="187"/>
    </row>
    <row r="687" spans="1:6" x14ac:dyDescent="0.2">
      <c r="A687" s="275"/>
      <c r="B687" s="78"/>
      <c r="C687" s="189"/>
      <c r="D687" s="185"/>
      <c r="E687" s="186"/>
      <c r="F687" s="187"/>
    </row>
    <row r="688" spans="1:6" x14ac:dyDescent="0.2">
      <c r="A688" s="275"/>
      <c r="B688" s="78"/>
      <c r="C688" s="189"/>
      <c r="D688" s="185"/>
      <c r="E688" s="186"/>
      <c r="F688" s="187"/>
    </row>
    <row r="689" spans="1:6" x14ac:dyDescent="0.2">
      <c r="A689" s="275"/>
      <c r="B689" s="78"/>
      <c r="C689" s="189"/>
      <c r="D689" s="185"/>
      <c r="E689" s="186"/>
      <c r="F689" s="187"/>
    </row>
    <row r="690" spans="1:6" x14ac:dyDescent="0.2">
      <c r="A690" s="275"/>
      <c r="B690" s="78"/>
      <c r="C690" s="189"/>
      <c r="D690" s="185"/>
      <c r="E690" s="186"/>
      <c r="F690" s="187"/>
    </row>
    <row r="691" spans="1:6" x14ac:dyDescent="0.2">
      <c r="A691" s="275"/>
      <c r="B691" s="78"/>
      <c r="C691" s="189"/>
      <c r="D691" s="185"/>
      <c r="E691" s="186"/>
      <c r="F691" s="187"/>
    </row>
    <row r="692" spans="1:6" x14ac:dyDescent="0.2">
      <c r="A692" s="275"/>
      <c r="B692" s="78"/>
      <c r="C692" s="189"/>
      <c r="D692" s="185"/>
      <c r="E692" s="186"/>
      <c r="F692" s="187"/>
    </row>
    <row r="693" spans="1:6" x14ac:dyDescent="0.2">
      <c r="A693" s="275"/>
      <c r="B693" s="78"/>
      <c r="C693" s="189"/>
      <c r="D693" s="185"/>
      <c r="E693" s="186"/>
      <c r="F693" s="187"/>
    </row>
    <row r="694" spans="1:6" x14ac:dyDescent="0.2">
      <c r="A694" s="275"/>
      <c r="B694" s="78"/>
      <c r="C694" s="189"/>
      <c r="D694" s="185"/>
      <c r="E694" s="186"/>
      <c r="F694" s="187"/>
    </row>
    <row r="695" spans="1:6" x14ac:dyDescent="0.2">
      <c r="A695" s="275"/>
      <c r="B695" s="78"/>
      <c r="C695" s="189"/>
      <c r="D695" s="185"/>
      <c r="E695" s="186"/>
      <c r="F695" s="187"/>
    </row>
    <row r="696" spans="1:6" x14ac:dyDescent="0.2">
      <c r="A696" s="275"/>
      <c r="B696" s="78"/>
      <c r="C696" s="189"/>
      <c r="D696" s="185"/>
      <c r="E696" s="186"/>
      <c r="F696" s="187"/>
    </row>
    <row r="697" spans="1:6" x14ac:dyDescent="0.2">
      <c r="A697" s="275"/>
      <c r="B697" s="78"/>
      <c r="C697" s="189"/>
      <c r="D697" s="185"/>
      <c r="E697" s="186"/>
      <c r="F697" s="187"/>
    </row>
    <row r="698" spans="1:6" x14ac:dyDescent="0.2">
      <c r="A698" s="275"/>
      <c r="B698" s="78"/>
      <c r="C698" s="189"/>
      <c r="D698" s="185"/>
      <c r="E698" s="186"/>
      <c r="F698" s="187"/>
    </row>
    <row r="699" spans="1:6" x14ac:dyDescent="0.2">
      <c r="A699" s="275"/>
      <c r="B699" s="78"/>
      <c r="C699" s="189"/>
      <c r="D699" s="185"/>
      <c r="E699" s="186"/>
      <c r="F699" s="187"/>
    </row>
    <row r="700" spans="1:6" x14ac:dyDescent="0.2">
      <c r="A700" s="275"/>
      <c r="B700" s="78"/>
      <c r="C700" s="189"/>
      <c r="D700" s="185"/>
      <c r="E700" s="186"/>
      <c r="F700" s="187"/>
    </row>
    <row r="701" spans="1:6" x14ac:dyDescent="0.2">
      <c r="A701" s="275"/>
      <c r="B701" s="78"/>
      <c r="C701" s="189"/>
      <c r="D701" s="185"/>
      <c r="E701" s="186"/>
      <c r="F701" s="187"/>
    </row>
    <row r="702" spans="1:6" x14ac:dyDescent="0.2">
      <c r="A702" s="275"/>
      <c r="B702" s="78"/>
      <c r="C702" s="189"/>
      <c r="D702" s="185"/>
      <c r="E702" s="186"/>
      <c r="F702" s="187"/>
    </row>
    <row r="703" spans="1:6" x14ac:dyDescent="0.2">
      <c r="A703" s="275"/>
      <c r="B703" s="78"/>
      <c r="C703" s="189"/>
      <c r="D703" s="185"/>
      <c r="E703" s="186"/>
      <c r="F703" s="187"/>
    </row>
    <row r="704" spans="1:6" x14ac:dyDescent="0.2">
      <c r="A704" s="275"/>
      <c r="B704" s="78"/>
      <c r="C704" s="189"/>
      <c r="D704" s="185"/>
      <c r="E704" s="186"/>
      <c r="F704" s="187"/>
    </row>
    <row r="705" spans="1:6" x14ac:dyDescent="0.2">
      <c r="A705" s="275"/>
      <c r="B705" s="78"/>
      <c r="C705" s="189"/>
      <c r="D705" s="185"/>
      <c r="E705" s="186"/>
      <c r="F705" s="187"/>
    </row>
    <row r="706" spans="1:6" x14ac:dyDescent="0.2">
      <c r="A706" s="275"/>
      <c r="B706" s="78"/>
      <c r="C706" s="189"/>
      <c r="D706" s="185"/>
      <c r="E706" s="186"/>
      <c r="F706" s="187"/>
    </row>
    <row r="707" spans="1:6" x14ac:dyDescent="0.2">
      <c r="A707" s="275"/>
      <c r="B707" s="78"/>
      <c r="C707" s="189"/>
      <c r="D707" s="185"/>
      <c r="E707" s="186"/>
      <c r="F707" s="187"/>
    </row>
    <row r="708" spans="1:6" x14ac:dyDescent="0.2">
      <c r="A708" s="275"/>
      <c r="B708" s="78"/>
      <c r="C708" s="189"/>
      <c r="D708" s="185"/>
      <c r="E708" s="186"/>
      <c r="F708" s="187"/>
    </row>
    <row r="709" spans="1:6" x14ac:dyDescent="0.2">
      <c r="A709" s="275"/>
      <c r="B709" s="78"/>
      <c r="C709" s="189"/>
      <c r="D709" s="185"/>
      <c r="E709" s="186"/>
      <c r="F709" s="187"/>
    </row>
    <row r="710" spans="1:6" x14ac:dyDescent="0.2">
      <c r="A710" s="275"/>
      <c r="B710" s="78"/>
      <c r="C710" s="189"/>
      <c r="D710" s="185"/>
      <c r="E710" s="186"/>
      <c r="F710" s="187"/>
    </row>
    <row r="711" spans="1:6" x14ac:dyDescent="0.2">
      <c r="A711" s="275"/>
      <c r="B711" s="78"/>
      <c r="C711" s="189"/>
      <c r="D711" s="185"/>
      <c r="E711" s="186"/>
      <c r="F711" s="187"/>
    </row>
    <row r="712" spans="1:6" x14ac:dyDescent="0.2">
      <c r="A712" s="275"/>
      <c r="B712" s="78"/>
      <c r="C712" s="189"/>
      <c r="D712" s="185"/>
      <c r="E712" s="186"/>
      <c r="F712" s="187"/>
    </row>
    <row r="713" spans="1:6" x14ac:dyDescent="0.2">
      <c r="A713" s="275"/>
      <c r="B713" s="78"/>
      <c r="C713" s="189"/>
      <c r="D713" s="185"/>
      <c r="E713" s="186"/>
      <c r="F713" s="187"/>
    </row>
    <row r="714" spans="1:6" x14ac:dyDescent="0.2">
      <c r="A714" s="275"/>
      <c r="B714" s="78"/>
      <c r="C714" s="189"/>
      <c r="D714" s="185"/>
      <c r="E714" s="186"/>
      <c r="F714" s="187"/>
    </row>
    <row r="715" spans="1:6" x14ac:dyDescent="0.2">
      <c r="A715" s="275"/>
      <c r="B715" s="78"/>
      <c r="C715" s="189"/>
      <c r="D715" s="185"/>
      <c r="E715" s="186"/>
      <c r="F715" s="187"/>
    </row>
    <row r="716" spans="1:6" x14ac:dyDescent="0.2">
      <c r="A716" s="275"/>
      <c r="B716" s="78"/>
      <c r="C716" s="189"/>
      <c r="D716" s="185"/>
      <c r="E716" s="186"/>
      <c r="F716" s="187"/>
    </row>
    <row r="717" spans="1:6" x14ac:dyDescent="0.2">
      <c r="A717" s="275"/>
      <c r="B717" s="78"/>
      <c r="C717" s="189"/>
      <c r="D717" s="185"/>
      <c r="E717" s="186"/>
      <c r="F717" s="187"/>
    </row>
    <row r="718" spans="1:6" x14ac:dyDescent="0.2">
      <c r="A718" s="275"/>
      <c r="B718" s="78"/>
      <c r="C718" s="189"/>
      <c r="D718" s="185"/>
      <c r="E718" s="186"/>
      <c r="F718" s="187"/>
    </row>
    <row r="719" spans="1:6" x14ac:dyDescent="0.2">
      <c r="A719" s="275"/>
      <c r="B719" s="78"/>
      <c r="C719" s="189"/>
      <c r="D719" s="185"/>
      <c r="E719" s="186"/>
      <c r="F719" s="187"/>
    </row>
    <row r="720" spans="1:6" x14ac:dyDescent="0.2">
      <c r="A720" s="275"/>
      <c r="B720" s="78"/>
      <c r="C720" s="189"/>
      <c r="D720" s="185"/>
      <c r="E720" s="186"/>
      <c r="F720" s="187"/>
    </row>
    <row r="721" spans="1:6" x14ac:dyDescent="0.2">
      <c r="A721" s="275"/>
      <c r="B721" s="78"/>
      <c r="C721" s="189"/>
      <c r="D721" s="185"/>
      <c r="E721" s="186"/>
      <c r="F721" s="187"/>
    </row>
    <row r="722" spans="1:6" x14ac:dyDescent="0.2">
      <c r="A722" s="275"/>
      <c r="B722" s="78"/>
      <c r="C722" s="189"/>
      <c r="D722" s="185"/>
      <c r="E722" s="186"/>
      <c r="F722" s="187"/>
    </row>
    <row r="723" spans="1:6" x14ac:dyDescent="0.2">
      <c r="A723" s="275"/>
      <c r="B723" s="78"/>
      <c r="C723" s="189"/>
      <c r="D723" s="185"/>
      <c r="E723" s="186"/>
      <c r="F723" s="187"/>
    </row>
    <row r="724" spans="1:6" x14ac:dyDescent="0.2">
      <c r="A724" s="275"/>
      <c r="B724" s="78"/>
      <c r="C724" s="189"/>
      <c r="D724" s="185"/>
      <c r="E724" s="186"/>
      <c r="F724" s="187"/>
    </row>
    <row r="725" spans="1:6" x14ac:dyDescent="0.2">
      <c r="A725" s="275"/>
      <c r="B725" s="78"/>
      <c r="C725" s="189"/>
      <c r="D725" s="185"/>
      <c r="E725" s="186"/>
      <c r="F725" s="187"/>
    </row>
    <row r="726" spans="1:6" x14ac:dyDescent="0.2">
      <c r="A726" s="275"/>
      <c r="B726" s="78"/>
      <c r="C726" s="189"/>
      <c r="D726" s="185"/>
      <c r="E726" s="186"/>
      <c r="F726" s="187"/>
    </row>
    <row r="727" spans="1:6" x14ac:dyDescent="0.2">
      <c r="A727" s="275"/>
      <c r="B727" s="78"/>
      <c r="C727" s="189"/>
      <c r="D727" s="185"/>
      <c r="E727" s="186"/>
      <c r="F727" s="187"/>
    </row>
    <row r="728" spans="1:6" x14ac:dyDescent="0.2">
      <c r="A728" s="275"/>
      <c r="B728" s="78"/>
      <c r="C728" s="189"/>
      <c r="D728" s="185"/>
      <c r="E728" s="186"/>
      <c r="F728" s="187"/>
    </row>
    <row r="729" spans="1:6" x14ac:dyDescent="0.2">
      <c r="A729" s="275"/>
      <c r="B729" s="78"/>
      <c r="C729" s="189"/>
      <c r="D729" s="185"/>
      <c r="E729" s="186"/>
      <c r="F729" s="187"/>
    </row>
    <row r="730" spans="1:6" x14ac:dyDescent="0.2">
      <c r="A730" s="275"/>
      <c r="B730" s="78"/>
      <c r="C730" s="189"/>
      <c r="D730" s="185"/>
      <c r="E730" s="186"/>
      <c r="F730" s="187"/>
    </row>
    <row r="731" spans="1:6" x14ac:dyDescent="0.2">
      <c r="A731" s="275"/>
      <c r="B731" s="78"/>
      <c r="C731" s="189"/>
      <c r="D731" s="185"/>
      <c r="E731" s="186"/>
      <c r="F731" s="187"/>
    </row>
    <row r="732" spans="1:6" x14ac:dyDescent="0.2">
      <c r="A732" s="275"/>
      <c r="B732" s="78"/>
      <c r="C732" s="189"/>
      <c r="D732" s="185"/>
      <c r="E732" s="186"/>
      <c r="F732" s="187"/>
    </row>
    <row r="733" spans="1:6" x14ac:dyDescent="0.2">
      <c r="A733" s="275"/>
      <c r="B733" s="78"/>
      <c r="C733" s="189"/>
      <c r="D733" s="185"/>
      <c r="E733" s="186"/>
      <c r="F733" s="187"/>
    </row>
    <row r="734" spans="1:6" x14ac:dyDescent="0.2">
      <c r="A734" s="275"/>
      <c r="B734" s="78"/>
      <c r="C734" s="189"/>
      <c r="D734" s="185"/>
      <c r="E734" s="186"/>
      <c r="F734" s="187"/>
    </row>
    <row r="735" spans="1:6" x14ac:dyDescent="0.2">
      <c r="A735" s="275"/>
      <c r="B735" s="78"/>
      <c r="C735" s="189"/>
      <c r="D735" s="185"/>
      <c r="E735" s="186"/>
      <c r="F735" s="187"/>
    </row>
    <row r="736" spans="1:6" x14ac:dyDescent="0.2">
      <c r="A736" s="275"/>
      <c r="B736" s="78"/>
      <c r="C736" s="189"/>
      <c r="D736" s="185"/>
      <c r="E736" s="186"/>
      <c r="F736" s="187"/>
    </row>
    <row r="737" spans="1:6" x14ac:dyDescent="0.2">
      <c r="A737" s="275"/>
      <c r="B737" s="78"/>
      <c r="C737" s="189"/>
      <c r="D737" s="185"/>
      <c r="E737" s="186"/>
      <c r="F737" s="187"/>
    </row>
    <row r="738" spans="1:6" x14ac:dyDescent="0.2">
      <c r="A738" s="275"/>
      <c r="B738" s="78"/>
      <c r="C738" s="189"/>
      <c r="D738" s="185"/>
      <c r="E738" s="186"/>
      <c r="F738" s="187"/>
    </row>
    <row r="739" spans="1:6" x14ac:dyDescent="0.2">
      <c r="A739" s="275"/>
      <c r="B739" s="78"/>
      <c r="C739" s="189"/>
      <c r="D739" s="185"/>
      <c r="E739" s="186"/>
      <c r="F739" s="187"/>
    </row>
    <row r="740" spans="1:6" x14ac:dyDescent="0.2">
      <c r="A740" s="275"/>
      <c r="B740" s="78"/>
      <c r="C740" s="189"/>
      <c r="D740" s="185"/>
      <c r="E740" s="186"/>
      <c r="F740" s="187"/>
    </row>
    <row r="741" spans="1:6" x14ac:dyDescent="0.2">
      <c r="A741" s="275"/>
      <c r="B741" s="78"/>
      <c r="C741" s="189"/>
      <c r="D741" s="185"/>
      <c r="E741" s="186"/>
      <c r="F741" s="187"/>
    </row>
    <row r="742" spans="1:6" x14ac:dyDescent="0.2">
      <c r="A742" s="275"/>
      <c r="B742" s="78"/>
      <c r="C742" s="189"/>
      <c r="D742" s="185"/>
      <c r="E742" s="186"/>
      <c r="F742" s="187"/>
    </row>
    <row r="743" spans="1:6" x14ac:dyDescent="0.2">
      <c r="A743" s="275"/>
      <c r="B743" s="78"/>
      <c r="C743" s="189"/>
      <c r="D743" s="185"/>
      <c r="E743" s="186"/>
      <c r="F743" s="187"/>
    </row>
    <row r="744" spans="1:6" x14ac:dyDescent="0.2">
      <c r="A744" s="275"/>
      <c r="B744" s="78"/>
      <c r="C744" s="189"/>
      <c r="D744" s="185"/>
      <c r="E744" s="186"/>
      <c r="F744" s="187"/>
    </row>
    <row r="745" spans="1:6" x14ac:dyDescent="0.2">
      <c r="A745" s="275"/>
      <c r="B745" s="78"/>
      <c r="C745" s="189"/>
      <c r="D745" s="185"/>
      <c r="E745" s="186"/>
      <c r="F745" s="187"/>
    </row>
    <row r="746" spans="1:6" x14ac:dyDescent="0.2">
      <c r="A746" s="275"/>
      <c r="B746" s="78"/>
      <c r="C746" s="189"/>
      <c r="D746" s="185"/>
      <c r="E746" s="186"/>
      <c r="F746" s="187"/>
    </row>
    <row r="747" spans="1:6" x14ac:dyDescent="0.2">
      <c r="A747" s="275"/>
      <c r="B747" s="78"/>
      <c r="C747" s="189"/>
      <c r="D747" s="185"/>
      <c r="E747" s="186"/>
      <c r="F747" s="187"/>
    </row>
    <row r="748" spans="1:6" x14ac:dyDescent="0.2">
      <c r="A748" s="275"/>
      <c r="B748" s="78"/>
      <c r="C748" s="189"/>
      <c r="D748" s="185"/>
      <c r="E748" s="186"/>
      <c r="F748" s="187"/>
    </row>
    <row r="749" spans="1:6" x14ac:dyDescent="0.2">
      <c r="A749" s="275"/>
      <c r="B749" s="78"/>
      <c r="C749" s="189"/>
      <c r="D749" s="185"/>
      <c r="E749" s="186"/>
      <c r="F749" s="187"/>
    </row>
    <row r="750" spans="1:6" x14ac:dyDescent="0.2">
      <c r="A750" s="275"/>
      <c r="B750" s="78"/>
      <c r="C750" s="189"/>
      <c r="D750" s="185"/>
      <c r="E750" s="186"/>
      <c r="F750" s="187"/>
    </row>
    <row r="751" spans="1:6" x14ac:dyDescent="0.2">
      <c r="A751" s="275"/>
      <c r="B751" s="78"/>
      <c r="C751" s="189"/>
      <c r="D751" s="185"/>
      <c r="E751" s="186"/>
      <c r="F751" s="187"/>
    </row>
    <row r="752" spans="1:6" x14ac:dyDescent="0.2">
      <c r="A752" s="275"/>
      <c r="B752" s="78"/>
      <c r="C752" s="189"/>
      <c r="D752" s="185"/>
      <c r="E752" s="186"/>
      <c r="F752" s="187"/>
    </row>
    <row r="753" spans="1:6" x14ac:dyDescent="0.2">
      <c r="A753" s="275"/>
      <c r="B753" s="78"/>
      <c r="C753" s="189"/>
      <c r="D753" s="185"/>
      <c r="E753" s="186"/>
      <c r="F753" s="187"/>
    </row>
    <row r="754" spans="1:6" x14ac:dyDescent="0.2">
      <c r="A754" s="275"/>
      <c r="B754" s="78"/>
      <c r="C754" s="189"/>
      <c r="D754" s="185"/>
      <c r="E754" s="186"/>
      <c r="F754" s="187"/>
    </row>
    <row r="755" spans="1:6" x14ac:dyDescent="0.2">
      <c r="A755" s="275"/>
      <c r="B755" s="78"/>
      <c r="C755" s="189"/>
      <c r="D755" s="185"/>
      <c r="E755" s="186"/>
      <c r="F755" s="187"/>
    </row>
    <row r="756" spans="1:6" x14ac:dyDescent="0.2">
      <c r="A756" s="275"/>
      <c r="B756" s="78"/>
      <c r="C756" s="189"/>
      <c r="D756" s="185"/>
      <c r="E756" s="186"/>
      <c r="F756" s="187"/>
    </row>
    <row r="757" spans="1:6" x14ac:dyDescent="0.2">
      <c r="A757" s="275"/>
      <c r="B757" s="78"/>
      <c r="C757" s="189"/>
      <c r="D757" s="185"/>
      <c r="E757" s="186"/>
      <c r="F757" s="187"/>
    </row>
    <row r="758" spans="1:6" x14ac:dyDescent="0.2">
      <c r="A758" s="275"/>
      <c r="B758" s="78"/>
      <c r="C758" s="189"/>
      <c r="D758" s="185"/>
      <c r="E758" s="186"/>
      <c r="F758" s="187"/>
    </row>
    <row r="759" spans="1:6" x14ac:dyDescent="0.2">
      <c r="A759" s="275"/>
      <c r="B759" s="78"/>
      <c r="C759" s="189"/>
      <c r="D759" s="185"/>
      <c r="E759" s="186"/>
      <c r="F759" s="187"/>
    </row>
    <row r="760" spans="1:6" x14ac:dyDescent="0.2">
      <c r="A760" s="275"/>
      <c r="B760" s="78"/>
      <c r="C760" s="189"/>
      <c r="D760" s="185"/>
      <c r="E760" s="186"/>
      <c r="F760" s="187"/>
    </row>
    <row r="761" spans="1:6" x14ac:dyDescent="0.2">
      <c r="A761" s="275"/>
      <c r="B761" s="78"/>
      <c r="C761" s="189"/>
      <c r="D761" s="185"/>
      <c r="E761" s="186"/>
      <c r="F761" s="187"/>
    </row>
    <row r="762" spans="1:6" x14ac:dyDescent="0.2">
      <c r="A762" s="275"/>
      <c r="B762" s="78"/>
      <c r="C762" s="189"/>
      <c r="D762" s="185"/>
      <c r="E762" s="186"/>
      <c r="F762" s="187"/>
    </row>
    <row r="763" spans="1:6" x14ac:dyDescent="0.2">
      <c r="A763" s="275"/>
      <c r="B763" s="78"/>
      <c r="C763" s="189"/>
      <c r="D763" s="185"/>
      <c r="E763" s="186"/>
      <c r="F763" s="187"/>
    </row>
    <row r="764" spans="1:6" x14ac:dyDescent="0.2">
      <c r="A764" s="275"/>
      <c r="B764" s="78"/>
      <c r="C764" s="189"/>
      <c r="D764" s="185"/>
      <c r="E764" s="186"/>
      <c r="F764" s="187"/>
    </row>
    <row r="765" spans="1:6" x14ac:dyDescent="0.2">
      <c r="A765" s="275"/>
      <c r="B765" s="78"/>
      <c r="C765" s="189"/>
      <c r="D765" s="185"/>
      <c r="E765" s="186"/>
      <c r="F765" s="187"/>
    </row>
    <row r="766" spans="1:6" x14ac:dyDescent="0.2">
      <c r="A766" s="275"/>
      <c r="B766" s="78"/>
      <c r="C766" s="189"/>
      <c r="D766" s="185"/>
      <c r="E766" s="186"/>
      <c r="F766" s="187"/>
    </row>
    <row r="767" spans="1:6" x14ac:dyDescent="0.2">
      <c r="A767" s="275"/>
      <c r="B767" s="78"/>
      <c r="C767" s="189"/>
      <c r="D767" s="185"/>
      <c r="E767" s="186"/>
      <c r="F767" s="187"/>
    </row>
    <row r="768" spans="1:6" x14ac:dyDescent="0.2">
      <c r="A768" s="275"/>
      <c r="B768" s="78"/>
      <c r="C768" s="189"/>
      <c r="D768" s="185"/>
      <c r="E768" s="186"/>
      <c r="F768" s="187"/>
    </row>
    <row r="769" spans="1:6" x14ac:dyDescent="0.2">
      <c r="A769" s="275"/>
      <c r="B769" s="78"/>
      <c r="C769" s="189"/>
      <c r="D769" s="185"/>
      <c r="E769" s="186"/>
      <c r="F769" s="187"/>
    </row>
    <row r="770" spans="1:6" x14ac:dyDescent="0.2">
      <c r="A770" s="275"/>
      <c r="B770" s="78"/>
      <c r="C770" s="189"/>
      <c r="D770" s="185"/>
      <c r="E770" s="186"/>
      <c r="F770" s="187"/>
    </row>
    <row r="771" spans="1:6" x14ac:dyDescent="0.2">
      <c r="A771" s="275"/>
      <c r="B771" s="78"/>
      <c r="C771" s="189"/>
      <c r="D771" s="185"/>
      <c r="E771" s="186"/>
      <c r="F771" s="187"/>
    </row>
    <row r="772" spans="1:6" x14ac:dyDescent="0.2">
      <c r="A772" s="275"/>
      <c r="B772" s="78"/>
      <c r="C772" s="189"/>
      <c r="D772" s="185"/>
      <c r="E772" s="186"/>
      <c r="F772" s="187"/>
    </row>
    <row r="773" spans="1:6" x14ac:dyDescent="0.2">
      <c r="A773" s="275"/>
      <c r="B773" s="78"/>
      <c r="C773" s="189"/>
      <c r="D773" s="185"/>
      <c r="E773" s="186"/>
      <c r="F773" s="187"/>
    </row>
    <row r="774" spans="1:6" x14ac:dyDescent="0.2">
      <c r="A774" s="275"/>
      <c r="B774" s="78"/>
      <c r="C774" s="189"/>
      <c r="D774" s="185"/>
      <c r="E774" s="186"/>
      <c r="F774" s="187"/>
    </row>
    <row r="775" spans="1:6" x14ac:dyDescent="0.2">
      <c r="A775" s="275"/>
      <c r="B775" s="78"/>
      <c r="C775" s="189"/>
      <c r="D775" s="185"/>
      <c r="E775" s="186"/>
      <c r="F775" s="187"/>
    </row>
    <row r="776" spans="1:6" x14ac:dyDescent="0.2">
      <c r="A776" s="275"/>
      <c r="B776" s="78"/>
      <c r="C776" s="189"/>
      <c r="D776" s="185"/>
      <c r="E776" s="186"/>
      <c r="F776" s="187"/>
    </row>
    <row r="777" spans="1:6" x14ac:dyDescent="0.2">
      <c r="A777" s="275"/>
      <c r="B777" s="78"/>
      <c r="C777" s="189"/>
      <c r="D777" s="185"/>
      <c r="E777" s="186"/>
      <c r="F777" s="187"/>
    </row>
    <row r="778" spans="1:6" x14ac:dyDescent="0.2">
      <c r="A778" s="275"/>
      <c r="B778" s="78"/>
      <c r="C778" s="189"/>
      <c r="D778" s="185"/>
      <c r="E778" s="186"/>
      <c r="F778" s="187"/>
    </row>
    <row r="779" spans="1:6" x14ac:dyDescent="0.2">
      <c r="A779" s="275"/>
      <c r="B779" s="78"/>
      <c r="C779" s="189"/>
      <c r="D779" s="185"/>
      <c r="E779" s="186"/>
      <c r="F779" s="187"/>
    </row>
    <row r="780" spans="1:6" x14ac:dyDescent="0.2">
      <c r="A780" s="275"/>
      <c r="B780" s="78"/>
      <c r="C780" s="189"/>
      <c r="D780" s="185"/>
      <c r="E780" s="186"/>
      <c r="F780" s="187"/>
    </row>
    <row r="781" spans="1:6" x14ac:dyDescent="0.2">
      <c r="A781" s="275"/>
      <c r="B781" s="78"/>
      <c r="C781" s="189"/>
      <c r="D781" s="185"/>
      <c r="E781" s="186"/>
      <c r="F781" s="187"/>
    </row>
    <row r="782" spans="1:6" x14ac:dyDescent="0.2">
      <c r="A782" s="275"/>
      <c r="B782" s="78"/>
      <c r="C782" s="189"/>
      <c r="D782" s="185"/>
      <c r="E782" s="186"/>
      <c r="F782" s="187"/>
    </row>
    <row r="783" spans="1:6" x14ac:dyDescent="0.2">
      <c r="A783" s="275"/>
      <c r="B783" s="78"/>
      <c r="C783" s="189"/>
      <c r="D783" s="185"/>
      <c r="E783" s="186"/>
      <c r="F783" s="187"/>
    </row>
    <row r="784" spans="1:6" x14ac:dyDescent="0.2">
      <c r="A784" s="275"/>
      <c r="B784" s="78"/>
      <c r="C784" s="189"/>
      <c r="D784" s="185"/>
      <c r="E784" s="186"/>
      <c r="F784" s="187"/>
    </row>
    <row r="785" spans="1:6" x14ac:dyDescent="0.2">
      <c r="A785" s="275"/>
      <c r="B785" s="78"/>
      <c r="C785" s="189"/>
      <c r="D785" s="185"/>
      <c r="E785" s="186"/>
      <c r="F785" s="187"/>
    </row>
    <row r="786" spans="1:6" x14ac:dyDescent="0.2">
      <c r="A786" s="275"/>
      <c r="B786" s="78"/>
      <c r="C786" s="189"/>
      <c r="D786" s="185"/>
      <c r="E786" s="186"/>
      <c r="F786" s="187"/>
    </row>
    <row r="787" spans="1:6" x14ac:dyDescent="0.2">
      <c r="A787" s="275"/>
      <c r="B787" s="78"/>
      <c r="C787" s="189"/>
      <c r="D787" s="185"/>
      <c r="E787" s="186"/>
      <c r="F787" s="187"/>
    </row>
    <row r="788" spans="1:6" x14ac:dyDescent="0.2">
      <c r="A788" s="275"/>
      <c r="B788" s="78"/>
      <c r="C788" s="189"/>
      <c r="D788" s="185"/>
      <c r="E788" s="186"/>
      <c r="F788" s="187"/>
    </row>
    <row r="789" spans="1:6" x14ac:dyDescent="0.2">
      <c r="A789" s="275"/>
      <c r="B789" s="78"/>
      <c r="C789" s="189"/>
      <c r="D789" s="185"/>
      <c r="E789" s="186"/>
      <c r="F789" s="187"/>
    </row>
    <row r="790" spans="1:6" x14ac:dyDescent="0.2">
      <c r="A790" s="275"/>
      <c r="B790" s="78"/>
      <c r="C790" s="189"/>
      <c r="D790" s="185"/>
      <c r="E790" s="186"/>
      <c r="F790" s="187"/>
    </row>
    <row r="791" spans="1:6" x14ac:dyDescent="0.2">
      <c r="A791" s="275"/>
      <c r="B791" s="78"/>
      <c r="C791" s="189"/>
      <c r="D791" s="185"/>
      <c r="E791" s="186"/>
      <c r="F791" s="187"/>
    </row>
    <row r="792" spans="1:6" x14ac:dyDescent="0.2">
      <c r="A792" s="275"/>
      <c r="B792" s="78"/>
      <c r="C792" s="189"/>
      <c r="D792" s="185"/>
      <c r="E792" s="186"/>
      <c r="F792" s="187"/>
    </row>
    <row r="793" spans="1:6" x14ac:dyDescent="0.2">
      <c r="A793" s="275"/>
      <c r="B793" s="78"/>
      <c r="C793" s="189"/>
      <c r="D793" s="185"/>
      <c r="E793" s="186"/>
      <c r="F793" s="187"/>
    </row>
    <row r="794" spans="1:6" x14ac:dyDescent="0.2">
      <c r="A794" s="275"/>
      <c r="B794" s="78"/>
      <c r="C794" s="189"/>
      <c r="D794" s="185"/>
      <c r="E794" s="186"/>
      <c r="F794" s="187"/>
    </row>
    <row r="795" spans="1:6" x14ac:dyDescent="0.2">
      <c r="A795" s="275"/>
      <c r="B795" s="78"/>
      <c r="C795" s="189"/>
      <c r="D795" s="185"/>
      <c r="E795" s="186"/>
      <c r="F795" s="187"/>
    </row>
    <row r="796" spans="1:6" x14ac:dyDescent="0.2">
      <c r="A796" s="275"/>
      <c r="B796" s="78"/>
      <c r="C796" s="189"/>
      <c r="D796" s="185"/>
      <c r="E796" s="186"/>
      <c r="F796" s="187"/>
    </row>
    <row r="797" spans="1:6" x14ac:dyDescent="0.2">
      <c r="A797" s="275"/>
      <c r="B797" s="78"/>
      <c r="C797" s="189"/>
      <c r="D797" s="185"/>
      <c r="E797" s="186"/>
      <c r="F797" s="187"/>
    </row>
    <row r="798" spans="1:6" x14ac:dyDescent="0.2">
      <c r="A798" s="275"/>
      <c r="B798" s="78"/>
      <c r="C798" s="189"/>
      <c r="D798" s="185"/>
      <c r="E798" s="186"/>
      <c r="F798" s="187"/>
    </row>
    <row r="799" spans="1:6" x14ac:dyDescent="0.2">
      <c r="A799" s="275"/>
      <c r="B799" s="78"/>
      <c r="C799" s="189"/>
      <c r="D799" s="185"/>
      <c r="E799" s="186"/>
      <c r="F799" s="187"/>
    </row>
    <row r="800" spans="1:6" x14ac:dyDescent="0.2">
      <c r="A800" s="275"/>
      <c r="B800" s="78"/>
      <c r="C800" s="189"/>
      <c r="D800" s="185"/>
      <c r="E800" s="186"/>
      <c r="F800" s="187"/>
    </row>
    <row r="801" spans="1:6" x14ac:dyDescent="0.2">
      <c r="A801" s="275"/>
      <c r="B801" s="78"/>
      <c r="C801" s="189"/>
      <c r="D801" s="185"/>
      <c r="E801" s="186"/>
      <c r="F801" s="187"/>
    </row>
    <row r="802" spans="1:6" x14ac:dyDescent="0.2">
      <c r="A802" s="275"/>
      <c r="B802" s="78"/>
      <c r="C802" s="189"/>
      <c r="D802" s="185"/>
      <c r="E802" s="186"/>
      <c r="F802" s="187"/>
    </row>
    <row r="803" spans="1:6" x14ac:dyDescent="0.2">
      <c r="A803" s="275"/>
      <c r="B803" s="78"/>
      <c r="C803" s="189"/>
      <c r="D803" s="185"/>
      <c r="E803" s="186"/>
      <c r="F803" s="187"/>
    </row>
    <row r="804" spans="1:6" x14ac:dyDescent="0.2">
      <c r="A804" s="275"/>
      <c r="B804" s="78"/>
      <c r="C804" s="189"/>
      <c r="D804" s="185"/>
      <c r="E804" s="186"/>
      <c r="F804" s="187"/>
    </row>
    <row r="805" spans="1:6" x14ac:dyDescent="0.2">
      <c r="A805" s="275"/>
      <c r="B805" s="78"/>
      <c r="C805" s="189"/>
      <c r="D805" s="185"/>
      <c r="E805" s="186"/>
      <c r="F805" s="187"/>
    </row>
    <row r="806" spans="1:6" x14ac:dyDescent="0.2">
      <c r="A806" s="275"/>
      <c r="B806" s="78"/>
      <c r="C806" s="189"/>
      <c r="D806" s="185"/>
      <c r="E806" s="186"/>
      <c r="F806" s="187"/>
    </row>
    <row r="807" spans="1:6" x14ac:dyDescent="0.2">
      <c r="A807" s="275"/>
      <c r="B807" s="78"/>
      <c r="C807" s="189"/>
      <c r="D807" s="185"/>
      <c r="E807" s="186"/>
      <c r="F807" s="187"/>
    </row>
    <row r="808" spans="1:6" x14ac:dyDescent="0.2">
      <c r="A808" s="275"/>
      <c r="B808" s="78"/>
      <c r="C808" s="189"/>
      <c r="D808" s="185"/>
      <c r="E808" s="186"/>
      <c r="F808" s="187"/>
    </row>
    <row r="809" spans="1:6" x14ac:dyDescent="0.2">
      <c r="A809" s="275"/>
      <c r="B809" s="78"/>
      <c r="C809" s="189"/>
      <c r="D809" s="185"/>
      <c r="E809" s="186"/>
      <c r="F809" s="187"/>
    </row>
    <row r="810" spans="1:6" x14ac:dyDescent="0.2">
      <c r="A810" s="275"/>
      <c r="B810" s="78"/>
      <c r="C810" s="189"/>
      <c r="D810" s="185"/>
      <c r="E810" s="186"/>
      <c r="F810" s="187"/>
    </row>
    <row r="811" spans="1:6" x14ac:dyDescent="0.2">
      <c r="A811" s="275"/>
      <c r="B811" s="78"/>
      <c r="C811" s="189"/>
      <c r="D811" s="185"/>
      <c r="E811" s="186"/>
      <c r="F811" s="187"/>
    </row>
    <row r="812" spans="1:6" x14ac:dyDescent="0.2">
      <c r="A812" s="275"/>
      <c r="B812" s="78"/>
      <c r="C812" s="189"/>
      <c r="D812" s="185"/>
      <c r="E812" s="186"/>
      <c r="F812" s="187"/>
    </row>
    <row r="813" spans="1:6" x14ac:dyDescent="0.2">
      <c r="A813" s="275"/>
      <c r="B813" s="78"/>
      <c r="C813" s="189"/>
      <c r="D813" s="185"/>
      <c r="E813" s="186"/>
      <c r="F813" s="187"/>
    </row>
    <row r="814" spans="1:6" x14ac:dyDescent="0.2">
      <c r="A814" s="275"/>
      <c r="B814" s="78"/>
      <c r="C814" s="189"/>
      <c r="D814" s="185"/>
      <c r="E814" s="186"/>
      <c r="F814" s="187"/>
    </row>
    <row r="815" spans="1:6" x14ac:dyDescent="0.2">
      <c r="A815" s="275"/>
      <c r="B815" s="78"/>
      <c r="C815" s="189"/>
      <c r="D815" s="185"/>
      <c r="E815" s="186"/>
      <c r="F815" s="187"/>
    </row>
    <row r="816" spans="1:6" x14ac:dyDescent="0.2">
      <c r="A816" s="275"/>
      <c r="B816" s="78"/>
      <c r="C816" s="189"/>
      <c r="D816" s="185"/>
      <c r="E816" s="186"/>
      <c r="F816" s="187"/>
    </row>
    <row r="817" spans="1:6" x14ac:dyDescent="0.2">
      <c r="A817" s="275"/>
      <c r="B817" s="78"/>
      <c r="C817" s="189"/>
      <c r="D817" s="185"/>
      <c r="E817" s="186"/>
      <c r="F817" s="187"/>
    </row>
    <row r="818" spans="1:6" x14ac:dyDescent="0.2">
      <c r="A818" s="275"/>
      <c r="B818" s="78"/>
      <c r="C818" s="189"/>
      <c r="D818" s="185"/>
      <c r="E818" s="186"/>
      <c r="F818" s="187"/>
    </row>
    <row r="819" spans="1:6" x14ac:dyDescent="0.2">
      <c r="A819" s="275"/>
      <c r="B819" s="78"/>
      <c r="C819" s="189"/>
      <c r="D819" s="185"/>
      <c r="E819" s="186"/>
      <c r="F819" s="187"/>
    </row>
    <row r="820" spans="1:6" x14ac:dyDescent="0.2">
      <c r="A820" s="275"/>
      <c r="B820" s="78"/>
      <c r="C820" s="189"/>
      <c r="D820" s="185"/>
      <c r="E820" s="186"/>
      <c r="F820" s="187"/>
    </row>
    <row r="821" spans="1:6" x14ac:dyDescent="0.2">
      <c r="A821" s="275"/>
      <c r="B821" s="78"/>
      <c r="C821" s="189"/>
      <c r="D821" s="185"/>
      <c r="E821" s="186"/>
      <c r="F821" s="187"/>
    </row>
    <row r="822" spans="1:6" x14ac:dyDescent="0.2">
      <c r="A822" s="275"/>
      <c r="B822" s="78"/>
      <c r="C822" s="189"/>
      <c r="D822" s="185"/>
      <c r="E822" s="186"/>
      <c r="F822" s="187"/>
    </row>
    <row r="823" spans="1:6" x14ac:dyDescent="0.2">
      <c r="A823" s="275"/>
      <c r="B823" s="78"/>
      <c r="C823" s="189"/>
      <c r="D823" s="185"/>
      <c r="E823" s="186"/>
      <c r="F823" s="187"/>
    </row>
    <row r="824" spans="1:6" x14ac:dyDescent="0.2">
      <c r="A824" s="275"/>
      <c r="B824" s="78"/>
      <c r="C824" s="189"/>
      <c r="D824" s="185"/>
      <c r="E824" s="186"/>
      <c r="F824" s="187"/>
    </row>
    <row r="825" spans="1:6" x14ac:dyDescent="0.2">
      <c r="A825" s="275"/>
      <c r="B825" s="78"/>
      <c r="C825" s="189"/>
      <c r="D825" s="185"/>
      <c r="E825" s="186"/>
      <c r="F825" s="187"/>
    </row>
    <row r="826" spans="1:6" x14ac:dyDescent="0.2">
      <c r="A826" s="275"/>
      <c r="B826" s="78"/>
      <c r="C826" s="189"/>
      <c r="D826" s="185"/>
      <c r="E826" s="186"/>
      <c r="F826" s="187"/>
    </row>
    <row r="827" spans="1:6" x14ac:dyDescent="0.2">
      <c r="A827" s="275"/>
      <c r="B827" s="78"/>
      <c r="C827" s="189"/>
      <c r="D827" s="185"/>
      <c r="E827" s="186"/>
      <c r="F827" s="187"/>
    </row>
    <row r="828" spans="1:6" x14ac:dyDescent="0.2">
      <c r="A828" s="275"/>
      <c r="B828" s="78"/>
      <c r="C828" s="189"/>
      <c r="D828" s="185"/>
      <c r="E828" s="186"/>
      <c r="F828" s="187"/>
    </row>
    <row r="829" spans="1:6" x14ac:dyDescent="0.2">
      <c r="A829" s="275"/>
      <c r="B829" s="78"/>
      <c r="C829" s="189"/>
      <c r="D829" s="185"/>
      <c r="E829" s="186"/>
      <c r="F829" s="187"/>
    </row>
    <row r="830" spans="1:6" x14ac:dyDescent="0.2">
      <c r="A830" s="275"/>
      <c r="B830" s="78"/>
      <c r="C830" s="189"/>
      <c r="D830" s="185"/>
      <c r="E830" s="186"/>
      <c r="F830" s="187"/>
    </row>
    <row r="831" spans="1:6" x14ac:dyDescent="0.2">
      <c r="A831" s="275"/>
      <c r="B831" s="78"/>
      <c r="C831" s="189"/>
      <c r="D831" s="185"/>
      <c r="E831" s="186"/>
      <c r="F831" s="187"/>
    </row>
    <row r="832" spans="1:6" x14ac:dyDescent="0.2">
      <c r="A832" s="275"/>
      <c r="B832" s="78"/>
      <c r="C832" s="189"/>
      <c r="D832" s="185"/>
      <c r="E832" s="186"/>
      <c r="F832" s="187"/>
    </row>
    <row r="833" spans="1:6" x14ac:dyDescent="0.2">
      <c r="A833" s="275"/>
      <c r="B833" s="78"/>
      <c r="C833" s="189"/>
      <c r="D833" s="185"/>
      <c r="E833" s="186"/>
      <c r="F833" s="187"/>
    </row>
    <row r="834" spans="1:6" x14ac:dyDescent="0.2">
      <c r="A834" s="275"/>
      <c r="B834" s="78"/>
      <c r="C834" s="189"/>
      <c r="D834" s="185"/>
      <c r="E834" s="186"/>
      <c r="F834" s="187"/>
    </row>
    <row r="835" spans="1:6" x14ac:dyDescent="0.2">
      <c r="A835" s="275"/>
      <c r="B835" s="78"/>
      <c r="C835" s="189"/>
      <c r="D835" s="185"/>
      <c r="E835" s="186"/>
      <c r="F835" s="187"/>
    </row>
    <row r="836" spans="1:6" x14ac:dyDescent="0.2">
      <c r="A836" s="275"/>
      <c r="B836" s="78"/>
      <c r="C836" s="189"/>
      <c r="D836" s="185"/>
      <c r="E836" s="186"/>
      <c r="F836" s="187"/>
    </row>
    <row r="837" spans="1:6" x14ac:dyDescent="0.2">
      <c r="A837" s="275"/>
      <c r="B837" s="78"/>
      <c r="C837" s="189"/>
      <c r="D837" s="185"/>
      <c r="E837" s="186"/>
      <c r="F837" s="187"/>
    </row>
    <row r="838" spans="1:6" x14ac:dyDescent="0.2">
      <c r="A838" s="275"/>
      <c r="B838" s="78"/>
      <c r="C838" s="189"/>
      <c r="D838" s="185"/>
      <c r="E838" s="186"/>
      <c r="F838" s="187"/>
    </row>
    <row r="839" spans="1:6" x14ac:dyDescent="0.2">
      <c r="A839" s="275"/>
      <c r="B839" s="78"/>
      <c r="C839" s="189"/>
      <c r="D839" s="185"/>
      <c r="E839" s="186"/>
      <c r="F839" s="187"/>
    </row>
    <row r="840" spans="1:6" x14ac:dyDescent="0.2">
      <c r="A840" s="275"/>
      <c r="B840" s="78"/>
      <c r="C840" s="189"/>
      <c r="D840" s="185"/>
      <c r="E840" s="186"/>
      <c r="F840" s="187"/>
    </row>
    <row r="841" spans="1:6" x14ac:dyDescent="0.2">
      <c r="A841" s="275"/>
      <c r="B841" s="78"/>
      <c r="C841" s="189"/>
      <c r="D841" s="185"/>
      <c r="E841" s="186"/>
      <c r="F841" s="187"/>
    </row>
    <row r="842" spans="1:6" x14ac:dyDescent="0.2">
      <c r="A842" s="275"/>
      <c r="B842" s="78"/>
      <c r="C842" s="189"/>
      <c r="D842" s="185"/>
      <c r="E842" s="186"/>
      <c r="F842" s="187"/>
    </row>
    <row r="843" spans="1:6" x14ac:dyDescent="0.2">
      <c r="A843" s="275"/>
      <c r="B843" s="78"/>
      <c r="C843" s="189"/>
      <c r="D843" s="185"/>
      <c r="E843" s="186"/>
      <c r="F843" s="187"/>
    </row>
    <row r="844" spans="1:6" x14ac:dyDescent="0.2">
      <c r="A844" s="275"/>
      <c r="B844" s="78"/>
      <c r="C844" s="189"/>
      <c r="D844" s="185"/>
      <c r="E844" s="186"/>
      <c r="F844" s="187"/>
    </row>
    <row r="845" spans="1:6" x14ac:dyDescent="0.2">
      <c r="A845" s="275"/>
      <c r="B845" s="78"/>
      <c r="C845" s="189"/>
      <c r="D845" s="185"/>
      <c r="E845" s="186"/>
      <c r="F845" s="187"/>
    </row>
    <row r="846" spans="1:6" x14ac:dyDescent="0.2">
      <c r="A846" s="275"/>
      <c r="B846" s="78"/>
      <c r="C846" s="189"/>
      <c r="D846" s="185"/>
      <c r="E846" s="186"/>
      <c r="F846" s="187"/>
    </row>
    <row r="847" spans="1:6" x14ac:dyDescent="0.2">
      <c r="A847" s="275"/>
      <c r="B847" s="78"/>
      <c r="C847" s="189"/>
      <c r="D847" s="185"/>
      <c r="E847" s="186"/>
      <c r="F847" s="187"/>
    </row>
    <row r="848" spans="1:6" x14ac:dyDescent="0.2">
      <c r="A848" s="275"/>
      <c r="B848" s="78"/>
      <c r="C848" s="189"/>
      <c r="D848" s="185"/>
      <c r="E848" s="186"/>
      <c r="F848" s="187"/>
    </row>
    <row r="849" spans="1:6" x14ac:dyDescent="0.2">
      <c r="A849" s="275"/>
      <c r="B849" s="78"/>
      <c r="C849" s="189"/>
      <c r="D849" s="185"/>
      <c r="E849" s="186"/>
      <c r="F849" s="187"/>
    </row>
    <row r="850" spans="1:6" x14ac:dyDescent="0.2">
      <c r="A850" s="275"/>
      <c r="B850" s="78"/>
      <c r="C850" s="189"/>
      <c r="D850" s="185"/>
      <c r="E850" s="186"/>
      <c r="F850" s="187"/>
    </row>
    <row r="851" spans="1:6" x14ac:dyDescent="0.2">
      <c r="A851" s="275"/>
      <c r="B851" s="78"/>
      <c r="C851" s="189"/>
      <c r="D851" s="185"/>
      <c r="E851" s="186"/>
      <c r="F851" s="187"/>
    </row>
    <row r="852" spans="1:6" x14ac:dyDescent="0.2">
      <c r="A852" s="275"/>
      <c r="B852" s="78"/>
      <c r="C852" s="189"/>
      <c r="D852" s="185"/>
      <c r="E852" s="186"/>
      <c r="F852" s="187"/>
    </row>
    <row r="853" spans="1:6" x14ac:dyDescent="0.2">
      <c r="A853" s="275"/>
      <c r="B853" s="78"/>
      <c r="C853" s="189"/>
      <c r="D853" s="185"/>
      <c r="E853" s="186"/>
      <c r="F853" s="187"/>
    </row>
    <row r="854" spans="1:6" x14ac:dyDescent="0.2">
      <c r="A854" s="275"/>
      <c r="B854" s="78"/>
      <c r="C854" s="189"/>
      <c r="D854" s="185"/>
      <c r="E854" s="186"/>
      <c r="F854" s="187"/>
    </row>
    <row r="855" spans="1:6" x14ac:dyDescent="0.2">
      <c r="A855" s="275"/>
      <c r="B855" s="78"/>
      <c r="C855" s="189"/>
      <c r="D855" s="185"/>
      <c r="E855" s="186"/>
      <c r="F855" s="187"/>
    </row>
    <row r="856" spans="1:6" x14ac:dyDescent="0.2">
      <c r="A856" s="275"/>
      <c r="B856" s="78"/>
      <c r="C856" s="189"/>
      <c r="D856" s="185"/>
      <c r="E856" s="186"/>
      <c r="F856" s="187"/>
    </row>
    <row r="857" spans="1:6" x14ac:dyDescent="0.2">
      <c r="A857" s="275"/>
      <c r="B857" s="78"/>
      <c r="C857" s="189"/>
      <c r="D857" s="185"/>
      <c r="E857" s="186"/>
      <c r="F857" s="187"/>
    </row>
    <row r="858" spans="1:6" x14ac:dyDescent="0.2">
      <c r="A858" s="275"/>
      <c r="B858" s="78"/>
      <c r="C858" s="189"/>
      <c r="D858" s="185"/>
      <c r="E858" s="186"/>
      <c r="F858" s="187"/>
    </row>
    <row r="859" spans="1:6" x14ac:dyDescent="0.2">
      <c r="A859" s="275"/>
      <c r="B859" s="78"/>
      <c r="C859" s="189"/>
      <c r="D859" s="185"/>
      <c r="E859" s="186"/>
      <c r="F859" s="187"/>
    </row>
    <row r="860" spans="1:6" x14ac:dyDescent="0.2">
      <c r="A860" s="275"/>
      <c r="B860" s="78"/>
      <c r="C860" s="189"/>
      <c r="D860" s="185"/>
      <c r="E860" s="186"/>
      <c r="F860" s="187"/>
    </row>
    <row r="861" spans="1:6" x14ac:dyDescent="0.2">
      <c r="A861" s="275"/>
      <c r="B861" s="78"/>
      <c r="C861" s="189"/>
      <c r="D861" s="185"/>
      <c r="E861" s="186"/>
      <c r="F861" s="187"/>
    </row>
    <row r="862" spans="1:6" x14ac:dyDescent="0.2">
      <c r="A862" s="275"/>
      <c r="B862" s="78"/>
      <c r="C862" s="189"/>
      <c r="D862" s="185"/>
      <c r="E862" s="186"/>
      <c r="F862" s="187"/>
    </row>
    <row r="863" spans="1:6" x14ac:dyDescent="0.2">
      <c r="A863" s="275"/>
      <c r="B863" s="78"/>
      <c r="C863" s="189"/>
      <c r="D863" s="185"/>
      <c r="E863" s="186"/>
      <c r="F863" s="187"/>
    </row>
    <row r="864" spans="1:6" x14ac:dyDescent="0.2">
      <c r="A864" s="275"/>
      <c r="B864" s="78"/>
      <c r="C864" s="189"/>
      <c r="D864" s="185"/>
      <c r="E864" s="186"/>
      <c r="F864" s="187"/>
    </row>
    <row r="865" spans="1:6" x14ac:dyDescent="0.2">
      <c r="A865" s="275"/>
      <c r="B865" s="78"/>
      <c r="C865" s="189"/>
      <c r="D865" s="185"/>
      <c r="E865" s="186"/>
      <c r="F865" s="187"/>
    </row>
    <row r="866" spans="1:6" x14ac:dyDescent="0.2">
      <c r="A866" s="275"/>
      <c r="B866" s="78"/>
      <c r="C866" s="189"/>
      <c r="D866" s="185"/>
      <c r="E866" s="186"/>
      <c r="F866" s="187"/>
    </row>
    <row r="867" spans="1:6" x14ac:dyDescent="0.2">
      <c r="A867" s="275"/>
      <c r="B867" s="78"/>
      <c r="C867" s="189"/>
      <c r="D867" s="185"/>
      <c r="E867" s="186"/>
      <c r="F867" s="187"/>
    </row>
    <row r="868" spans="1:6" x14ac:dyDescent="0.2">
      <c r="A868" s="275"/>
      <c r="B868" s="78"/>
      <c r="C868" s="189"/>
      <c r="D868" s="185"/>
      <c r="E868" s="186"/>
      <c r="F868" s="187"/>
    </row>
    <row r="869" spans="1:6" x14ac:dyDescent="0.2">
      <c r="A869" s="275"/>
      <c r="B869" s="78"/>
      <c r="C869" s="189"/>
      <c r="D869" s="185"/>
      <c r="E869" s="186"/>
      <c r="F869" s="187"/>
    </row>
    <row r="870" spans="1:6" x14ac:dyDescent="0.2">
      <c r="A870" s="275"/>
      <c r="B870" s="78"/>
      <c r="C870" s="189"/>
      <c r="D870" s="185"/>
      <c r="E870" s="186"/>
      <c r="F870" s="187"/>
    </row>
    <row r="871" spans="1:6" x14ac:dyDescent="0.2">
      <c r="A871" s="275"/>
      <c r="B871" s="78"/>
      <c r="C871" s="189"/>
      <c r="D871" s="185"/>
      <c r="E871" s="186"/>
      <c r="F871" s="187"/>
    </row>
    <row r="872" spans="1:6" x14ac:dyDescent="0.2">
      <c r="A872" s="275"/>
      <c r="B872" s="78"/>
      <c r="C872" s="189"/>
      <c r="D872" s="185"/>
      <c r="E872" s="186"/>
      <c r="F872" s="187"/>
    </row>
    <row r="873" spans="1:6" x14ac:dyDescent="0.2">
      <c r="A873" s="275"/>
      <c r="B873" s="78"/>
      <c r="C873" s="189"/>
      <c r="D873" s="185"/>
      <c r="E873" s="186"/>
      <c r="F873" s="187"/>
    </row>
    <row r="874" spans="1:6" x14ac:dyDescent="0.2">
      <c r="A874" s="275"/>
      <c r="B874" s="78"/>
      <c r="C874" s="189"/>
      <c r="D874" s="185"/>
      <c r="E874" s="186"/>
      <c r="F874" s="187"/>
    </row>
    <row r="875" spans="1:6" x14ac:dyDescent="0.2">
      <c r="A875" s="275"/>
      <c r="B875" s="78"/>
      <c r="C875" s="189"/>
      <c r="D875" s="185"/>
      <c r="E875" s="186"/>
      <c r="F875" s="187"/>
    </row>
    <row r="876" spans="1:6" x14ac:dyDescent="0.2">
      <c r="A876" s="275"/>
      <c r="B876" s="78"/>
      <c r="C876" s="189"/>
      <c r="D876" s="185"/>
      <c r="E876" s="186"/>
      <c r="F876" s="187"/>
    </row>
    <row r="877" spans="1:6" x14ac:dyDescent="0.2">
      <c r="A877" s="275"/>
      <c r="B877" s="78"/>
      <c r="C877" s="189"/>
      <c r="D877" s="185"/>
      <c r="E877" s="186"/>
      <c r="F877" s="187"/>
    </row>
    <row r="878" spans="1:6" x14ac:dyDescent="0.2">
      <c r="A878" s="275"/>
      <c r="B878" s="78"/>
      <c r="C878" s="189"/>
      <c r="D878" s="185"/>
      <c r="E878" s="186"/>
      <c r="F878" s="187"/>
    </row>
    <row r="879" spans="1:6" x14ac:dyDescent="0.2">
      <c r="A879" s="275"/>
      <c r="B879" s="78"/>
      <c r="C879" s="189"/>
      <c r="D879" s="185"/>
      <c r="E879" s="186"/>
      <c r="F879" s="187"/>
    </row>
    <row r="880" spans="1:6" x14ac:dyDescent="0.2">
      <c r="A880" s="275"/>
      <c r="B880" s="78"/>
      <c r="C880" s="189"/>
      <c r="D880" s="185"/>
      <c r="E880" s="186"/>
      <c r="F880" s="187"/>
    </row>
    <row r="881" spans="1:6" x14ac:dyDescent="0.2">
      <c r="A881" s="275"/>
      <c r="B881" s="78"/>
      <c r="C881" s="189"/>
      <c r="D881" s="185"/>
      <c r="E881" s="186"/>
      <c r="F881" s="187"/>
    </row>
    <row r="882" spans="1:6" x14ac:dyDescent="0.2">
      <c r="A882" s="275"/>
      <c r="B882" s="78"/>
      <c r="C882" s="189"/>
      <c r="D882" s="185"/>
      <c r="E882" s="186"/>
      <c r="F882" s="187"/>
    </row>
    <row r="883" spans="1:6" x14ac:dyDescent="0.2">
      <c r="A883" s="275"/>
      <c r="B883" s="78"/>
      <c r="C883" s="189"/>
      <c r="D883" s="185"/>
      <c r="E883" s="186"/>
      <c r="F883" s="187"/>
    </row>
    <row r="884" spans="1:6" x14ac:dyDescent="0.2">
      <c r="A884" s="275"/>
      <c r="B884" s="78"/>
      <c r="C884" s="189"/>
      <c r="D884" s="185"/>
      <c r="E884" s="186"/>
      <c r="F884" s="187"/>
    </row>
    <row r="885" spans="1:6" x14ac:dyDescent="0.2">
      <c r="A885" s="275"/>
      <c r="B885" s="78"/>
      <c r="C885" s="189"/>
      <c r="D885" s="185"/>
      <c r="E885" s="186"/>
      <c r="F885" s="187"/>
    </row>
    <row r="886" spans="1:6" x14ac:dyDescent="0.2">
      <c r="A886" s="275"/>
      <c r="B886" s="78"/>
      <c r="C886" s="189"/>
      <c r="D886" s="185"/>
      <c r="E886" s="186"/>
      <c r="F886" s="187"/>
    </row>
    <row r="887" spans="1:6" x14ac:dyDescent="0.2">
      <c r="A887" s="275"/>
      <c r="B887" s="78"/>
      <c r="C887" s="189"/>
      <c r="D887" s="185"/>
      <c r="E887" s="186"/>
      <c r="F887" s="187"/>
    </row>
    <row r="888" spans="1:6" x14ac:dyDescent="0.2">
      <c r="A888" s="275"/>
      <c r="B888" s="78"/>
      <c r="C888" s="189"/>
      <c r="D888" s="185"/>
      <c r="E888" s="186"/>
      <c r="F888" s="187"/>
    </row>
    <row r="889" spans="1:6" x14ac:dyDescent="0.2">
      <c r="A889" s="275"/>
      <c r="B889" s="78"/>
      <c r="C889" s="189"/>
      <c r="D889" s="185"/>
      <c r="E889" s="186"/>
      <c r="F889" s="187"/>
    </row>
    <row r="890" spans="1:6" x14ac:dyDescent="0.2">
      <c r="A890" s="275"/>
      <c r="B890" s="78"/>
      <c r="C890" s="189"/>
      <c r="D890" s="185"/>
      <c r="E890" s="186"/>
      <c r="F890" s="187"/>
    </row>
    <row r="891" spans="1:6" x14ac:dyDescent="0.2">
      <c r="A891" s="275"/>
      <c r="B891" s="78"/>
      <c r="C891" s="189"/>
      <c r="D891" s="185"/>
      <c r="E891" s="186"/>
      <c r="F891" s="187"/>
    </row>
    <row r="892" spans="1:6" x14ac:dyDescent="0.2">
      <c r="A892" s="275"/>
      <c r="B892" s="78"/>
      <c r="C892" s="189"/>
      <c r="D892" s="185"/>
      <c r="E892" s="186"/>
      <c r="F892" s="187"/>
    </row>
    <row r="893" spans="1:6" x14ac:dyDescent="0.2">
      <c r="A893" s="275"/>
      <c r="B893" s="78"/>
      <c r="C893" s="189"/>
      <c r="D893" s="185"/>
      <c r="E893" s="186"/>
      <c r="F893" s="187"/>
    </row>
    <row r="894" spans="1:6" x14ac:dyDescent="0.2">
      <c r="A894" s="275"/>
      <c r="B894" s="78"/>
      <c r="C894" s="189"/>
      <c r="D894" s="185"/>
      <c r="E894" s="186"/>
      <c r="F894" s="187"/>
    </row>
    <row r="895" spans="1:6" x14ac:dyDescent="0.2">
      <c r="A895" s="275"/>
      <c r="B895" s="78"/>
      <c r="C895" s="189"/>
      <c r="D895" s="185"/>
      <c r="E895" s="186"/>
      <c r="F895" s="187"/>
    </row>
    <row r="896" spans="1:6" x14ac:dyDescent="0.2">
      <c r="A896" s="275"/>
      <c r="B896" s="78"/>
      <c r="C896" s="189"/>
      <c r="D896" s="185"/>
      <c r="E896" s="186"/>
      <c r="F896" s="187"/>
    </row>
    <row r="897" spans="1:6" x14ac:dyDescent="0.2">
      <c r="A897" s="275"/>
      <c r="B897" s="78"/>
      <c r="C897" s="189"/>
      <c r="D897" s="185"/>
      <c r="E897" s="186"/>
      <c r="F897" s="187"/>
    </row>
    <row r="898" spans="1:6" x14ac:dyDescent="0.2">
      <c r="A898" s="275"/>
      <c r="B898" s="78"/>
      <c r="C898" s="189"/>
      <c r="D898" s="185"/>
      <c r="E898" s="186"/>
      <c r="F898" s="187"/>
    </row>
    <row r="899" spans="1:6" x14ac:dyDescent="0.2">
      <c r="A899" s="275"/>
      <c r="B899" s="78"/>
      <c r="C899" s="189"/>
      <c r="D899" s="185"/>
      <c r="E899" s="186"/>
      <c r="F899" s="187"/>
    </row>
    <row r="900" spans="1:6" x14ac:dyDescent="0.2">
      <c r="A900" s="275"/>
      <c r="B900" s="78"/>
      <c r="C900" s="189"/>
      <c r="D900" s="185"/>
      <c r="E900" s="186"/>
      <c r="F900" s="187"/>
    </row>
    <row r="901" spans="1:6" x14ac:dyDescent="0.2">
      <c r="A901" s="275"/>
      <c r="B901" s="78"/>
      <c r="C901" s="189"/>
      <c r="D901" s="185"/>
      <c r="E901" s="186"/>
      <c r="F901" s="187"/>
    </row>
    <row r="902" spans="1:6" x14ac:dyDescent="0.2">
      <c r="A902" s="275"/>
      <c r="B902" s="78"/>
      <c r="C902" s="189"/>
      <c r="D902" s="185"/>
      <c r="E902" s="186"/>
      <c r="F902" s="187"/>
    </row>
    <row r="903" spans="1:6" x14ac:dyDescent="0.2">
      <c r="A903" s="275"/>
      <c r="B903" s="78"/>
      <c r="C903" s="189"/>
      <c r="D903" s="185"/>
      <c r="E903" s="186"/>
      <c r="F903" s="187"/>
    </row>
    <row r="904" spans="1:6" x14ac:dyDescent="0.2">
      <c r="A904" s="275"/>
      <c r="B904" s="78"/>
      <c r="C904" s="189"/>
      <c r="D904" s="185"/>
      <c r="E904" s="186"/>
      <c r="F904" s="187"/>
    </row>
    <row r="905" spans="1:6" x14ac:dyDescent="0.2">
      <c r="A905" s="275"/>
      <c r="B905" s="78"/>
      <c r="C905" s="189"/>
      <c r="D905" s="185"/>
      <c r="E905" s="186"/>
      <c r="F905" s="187"/>
    </row>
    <row r="906" spans="1:6" x14ac:dyDescent="0.2">
      <c r="A906" s="275"/>
      <c r="B906" s="78"/>
      <c r="C906" s="189"/>
      <c r="D906" s="185"/>
      <c r="E906" s="186"/>
      <c r="F906" s="187"/>
    </row>
    <row r="907" spans="1:6" x14ac:dyDescent="0.2">
      <c r="A907" s="275"/>
      <c r="B907" s="78"/>
      <c r="C907" s="189"/>
      <c r="D907" s="185"/>
      <c r="E907" s="186"/>
      <c r="F907" s="187"/>
    </row>
    <row r="908" spans="1:6" x14ac:dyDescent="0.2">
      <c r="A908" s="275"/>
      <c r="B908" s="78"/>
      <c r="C908" s="189"/>
      <c r="D908" s="185"/>
      <c r="E908" s="186"/>
      <c r="F908" s="187"/>
    </row>
    <row r="909" spans="1:6" x14ac:dyDescent="0.2">
      <c r="A909" s="275"/>
      <c r="B909" s="78"/>
      <c r="C909" s="189"/>
      <c r="D909" s="185"/>
      <c r="E909" s="186"/>
      <c r="F909" s="187"/>
    </row>
    <row r="910" spans="1:6" x14ac:dyDescent="0.2">
      <c r="A910" s="275"/>
      <c r="B910" s="78"/>
      <c r="C910" s="189"/>
      <c r="D910" s="185"/>
      <c r="E910" s="186"/>
      <c r="F910" s="187"/>
    </row>
    <row r="911" spans="1:6" x14ac:dyDescent="0.2">
      <c r="A911" s="275"/>
      <c r="B911" s="78"/>
      <c r="C911" s="189"/>
      <c r="D911" s="185"/>
      <c r="E911" s="186"/>
      <c r="F911" s="187"/>
    </row>
    <row r="912" spans="1:6" x14ac:dyDescent="0.2">
      <c r="A912" s="275"/>
      <c r="B912" s="78"/>
      <c r="C912" s="189"/>
      <c r="D912" s="185"/>
      <c r="E912" s="186"/>
      <c r="F912" s="187"/>
    </row>
    <row r="913" spans="1:6" x14ac:dyDescent="0.2">
      <c r="A913" s="275"/>
      <c r="B913" s="78"/>
      <c r="C913" s="189"/>
      <c r="D913" s="185"/>
      <c r="E913" s="186"/>
      <c r="F913" s="187"/>
    </row>
    <row r="914" spans="1:6" x14ac:dyDescent="0.2">
      <c r="A914" s="275"/>
      <c r="B914" s="78"/>
      <c r="C914" s="189"/>
      <c r="D914" s="185"/>
      <c r="E914" s="186"/>
      <c r="F914" s="187"/>
    </row>
    <row r="915" spans="1:6" x14ac:dyDescent="0.2">
      <c r="A915" s="275"/>
      <c r="B915" s="78"/>
      <c r="C915" s="189"/>
      <c r="D915" s="185"/>
      <c r="E915" s="186"/>
      <c r="F915" s="187"/>
    </row>
    <row r="916" spans="1:6" x14ac:dyDescent="0.2">
      <c r="A916" s="275"/>
      <c r="B916" s="78"/>
      <c r="C916" s="189"/>
      <c r="D916" s="185"/>
      <c r="E916" s="186"/>
      <c r="F916" s="187"/>
    </row>
    <row r="917" spans="1:6" x14ac:dyDescent="0.2">
      <c r="A917" s="275"/>
      <c r="B917" s="78"/>
      <c r="C917" s="189"/>
      <c r="D917" s="185"/>
      <c r="E917" s="186"/>
      <c r="F917" s="187"/>
    </row>
    <row r="918" spans="1:6" x14ac:dyDescent="0.2">
      <c r="A918" s="275"/>
      <c r="B918" s="78"/>
      <c r="C918" s="189"/>
      <c r="D918" s="185"/>
      <c r="E918" s="186"/>
      <c r="F918" s="187"/>
    </row>
    <row r="919" spans="1:6" x14ac:dyDescent="0.2">
      <c r="A919" s="275"/>
      <c r="B919" s="78"/>
      <c r="C919" s="189"/>
      <c r="D919" s="185"/>
      <c r="E919" s="186"/>
      <c r="F919" s="187"/>
    </row>
    <row r="920" spans="1:6" x14ac:dyDescent="0.2">
      <c r="A920" s="275"/>
      <c r="B920" s="78"/>
      <c r="C920" s="189"/>
      <c r="D920" s="185"/>
      <c r="E920" s="186"/>
      <c r="F920" s="187"/>
    </row>
    <row r="921" spans="1:6" x14ac:dyDescent="0.2">
      <c r="A921" s="275"/>
      <c r="B921" s="78"/>
      <c r="C921" s="189"/>
      <c r="D921" s="185"/>
      <c r="E921" s="186"/>
      <c r="F921" s="187"/>
    </row>
    <row r="922" spans="1:6" x14ac:dyDescent="0.2">
      <c r="A922" s="275"/>
      <c r="B922" s="78"/>
      <c r="C922" s="189"/>
      <c r="D922" s="185"/>
      <c r="E922" s="186"/>
      <c r="F922" s="187"/>
    </row>
    <row r="923" spans="1:6" x14ac:dyDescent="0.2">
      <c r="A923" s="275"/>
      <c r="B923" s="78"/>
      <c r="C923" s="189"/>
      <c r="D923" s="185"/>
      <c r="E923" s="186"/>
      <c r="F923" s="187"/>
    </row>
    <row r="924" spans="1:6" x14ac:dyDescent="0.2">
      <c r="A924" s="275"/>
      <c r="B924" s="78"/>
      <c r="C924" s="189"/>
      <c r="D924" s="185"/>
      <c r="E924" s="186"/>
      <c r="F924" s="187"/>
    </row>
    <row r="925" spans="1:6" x14ac:dyDescent="0.2">
      <c r="A925" s="275"/>
      <c r="B925" s="78"/>
      <c r="C925" s="189"/>
      <c r="D925" s="185"/>
      <c r="E925" s="186"/>
      <c r="F925" s="187"/>
    </row>
    <row r="926" spans="1:6" x14ac:dyDescent="0.2">
      <c r="A926" s="275"/>
      <c r="B926" s="78"/>
      <c r="C926" s="189"/>
      <c r="D926" s="185"/>
      <c r="E926" s="186"/>
      <c r="F926" s="187"/>
    </row>
    <row r="927" spans="1:6" x14ac:dyDescent="0.2">
      <c r="A927" s="275"/>
      <c r="B927" s="78"/>
      <c r="C927" s="189"/>
      <c r="D927" s="185"/>
      <c r="E927" s="186"/>
      <c r="F927" s="187"/>
    </row>
    <row r="928" spans="1:6" x14ac:dyDescent="0.2">
      <c r="A928" s="275"/>
      <c r="B928" s="78"/>
      <c r="C928" s="189"/>
      <c r="D928" s="185"/>
      <c r="E928" s="186"/>
      <c r="F928" s="187"/>
    </row>
    <row r="929" spans="1:6" x14ac:dyDescent="0.2">
      <c r="A929" s="275"/>
      <c r="B929" s="78"/>
      <c r="C929" s="189"/>
      <c r="D929" s="185"/>
      <c r="E929" s="186"/>
      <c r="F929" s="187"/>
    </row>
    <row r="930" spans="1:6" x14ac:dyDescent="0.2">
      <c r="A930" s="275"/>
      <c r="B930" s="78"/>
      <c r="C930" s="189"/>
      <c r="D930" s="185"/>
      <c r="E930" s="186"/>
      <c r="F930" s="187"/>
    </row>
    <row r="931" spans="1:6" x14ac:dyDescent="0.2">
      <c r="A931" s="275"/>
      <c r="B931" s="78"/>
      <c r="C931" s="189"/>
      <c r="D931" s="185"/>
      <c r="E931" s="186"/>
      <c r="F931" s="187"/>
    </row>
    <row r="932" spans="1:6" x14ac:dyDescent="0.2">
      <c r="A932" s="275"/>
      <c r="B932" s="78"/>
      <c r="C932" s="189"/>
      <c r="D932" s="185"/>
      <c r="E932" s="186"/>
      <c r="F932" s="187"/>
    </row>
    <row r="933" spans="1:6" x14ac:dyDescent="0.2">
      <c r="A933" s="275"/>
      <c r="B933" s="78"/>
      <c r="C933" s="189"/>
      <c r="D933" s="185"/>
      <c r="E933" s="186"/>
      <c r="F933" s="187"/>
    </row>
    <row r="934" spans="1:6" x14ac:dyDescent="0.2">
      <c r="A934" s="275"/>
      <c r="B934" s="78"/>
      <c r="C934" s="189"/>
      <c r="D934" s="185"/>
      <c r="E934" s="186"/>
      <c r="F934" s="187"/>
    </row>
    <row r="935" spans="1:6" x14ac:dyDescent="0.2">
      <c r="A935" s="275"/>
      <c r="B935" s="78"/>
      <c r="C935" s="189"/>
      <c r="D935" s="185"/>
      <c r="E935" s="186"/>
      <c r="F935" s="187"/>
    </row>
    <row r="936" spans="1:6" x14ac:dyDescent="0.2">
      <c r="A936" s="275"/>
      <c r="B936" s="78"/>
      <c r="C936" s="189"/>
      <c r="D936" s="185"/>
      <c r="E936" s="186"/>
      <c r="F936" s="187"/>
    </row>
    <row r="937" spans="1:6" x14ac:dyDescent="0.2">
      <c r="A937" s="275"/>
      <c r="B937" s="78"/>
      <c r="C937" s="189"/>
      <c r="D937" s="185"/>
      <c r="E937" s="186"/>
      <c r="F937" s="187"/>
    </row>
    <row r="938" spans="1:6" x14ac:dyDescent="0.2">
      <c r="A938" s="275"/>
      <c r="B938" s="78"/>
      <c r="C938" s="189"/>
      <c r="D938" s="185"/>
      <c r="E938" s="186"/>
      <c r="F938" s="187"/>
    </row>
    <row r="939" spans="1:6" x14ac:dyDescent="0.2">
      <c r="A939" s="275"/>
      <c r="B939" s="78"/>
      <c r="C939" s="189"/>
      <c r="D939" s="185"/>
      <c r="E939" s="186"/>
      <c r="F939" s="187"/>
    </row>
    <row r="940" spans="1:6" x14ac:dyDescent="0.2">
      <c r="A940" s="275"/>
      <c r="B940" s="78"/>
      <c r="C940" s="189"/>
      <c r="D940" s="185"/>
      <c r="E940" s="186"/>
      <c r="F940" s="187"/>
    </row>
    <row r="941" spans="1:6" x14ac:dyDescent="0.2">
      <c r="A941" s="275"/>
      <c r="B941" s="78"/>
      <c r="C941" s="189"/>
      <c r="D941" s="185"/>
      <c r="E941" s="186"/>
      <c r="F941" s="187"/>
    </row>
    <row r="942" spans="1:6" x14ac:dyDescent="0.2">
      <c r="A942" s="275"/>
      <c r="B942" s="78"/>
      <c r="C942" s="189"/>
      <c r="D942" s="185"/>
      <c r="E942" s="186"/>
      <c r="F942" s="187"/>
    </row>
    <row r="943" spans="1:6" x14ac:dyDescent="0.2">
      <c r="A943" s="275"/>
      <c r="B943" s="78"/>
      <c r="C943" s="189"/>
      <c r="D943" s="185"/>
      <c r="E943" s="186"/>
      <c r="F943" s="187"/>
    </row>
    <row r="944" spans="1:6" x14ac:dyDescent="0.2">
      <c r="A944" s="275"/>
      <c r="B944" s="78"/>
      <c r="C944" s="189"/>
      <c r="D944" s="185"/>
      <c r="E944" s="186"/>
      <c r="F944" s="187"/>
    </row>
    <row r="945" spans="1:6" x14ac:dyDescent="0.2">
      <c r="A945" s="275"/>
      <c r="B945" s="78"/>
      <c r="C945" s="189"/>
      <c r="D945" s="185"/>
      <c r="E945" s="186"/>
      <c r="F945" s="187"/>
    </row>
    <row r="946" spans="1:6" x14ac:dyDescent="0.2">
      <c r="A946" s="275"/>
      <c r="B946" s="78"/>
      <c r="C946" s="189"/>
      <c r="D946" s="185"/>
      <c r="E946" s="186"/>
      <c r="F946" s="187"/>
    </row>
    <row r="947" spans="1:6" x14ac:dyDescent="0.2">
      <c r="A947" s="275"/>
      <c r="B947" s="78"/>
      <c r="C947" s="189"/>
      <c r="D947" s="185"/>
      <c r="E947" s="186"/>
      <c r="F947" s="187"/>
    </row>
    <row r="948" spans="1:6" x14ac:dyDescent="0.2">
      <c r="A948" s="275"/>
      <c r="B948" s="78"/>
      <c r="C948" s="189"/>
      <c r="D948" s="185"/>
      <c r="E948" s="186"/>
      <c r="F948" s="187"/>
    </row>
    <row r="949" spans="1:6" x14ac:dyDescent="0.2">
      <c r="A949" s="275"/>
      <c r="B949" s="78"/>
      <c r="C949" s="189"/>
      <c r="D949" s="185"/>
      <c r="E949" s="186"/>
      <c r="F949" s="187"/>
    </row>
    <row r="950" spans="1:6" x14ac:dyDescent="0.2">
      <c r="A950" s="275"/>
      <c r="B950" s="78"/>
      <c r="C950" s="189"/>
      <c r="D950" s="185"/>
      <c r="E950" s="186"/>
      <c r="F950" s="187"/>
    </row>
    <row r="951" spans="1:6" x14ac:dyDescent="0.2">
      <c r="A951" s="275"/>
      <c r="B951" s="78"/>
      <c r="C951" s="189"/>
      <c r="D951" s="185"/>
      <c r="E951" s="186"/>
      <c r="F951" s="187"/>
    </row>
    <row r="952" spans="1:6" x14ac:dyDescent="0.2">
      <c r="A952" s="275"/>
      <c r="B952" s="78"/>
      <c r="C952" s="189"/>
      <c r="D952" s="185"/>
      <c r="E952" s="186"/>
      <c r="F952" s="187"/>
    </row>
    <row r="953" spans="1:6" x14ac:dyDescent="0.2">
      <c r="A953" s="275"/>
      <c r="B953" s="78"/>
      <c r="C953" s="189"/>
      <c r="D953" s="185"/>
      <c r="E953" s="186"/>
      <c r="F953" s="187"/>
    </row>
    <row r="954" spans="1:6" x14ac:dyDescent="0.2">
      <c r="A954" s="275"/>
      <c r="B954" s="78"/>
      <c r="C954" s="189"/>
      <c r="D954" s="185"/>
      <c r="E954" s="186"/>
      <c r="F954" s="187"/>
    </row>
    <row r="955" spans="1:6" x14ac:dyDescent="0.2">
      <c r="A955" s="275"/>
      <c r="B955" s="78"/>
      <c r="C955" s="189"/>
      <c r="D955" s="185"/>
      <c r="E955" s="186"/>
      <c r="F955" s="187"/>
    </row>
    <row r="956" spans="1:6" x14ac:dyDescent="0.2">
      <c r="A956" s="275"/>
      <c r="B956" s="78"/>
      <c r="C956" s="189"/>
      <c r="D956" s="185"/>
      <c r="E956" s="186"/>
      <c r="F956" s="187"/>
    </row>
    <row r="957" spans="1:6" x14ac:dyDescent="0.2">
      <c r="A957" s="275"/>
      <c r="B957" s="78"/>
      <c r="C957" s="189"/>
      <c r="D957" s="185"/>
      <c r="E957" s="186"/>
      <c r="F957" s="187"/>
    </row>
    <row r="958" spans="1:6" x14ac:dyDescent="0.2">
      <c r="A958" s="275"/>
      <c r="B958" s="78"/>
      <c r="C958" s="189"/>
      <c r="D958" s="185"/>
      <c r="E958" s="186"/>
      <c r="F958" s="187"/>
    </row>
    <row r="959" spans="1:6" x14ac:dyDescent="0.2">
      <c r="A959" s="275"/>
      <c r="B959" s="78"/>
      <c r="C959" s="189"/>
      <c r="D959" s="185"/>
      <c r="E959" s="186"/>
      <c r="F959" s="187"/>
    </row>
    <row r="960" spans="1:6" x14ac:dyDescent="0.2">
      <c r="A960" s="275"/>
      <c r="B960" s="78"/>
      <c r="C960" s="189"/>
      <c r="D960" s="185"/>
      <c r="E960" s="186"/>
      <c r="F960" s="187"/>
    </row>
    <row r="961" spans="1:6" x14ac:dyDescent="0.2">
      <c r="A961" s="275"/>
      <c r="B961" s="78"/>
      <c r="C961" s="189"/>
      <c r="D961" s="185"/>
      <c r="E961" s="186"/>
      <c r="F961" s="187"/>
    </row>
    <row r="962" spans="1:6" x14ac:dyDescent="0.2">
      <c r="A962" s="275"/>
      <c r="B962" s="78"/>
      <c r="C962" s="189"/>
      <c r="D962" s="185"/>
      <c r="E962" s="186"/>
      <c r="F962" s="187"/>
    </row>
    <row r="963" spans="1:6" x14ac:dyDescent="0.2">
      <c r="A963" s="275"/>
      <c r="B963" s="78"/>
      <c r="C963" s="189"/>
      <c r="D963" s="185"/>
      <c r="E963" s="186"/>
      <c r="F963" s="187"/>
    </row>
    <row r="964" spans="1:6" x14ac:dyDescent="0.2">
      <c r="A964" s="275"/>
      <c r="B964" s="78"/>
      <c r="C964" s="189"/>
      <c r="D964" s="185"/>
      <c r="E964" s="186"/>
      <c r="F964" s="187"/>
    </row>
    <row r="965" spans="1:6" x14ac:dyDescent="0.2">
      <c r="A965" s="275"/>
      <c r="B965" s="78"/>
      <c r="C965" s="189"/>
      <c r="D965" s="185"/>
      <c r="E965" s="186"/>
      <c r="F965" s="187"/>
    </row>
    <row r="966" spans="1:6" x14ac:dyDescent="0.2">
      <c r="A966" s="275"/>
      <c r="B966" s="78"/>
      <c r="C966" s="189"/>
      <c r="D966" s="185"/>
      <c r="E966" s="186"/>
      <c r="F966" s="187"/>
    </row>
    <row r="967" spans="1:6" x14ac:dyDescent="0.2">
      <c r="A967" s="275"/>
      <c r="B967" s="78"/>
      <c r="C967" s="189"/>
      <c r="D967" s="185"/>
      <c r="E967" s="186"/>
      <c r="F967" s="187"/>
    </row>
    <row r="968" spans="1:6" x14ac:dyDescent="0.2">
      <c r="A968" s="275"/>
      <c r="B968" s="78"/>
      <c r="C968" s="189"/>
      <c r="D968" s="185"/>
      <c r="E968" s="186"/>
      <c r="F968" s="187"/>
    </row>
    <row r="969" spans="1:6" x14ac:dyDescent="0.2">
      <c r="A969" s="275"/>
      <c r="B969" s="78"/>
      <c r="C969" s="189"/>
      <c r="D969" s="185"/>
      <c r="E969" s="186"/>
      <c r="F969" s="187"/>
    </row>
    <row r="970" spans="1:6" x14ac:dyDescent="0.2">
      <c r="A970" s="275"/>
      <c r="B970" s="78"/>
      <c r="C970" s="189"/>
      <c r="D970" s="185"/>
      <c r="E970" s="186"/>
      <c r="F970" s="187"/>
    </row>
    <row r="971" spans="1:6" x14ac:dyDescent="0.2">
      <c r="A971" s="275"/>
      <c r="B971" s="78"/>
      <c r="C971" s="189"/>
      <c r="D971" s="185"/>
      <c r="E971" s="186"/>
      <c r="F971" s="187"/>
    </row>
    <row r="972" spans="1:6" x14ac:dyDescent="0.2">
      <c r="A972" s="275"/>
      <c r="B972" s="78"/>
      <c r="C972" s="189"/>
      <c r="D972" s="185"/>
      <c r="E972" s="186"/>
      <c r="F972" s="187"/>
    </row>
    <row r="973" spans="1:6" x14ac:dyDescent="0.2">
      <c r="A973" s="275"/>
      <c r="B973" s="78"/>
      <c r="C973" s="189"/>
      <c r="D973" s="185"/>
      <c r="E973" s="186"/>
      <c r="F973" s="187"/>
    </row>
    <row r="974" spans="1:6" x14ac:dyDescent="0.2">
      <c r="A974" s="275"/>
      <c r="B974" s="78"/>
      <c r="C974" s="189"/>
      <c r="D974" s="185"/>
      <c r="E974" s="186"/>
      <c r="F974" s="187"/>
    </row>
    <row r="975" spans="1:6" x14ac:dyDescent="0.2">
      <c r="A975" s="275"/>
      <c r="B975" s="78"/>
      <c r="C975" s="189"/>
      <c r="D975" s="185"/>
      <c r="E975" s="186"/>
      <c r="F975" s="187"/>
    </row>
    <row r="976" spans="1:6" x14ac:dyDescent="0.2">
      <c r="A976" s="275"/>
      <c r="B976" s="78"/>
      <c r="C976" s="189"/>
      <c r="D976" s="185"/>
      <c r="E976" s="186"/>
      <c r="F976" s="187"/>
    </row>
    <row r="977" spans="1:6" x14ac:dyDescent="0.2">
      <c r="A977" s="275"/>
      <c r="B977" s="78"/>
      <c r="C977" s="189"/>
      <c r="D977" s="185"/>
      <c r="E977" s="186"/>
      <c r="F977" s="187"/>
    </row>
    <row r="978" spans="1:6" x14ac:dyDescent="0.2">
      <c r="A978" s="275"/>
      <c r="B978" s="78"/>
      <c r="C978" s="189"/>
      <c r="D978" s="185"/>
      <c r="E978" s="186"/>
      <c r="F978" s="187"/>
    </row>
    <row r="979" spans="1:6" x14ac:dyDescent="0.2">
      <c r="A979" s="275"/>
      <c r="B979" s="78"/>
      <c r="C979" s="189"/>
      <c r="D979" s="185"/>
      <c r="E979" s="186"/>
      <c r="F979" s="187"/>
    </row>
    <row r="980" spans="1:6" x14ac:dyDescent="0.2">
      <c r="A980" s="275"/>
      <c r="B980" s="78"/>
      <c r="C980" s="189"/>
      <c r="D980" s="185"/>
      <c r="E980" s="186"/>
      <c r="F980" s="187"/>
    </row>
    <row r="981" spans="1:6" x14ac:dyDescent="0.2">
      <c r="A981" s="275"/>
      <c r="B981" s="78"/>
      <c r="C981" s="189"/>
      <c r="D981" s="185"/>
      <c r="E981" s="186"/>
      <c r="F981" s="187"/>
    </row>
    <row r="982" spans="1:6" x14ac:dyDescent="0.2">
      <c r="A982" s="275"/>
      <c r="B982" s="78"/>
      <c r="C982" s="189"/>
      <c r="D982" s="185"/>
      <c r="E982" s="186"/>
      <c r="F982" s="187"/>
    </row>
    <row r="983" spans="1:6" x14ac:dyDescent="0.2">
      <c r="A983" s="275"/>
      <c r="B983" s="78"/>
      <c r="C983" s="189"/>
      <c r="D983" s="185"/>
      <c r="E983" s="186"/>
      <c r="F983" s="187"/>
    </row>
    <row r="984" spans="1:6" x14ac:dyDescent="0.2">
      <c r="A984" s="275"/>
      <c r="B984" s="78"/>
      <c r="C984" s="189"/>
      <c r="D984" s="185"/>
      <c r="E984" s="186"/>
      <c r="F984" s="187"/>
    </row>
    <row r="985" spans="1:6" x14ac:dyDescent="0.2">
      <c r="A985" s="275"/>
      <c r="B985" s="78"/>
      <c r="C985" s="189"/>
      <c r="D985" s="185"/>
      <c r="E985" s="186"/>
      <c r="F985" s="187"/>
    </row>
    <row r="986" spans="1:6" x14ac:dyDescent="0.2">
      <c r="A986" s="275"/>
      <c r="B986" s="78"/>
      <c r="C986" s="189"/>
      <c r="D986" s="185"/>
      <c r="E986" s="186"/>
      <c r="F986" s="187"/>
    </row>
    <row r="987" spans="1:6" x14ac:dyDescent="0.2">
      <c r="A987" s="275"/>
      <c r="B987" s="78"/>
      <c r="C987" s="189"/>
      <c r="D987" s="185"/>
      <c r="E987" s="186"/>
      <c r="F987" s="187"/>
    </row>
    <row r="988" spans="1:6" x14ac:dyDescent="0.2">
      <c r="A988" s="275"/>
      <c r="B988" s="78"/>
      <c r="C988" s="189"/>
      <c r="D988" s="185"/>
      <c r="E988" s="186"/>
      <c r="F988" s="187"/>
    </row>
    <row r="989" spans="1:6" x14ac:dyDescent="0.2">
      <c r="A989" s="275"/>
      <c r="B989" s="78"/>
      <c r="C989" s="189"/>
      <c r="D989" s="185"/>
      <c r="E989" s="186"/>
      <c r="F989" s="187"/>
    </row>
    <row r="990" spans="1:6" x14ac:dyDescent="0.2">
      <c r="A990" s="275"/>
      <c r="B990" s="78"/>
      <c r="C990" s="189"/>
      <c r="D990" s="185"/>
      <c r="E990" s="186"/>
      <c r="F990" s="187"/>
    </row>
    <row r="991" spans="1:6" x14ac:dyDescent="0.2">
      <c r="A991" s="275"/>
      <c r="B991" s="78"/>
      <c r="C991" s="189"/>
      <c r="D991" s="185"/>
      <c r="E991" s="186"/>
      <c r="F991" s="187"/>
    </row>
    <row r="992" spans="1:6" x14ac:dyDescent="0.2">
      <c r="A992" s="275"/>
      <c r="B992" s="78"/>
      <c r="C992" s="189"/>
      <c r="D992" s="185"/>
      <c r="E992" s="186"/>
      <c r="F992" s="187"/>
    </row>
    <row r="993" spans="1:6" x14ac:dyDescent="0.2">
      <c r="A993" s="275"/>
      <c r="B993" s="78"/>
      <c r="C993" s="189"/>
      <c r="D993" s="185"/>
      <c r="E993" s="186"/>
      <c r="F993" s="187"/>
    </row>
    <row r="994" spans="1:6" x14ac:dyDescent="0.2">
      <c r="A994" s="275"/>
      <c r="B994" s="78"/>
      <c r="C994" s="189"/>
      <c r="D994" s="185"/>
      <c r="E994" s="186"/>
      <c r="F994" s="187"/>
    </row>
    <row r="995" spans="1:6" x14ac:dyDescent="0.2">
      <c r="A995" s="275"/>
      <c r="B995" s="78"/>
      <c r="C995" s="189"/>
      <c r="D995" s="185"/>
      <c r="E995" s="186"/>
      <c r="F995" s="187"/>
    </row>
    <row r="996" spans="1:6" x14ac:dyDescent="0.2">
      <c r="A996" s="275"/>
      <c r="B996" s="78"/>
      <c r="C996" s="189"/>
      <c r="D996" s="185"/>
      <c r="E996" s="186"/>
      <c r="F996" s="187"/>
    </row>
    <row r="997" spans="1:6" x14ac:dyDescent="0.2">
      <c r="A997" s="275"/>
      <c r="B997" s="78"/>
      <c r="C997" s="189"/>
      <c r="D997" s="185"/>
      <c r="E997" s="186"/>
      <c r="F997" s="187"/>
    </row>
    <row r="998" spans="1:6" x14ac:dyDescent="0.2">
      <c r="A998" s="275"/>
      <c r="B998" s="78"/>
      <c r="C998" s="189"/>
      <c r="D998" s="185"/>
      <c r="E998" s="186"/>
      <c r="F998" s="187"/>
    </row>
    <row r="999" spans="1:6" x14ac:dyDescent="0.2">
      <c r="A999" s="275"/>
      <c r="B999" s="78"/>
      <c r="C999" s="189"/>
      <c r="D999" s="185"/>
      <c r="E999" s="186"/>
      <c r="F999" s="187"/>
    </row>
    <row r="1000" spans="1:6" x14ac:dyDescent="0.2">
      <c r="A1000" s="275"/>
      <c r="B1000" s="78"/>
      <c r="C1000" s="189"/>
      <c r="D1000" s="185"/>
      <c r="E1000" s="186"/>
      <c r="F1000" s="187"/>
    </row>
    <row r="1001" spans="1:6" x14ac:dyDescent="0.2">
      <c r="A1001" s="275"/>
      <c r="B1001" s="78"/>
      <c r="C1001" s="189"/>
      <c r="D1001" s="185"/>
      <c r="E1001" s="186"/>
      <c r="F1001" s="187"/>
    </row>
    <row r="1002" spans="1:6" x14ac:dyDescent="0.2">
      <c r="A1002" s="275"/>
      <c r="B1002" s="78"/>
      <c r="C1002" s="189"/>
      <c r="D1002" s="185"/>
      <c r="E1002" s="186"/>
      <c r="F1002" s="187"/>
    </row>
    <row r="1003" spans="1:6" x14ac:dyDescent="0.2">
      <c r="A1003" s="275"/>
      <c r="B1003" s="78"/>
      <c r="C1003" s="189"/>
      <c r="D1003" s="185"/>
      <c r="E1003" s="186"/>
      <c r="F1003" s="187"/>
    </row>
    <row r="1004" spans="1:6" x14ac:dyDescent="0.2">
      <c r="A1004" s="275"/>
      <c r="B1004" s="78"/>
      <c r="C1004" s="189"/>
      <c r="D1004" s="185"/>
      <c r="E1004" s="186"/>
      <c r="F1004" s="187"/>
    </row>
    <row r="1005" spans="1:6" x14ac:dyDescent="0.2">
      <c r="A1005" s="275"/>
      <c r="B1005" s="78"/>
      <c r="C1005" s="189"/>
      <c r="D1005" s="185"/>
      <c r="E1005" s="186"/>
      <c r="F1005" s="187"/>
    </row>
    <row r="1006" spans="1:6" x14ac:dyDescent="0.2">
      <c r="A1006" s="275"/>
      <c r="B1006" s="78"/>
      <c r="C1006" s="189"/>
      <c r="D1006" s="185"/>
      <c r="E1006" s="186"/>
      <c r="F1006" s="187"/>
    </row>
    <row r="1007" spans="1:6" x14ac:dyDescent="0.2">
      <c r="A1007" s="275"/>
      <c r="B1007" s="78"/>
      <c r="C1007" s="189"/>
      <c r="D1007" s="185"/>
      <c r="E1007" s="186"/>
      <c r="F1007" s="187"/>
    </row>
    <row r="1008" spans="1:6" x14ac:dyDescent="0.2">
      <c r="A1008" s="275"/>
      <c r="B1008" s="78"/>
      <c r="C1008" s="189"/>
      <c r="D1008" s="185"/>
      <c r="E1008" s="186"/>
      <c r="F1008" s="187"/>
    </row>
    <row r="1009" spans="1:6" x14ac:dyDescent="0.2">
      <c r="A1009" s="275"/>
      <c r="B1009" s="78"/>
      <c r="C1009" s="189"/>
      <c r="D1009" s="185"/>
      <c r="E1009" s="186"/>
      <c r="F1009" s="187"/>
    </row>
    <row r="1010" spans="1:6" x14ac:dyDescent="0.2">
      <c r="A1010" s="275"/>
      <c r="B1010" s="78"/>
      <c r="C1010" s="189"/>
      <c r="D1010" s="185"/>
      <c r="E1010" s="186"/>
      <c r="F1010" s="187"/>
    </row>
    <row r="1011" spans="1:6" x14ac:dyDescent="0.2">
      <c r="A1011" s="275"/>
      <c r="B1011" s="78"/>
      <c r="C1011" s="189"/>
      <c r="D1011" s="185"/>
      <c r="E1011" s="186"/>
      <c r="F1011" s="187"/>
    </row>
    <row r="1012" spans="1:6" x14ac:dyDescent="0.2">
      <c r="A1012" s="275"/>
      <c r="B1012" s="78"/>
      <c r="C1012" s="189"/>
      <c r="D1012" s="185"/>
      <c r="E1012" s="186"/>
      <c r="F1012" s="187"/>
    </row>
    <row r="1013" spans="1:6" x14ac:dyDescent="0.2">
      <c r="A1013" s="275"/>
      <c r="B1013" s="78"/>
      <c r="C1013" s="189"/>
      <c r="D1013" s="185"/>
      <c r="E1013" s="186"/>
      <c r="F1013" s="187"/>
    </row>
    <row r="1014" spans="1:6" x14ac:dyDescent="0.2">
      <c r="A1014" s="275"/>
      <c r="B1014" s="78"/>
      <c r="C1014" s="189"/>
      <c r="D1014" s="185"/>
      <c r="E1014" s="186"/>
      <c r="F1014" s="187"/>
    </row>
    <row r="1015" spans="1:6" x14ac:dyDescent="0.2">
      <c r="A1015" s="275"/>
      <c r="B1015" s="78"/>
      <c r="C1015" s="189"/>
      <c r="D1015" s="185"/>
      <c r="E1015" s="186"/>
      <c r="F1015" s="187"/>
    </row>
    <row r="1016" spans="1:6" x14ac:dyDescent="0.2">
      <c r="A1016" s="275"/>
      <c r="B1016" s="78"/>
      <c r="C1016" s="189"/>
      <c r="D1016" s="185"/>
      <c r="E1016" s="186"/>
      <c r="F1016" s="187"/>
    </row>
    <row r="1017" spans="1:6" x14ac:dyDescent="0.2">
      <c r="A1017" s="275"/>
      <c r="B1017" s="78"/>
      <c r="C1017" s="189"/>
      <c r="D1017" s="185"/>
      <c r="E1017" s="186"/>
      <c r="F1017" s="187"/>
    </row>
    <row r="1018" spans="1:6" x14ac:dyDescent="0.2">
      <c r="A1018" s="275"/>
      <c r="B1018" s="78"/>
      <c r="C1018" s="189"/>
      <c r="D1018" s="185"/>
      <c r="E1018" s="186"/>
      <c r="F1018" s="187"/>
    </row>
    <row r="1019" spans="1:6" x14ac:dyDescent="0.2">
      <c r="A1019" s="275"/>
      <c r="B1019" s="78"/>
      <c r="C1019" s="189"/>
      <c r="D1019" s="185"/>
      <c r="E1019" s="186"/>
      <c r="F1019" s="187"/>
    </row>
    <row r="1020" spans="1:6" x14ac:dyDescent="0.2">
      <c r="A1020" s="275"/>
      <c r="B1020" s="78"/>
      <c r="C1020" s="189"/>
      <c r="D1020" s="185"/>
      <c r="E1020" s="186"/>
      <c r="F1020" s="187"/>
    </row>
    <row r="1021" spans="1:6" x14ac:dyDescent="0.2">
      <c r="A1021" s="275"/>
      <c r="B1021" s="78"/>
      <c r="C1021" s="189"/>
      <c r="D1021" s="185"/>
      <c r="E1021" s="186"/>
      <c r="F1021" s="187"/>
    </row>
    <row r="1022" spans="1:6" x14ac:dyDescent="0.2">
      <c r="A1022" s="275"/>
      <c r="B1022" s="78"/>
      <c r="C1022" s="189"/>
      <c r="D1022" s="185"/>
      <c r="E1022" s="186"/>
      <c r="F1022" s="187"/>
    </row>
    <row r="1023" spans="1:6" x14ac:dyDescent="0.2">
      <c r="A1023" s="275"/>
      <c r="B1023" s="78"/>
      <c r="C1023" s="189"/>
      <c r="D1023" s="185"/>
      <c r="E1023" s="186"/>
      <c r="F1023" s="187"/>
    </row>
    <row r="1024" spans="1:6" x14ac:dyDescent="0.2">
      <c r="A1024" s="275"/>
      <c r="B1024" s="78"/>
      <c r="C1024" s="189"/>
      <c r="D1024" s="185"/>
      <c r="E1024" s="186"/>
      <c r="F1024" s="187"/>
    </row>
    <row r="1025" spans="1:6" x14ac:dyDescent="0.2">
      <c r="A1025" s="275"/>
      <c r="B1025" s="78"/>
      <c r="C1025" s="189"/>
      <c r="D1025" s="185"/>
      <c r="E1025" s="186"/>
      <c r="F1025" s="187"/>
    </row>
    <row r="1026" spans="1:6" x14ac:dyDescent="0.2">
      <c r="A1026" s="275"/>
      <c r="B1026" s="78"/>
      <c r="C1026" s="189"/>
      <c r="D1026" s="185"/>
      <c r="E1026" s="186"/>
      <c r="F1026" s="187"/>
    </row>
    <row r="1027" spans="1:6" x14ac:dyDescent="0.2">
      <c r="A1027" s="275"/>
      <c r="B1027" s="78"/>
      <c r="C1027" s="189"/>
      <c r="D1027" s="185"/>
      <c r="E1027" s="186"/>
      <c r="F1027" s="187"/>
    </row>
    <row r="1028" spans="1:6" x14ac:dyDescent="0.2">
      <c r="A1028" s="275"/>
      <c r="B1028" s="78"/>
      <c r="C1028" s="189"/>
      <c r="D1028" s="185"/>
      <c r="E1028" s="186"/>
      <c r="F1028" s="187"/>
    </row>
    <row r="1029" spans="1:6" x14ac:dyDescent="0.2">
      <c r="A1029" s="275"/>
      <c r="B1029" s="78"/>
      <c r="C1029" s="189"/>
      <c r="D1029" s="185"/>
      <c r="E1029" s="186"/>
      <c r="F1029" s="187"/>
    </row>
    <row r="1030" spans="1:6" x14ac:dyDescent="0.2">
      <c r="A1030" s="275"/>
      <c r="B1030" s="78"/>
      <c r="C1030" s="189"/>
      <c r="D1030" s="185"/>
      <c r="E1030" s="186"/>
      <c r="F1030" s="187"/>
    </row>
    <row r="1031" spans="1:6" x14ac:dyDescent="0.2">
      <c r="A1031" s="275"/>
      <c r="B1031" s="78"/>
      <c r="C1031" s="189"/>
      <c r="D1031" s="185"/>
      <c r="E1031" s="186"/>
      <c r="F1031" s="187"/>
    </row>
    <row r="1032" spans="1:6" x14ac:dyDescent="0.2">
      <c r="A1032" s="275"/>
      <c r="B1032" s="78"/>
      <c r="C1032" s="189"/>
      <c r="D1032" s="185"/>
      <c r="E1032" s="186"/>
      <c r="F1032" s="187"/>
    </row>
    <row r="1033" spans="1:6" x14ac:dyDescent="0.2">
      <c r="A1033" s="275"/>
      <c r="B1033" s="78"/>
      <c r="C1033" s="189"/>
      <c r="D1033" s="185"/>
      <c r="E1033" s="186"/>
      <c r="F1033" s="187"/>
    </row>
    <row r="1034" spans="1:6" x14ac:dyDescent="0.2">
      <c r="A1034" s="275"/>
      <c r="B1034" s="78"/>
      <c r="C1034" s="189"/>
      <c r="D1034" s="185"/>
      <c r="E1034" s="186"/>
      <c r="F1034" s="187"/>
    </row>
    <row r="1035" spans="1:6" x14ac:dyDescent="0.2">
      <c r="A1035" s="275"/>
      <c r="B1035" s="78"/>
      <c r="C1035" s="189"/>
      <c r="D1035" s="185"/>
      <c r="E1035" s="186"/>
      <c r="F1035" s="187"/>
    </row>
    <row r="1036" spans="1:6" x14ac:dyDescent="0.2">
      <c r="A1036" s="275"/>
      <c r="B1036" s="78"/>
      <c r="C1036" s="189"/>
      <c r="D1036" s="185"/>
      <c r="E1036" s="186"/>
      <c r="F1036" s="187"/>
    </row>
    <row r="1037" spans="1:6" x14ac:dyDescent="0.2">
      <c r="A1037" s="275"/>
      <c r="B1037" s="78"/>
      <c r="C1037" s="189"/>
      <c r="D1037" s="185"/>
      <c r="E1037" s="186"/>
      <c r="F1037" s="187"/>
    </row>
    <row r="1038" spans="1:6" x14ac:dyDescent="0.2">
      <c r="A1038" s="275"/>
      <c r="B1038" s="78"/>
      <c r="C1038" s="189"/>
      <c r="D1038" s="185"/>
      <c r="E1038" s="186"/>
      <c r="F1038" s="187"/>
    </row>
    <row r="1039" spans="1:6" x14ac:dyDescent="0.2">
      <c r="A1039" s="275"/>
      <c r="B1039" s="78"/>
      <c r="C1039" s="189"/>
      <c r="D1039" s="185"/>
      <c r="E1039" s="186"/>
      <c r="F1039" s="187"/>
    </row>
    <row r="1040" spans="1:6" x14ac:dyDescent="0.2">
      <c r="A1040" s="275"/>
      <c r="B1040" s="78"/>
      <c r="C1040" s="189"/>
      <c r="D1040" s="185"/>
      <c r="E1040" s="186"/>
      <c r="F1040" s="187"/>
    </row>
    <row r="1041" spans="1:6" x14ac:dyDescent="0.2">
      <c r="A1041" s="275"/>
      <c r="B1041" s="78"/>
      <c r="C1041" s="189"/>
      <c r="D1041" s="185"/>
      <c r="E1041" s="186"/>
      <c r="F1041" s="187"/>
    </row>
    <row r="1042" spans="1:6" x14ac:dyDescent="0.2">
      <c r="A1042" s="275"/>
      <c r="B1042" s="78"/>
      <c r="C1042" s="189"/>
      <c r="D1042" s="185"/>
      <c r="E1042" s="186"/>
      <c r="F1042" s="187"/>
    </row>
    <row r="1043" spans="1:6" x14ac:dyDescent="0.2">
      <c r="A1043" s="275"/>
      <c r="B1043" s="78"/>
      <c r="C1043" s="189"/>
      <c r="D1043" s="185"/>
      <c r="E1043" s="186"/>
      <c r="F1043" s="187"/>
    </row>
    <row r="1044" spans="1:6" x14ac:dyDescent="0.2">
      <c r="A1044" s="275"/>
      <c r="B1044" s="78"/>
      <c r="C1044" s="189"/>
      <c r="D1044" s="185"/>
      <c r="E1044" s="186"/>
      <c r="F1044" s="187"/>
    </row>
    <row r="1045" spans="1:6" x14ac:dyDescent="0.2">
      <c r="A1045" s="275"/>
      <c r="B1045" s="78"/>
      <c r="C1045" s="189"/>
      <c r="D1045" s="185"/>
      <c r="E1045" s="186"/>
      <c r="F1045" s="187"/>
    </row>
    <row r="1046" spans="1:6" x14ac:dyDescent="0.2">
      <c r="A1046" s="275"/>
      <c r="B1046" s="78"/>
      <c r="C1046" s="189"/>
      <c r="D1046" s="185"/>
      <c r="E1046" s="186"/>
      <c r="F1046" s="187"/>
    </row>
    <row r="1047" spans="1:6" x14ac:dyDescent="0.2">
      <c r="A1047" s="275"/>
      <c r="B1047" s="78"/>
      <c r="C1047" s="189"/>
      <c r="D1047" s="185"/>
      <c r="E1047" s="186"/>
      <c r="F1047" s="187"/>
    </row>
    <row r="1048" spans="1:6" x14ac:dyDescent="0.2">
      <c r="A1048" s="275"/>
      <c r="B1048" s="78"/>
      <c r="C1048" s="189"/>
      <c r="D1048" s="185"/>
      <c r="E1048" s="186"/>
      <c r="F1048" s="187"/>
    </row>
    <row r="1049" spans="1:6" x14ac:dyDescent="0.2">
      <c r="A1049" s="275"/>
      <c r="B1049" s="78"/>
      <c r="C1049" s="189"/>
      <c r="D1049" s="185"/>
      <c r="E1049" s="186"/>
      <c r="F1049" s="187"/>
    </row>
    <row r="1050" spans="1:6" x14ac:dyDescent="0.2">
      <c r="A1050" s="275"/>
      <c r="B1050" s="78"/>
      <c r="C1050" s="189"/>
      <c r="D1050" s="185"/>
      <c r="E1050" s="186"/>
      <c r="F1050" s="187"/>
    </row>
    <row r="1051" spans="1:6" x14ac:dyDescent="0.2">
      <c r="A1051" s="275"/>
      <c r="B1051" s="78"/>
      <c r="C1051" s="189"/>
      <c r="D1051" s="185"/>
      <c r="E1051" s="186"/>
      <c r="F1051" s="187"/>
    </row>
    <row r="1052" spans="1:6" x14ac:dyDescent="0.2">
      <c r="A1052" s="275"/>
      <c r="B1052" s="78"/>
      <c r="C1052" s="189"/>
      <c r="D1052" s="185"/>
      <c r="E1052" s="186"/>
      <c r="F1052" s="187"/>
    </row>
    <row r="1053" spans="1:6" x14ac:dyDescent="0.2">
      <c r="A1053" s="275"/>
      <c r="B1053" s="78"/>
      <c r="C1053" s="189"/>
      <c r="D1053" s="185"/>
      <c r="E1053" s="186"/>
      <c r="F1053" s="187"/>
    </row>
    <row r="1054" spans="1:6" x14ac:dyDescent="0.2">
      <c r="A1054" s="275"/>
      <c r="B1054" s="78"/>
      <c r="C1054" s="189"/>
      <c r="D1054" s="185"/>
      <c r="E1054" s="186"/>
      <c r="F1054" s="187"/>
    </row>
    <row r="1055" spans="1:6" x14ac:dyDescent="0.2">
      <c r="A1055" s="275"/>
      <c r="B1055" s="78"/>
      <c r="C1055" s="189"/>
      <c r="D1055" s="185"/>
      <c r="E1055" s="186"/>
      <c r="F1055" s="187"/>
    </row>
    <row r="1056" spans="1:6" x14ac:dyDescent="0.2">
      <c r="A1056" s="275"/>
      <c r="B1056" s="78"/>
      <c r="C1056" s="189"/>
      <c r="D1056" s="185"/>
      <c r="E1056" s="186"/>
      <c r="F1056" s="187"/>
    </row>
    <row r="1057" spans="1:6" x14ac:dyDescent="0.2">
      <c r="A1057" s="275"/>
      <c r="B1057" s="78"/>
      <c r="C1057" s="189"/>
      <c r="D1057" s="185"/>
      <c r="E1057" s="186"/>
      <c r="F1057" s="187"/>
    </row>
    <row r="1058" spans="1:6" x14ac:dyDescent="0.2">
      <c r="A1058" s="275"/>
      <c r="B1058" s="78"/>
      <c r="C1058" s="189"/>
      <c r="D1058" s="185"/>
      <c r="E1058" s="186"/>
      <c r="F1058" s="187"/>
    </row>
    <row r="1059" spans="1:6" x14ac:dyDescent="0.2">
      <c r="A1059" s="275"/>
      <c r="B1059" s="78"/>
      <c r="C1059" s="189"/>
      <c r="D1059" s="185"/>
      <c r="E1059" s="186"/>
      <c r="F1059" s="187"/>
    </row>
    <row r="1060" spans="1:6" x14ac:dyDescent="0.2">
      <c r="A1060" s="275"/>
      <c r="B1060" s="78"/>
      <c r="C1060" s="189"/>
      <c r="D1060" s="185"/>
      <c r="E1060" s="186"/>
      <c r="F1060" s="187"/>
    </row>
    <row r="1061" spans="1:6" x14ac:dyDescent="0.2">
      <c r="A1061" s="275"/>
      <c r="B1061" s="78"/>
      <c r="C1061" s="189"/>
      <c r="D1061" s="185"/>
      <c r="E1061" s="186"/>
      <c r="F1061" s="187"/>
    </row>
    <row r="1062" spans="1:6" x14ac:dyDescent="0.2">
      <c r="A1062" s="275"/>
      <c r="B1062" s="78"/>
      <c r="C1062" s="189"/>
      <c r="D1062" s="185"/>
      <c r="E1062" s="186"/>
      <c r="F1062" s="187"/>
    </row>
    <row r="1063" spans="1:6" x14ac:dyDescent="0.2">
      <c r="A1063" s="275"/>
      <c r="B1063" s="78"/>
      <c r="C1063" s="189"/>
      <c r="D1063" s="185"/>
      <c r="E1063" s="186"/>
      <c r="F1063" s="187"/>
    </row>
    <row r="1064" spans="1:6" x14ac:dyDescent="0.2">
      <c r="A1064" s="275"/>
      <c r="B1064" s="78"/>
      <c r="C1064" s="189"/>
      <c r="D1064" s="185"/>
      <c r="E1064" s="186"/>
      <c r="F1064" s="187"/>
    </row>
    <row r="1065" spans="1:6" x14ac:dyDescent="0.2">
      <c r="A1065" s="275"/>
      <c r="B1065" s="78"/>
      <c r="C1065" s="189"/>
      <c r="D1065" s="185"/>
      <c r="E1065" s="186"/>
      <c r="F1065" s="187"/>
    </row>
    <row r="1066" spans="1:6" x14ac:dyDescent="0.2">
      <c r="A1066" s="275"/>
      <c r="B1066" s="78"/>
      <c r="C1066" s="189"/>
      <c r="D1066" s="185"/>
      <c r="E1066" s="186"/>
      <c r="F1066" s="187"/>
    </row>
    <row r="1067" spans="1:6" x14ac:dyDescent="0.2">
      <c r="A1067" s="275"/>
      <c r="B1067" s="78"/>
      <c r="C1067" s="189"/>
      <c r="D1067" s="185"/>
      <c r="E1067" s="186"/>
      <c r="F1067" s="187"/>
    </row>
    <row r="1068" spans="1:6" x14ac:dyDescent="0.2">
      <c r="A1068" s="275"/>
      <c r="B1068" s="78"/>
      <c r="C1068" s="189"/>
      <c r="D1068" s="185"/>
      <c r="E1068" s="186"/>
      <c r="F1068" s="187"/>
    </row>
    <row r="1069" spans="1:6" x14ac:dyDescent="0.2">
      <c r="A1069" s="275"/>
      <c r="B1069" s="78"/>
      <c r="C1069" s="189"/>
      <c r="D1069" s="185"/>
      <c r="E1069" s="186"/>
      <c r="F1069" s="187"/>
    </row>
    <row r="1070" spans="1:6" x14ac:dyDescent="0.2">
      <c r="A1070" s="275"/>
      <c r="B1070" s="78"/>
      <c r="C1070" s="189"/>
      <c r="D1070" s="185"/>
      <c r="E1070" s="186"/>
      <c r="F1070" s="187"/>
    </row>
    <row r="1071" spans="1:6" x14ac:dyDescent="0.2">
      <c r="A1071" s="275"/>
      <c r="B1071" s="78"/>
      <c r="C1071" s="189"/>
      <c r="D1071" s="185"/>
      <c r="E1071" s="186"/>
      <c r="F1071" s="187"/>
    </row>
    <row r="1072" spans="1:6" x14ac:dyDescent="0.2">
      <c r="A1072" s="275"/>
      <c r="B1072" s="78"/>
      <c r="C1072" s="189"/>
      <c r="D1072" s="185"/>
      <c r="E1072" s="186"/>
      <c r="F1072" s="187"/>
    </row>
    <row r="1073" spans="1:6" x14ac:dyDescent="0.2">
      <c r="A1073" s="275"/>
      <c r="B1073" s="78"/>
      <c r="C1073" s="189"/>
      <c r="D1073" s="185"/>
      <c r="E1073" s="186"/>
      <c r="F1073" s="187"/>
    </row>
    <row r="1074" spans="1:6" x14ac:dyDescent="0.2">
      <c r="A1074" s="275"/>
      <c r="B1074" s="78"/>
      <c r="C1074" s="189"/>
      <c r="D1074" s="185"/>
      <c r="E1074" s="186"/>
      <c r="F1074" s="187"/>
    </row>
    <row r="1075" spans="1:6" x14ac:dyDescent="0.2">
      <c r="A1075" s="275"/>
      <c r="B1075" s="78"/>
      <c r="C1075" s="189"/>
      <c r="D1075" s="185"/>
      <c r="E1075" s="186"/>
      <c r="F1075" s="187"/>
    </row>
    <row r="1076" spans="1:6" x14ac:dyDescent="0.2">
      <c r="A1076" s="275"/>
      <c r="B1076" s="78"/>
      <c r="C1076" s="189"/>
      <c r="D1076" s="185"/>
      <c r="E1076" s="186"/>
      <c r="F1076" s="187"/>
    </row>
    <row r="1077" spans="1:6" x14ac:dyDescent="0.2">
      <c r="A1077" s="275"/>
      <c r="B1077" s="78"/>
      <c r="C1077" s="189"/>
      <c r="D1077" s="185"/>
      <c r="E1077" s="186"/>
      <c r="F1077" s="187"/>
    </row>
    <row r="1078" spans="1:6" x14ac:dyDescent="0.2">
      <c r="A1078" s="275"/>
      <c r="B1078" s="78"/>
      <c r="C1078" s="189"/>
      <c r="D1078" s="185"/>
      <c r="E1078" s="186"/>
      <c r="F1078" s="187"/>
    </row>
    <row r="1079" spans="1:6" x14ac:dyDescent="0.2">
      <c r="A1079" s="275"/>
      <c r="B1079" s="78"/>
      <c r="C1079" s="189"/>
      <c r="D1079" s="185"/>
      <c r="E1079" s="186"/>
      <c r="F1079" s="187"/>
    </row>
    <row r="1080" spans="1:6" x14ac:dyDescent="0.2">
      <c r="A1080" s="275"/>
      <c r="B1080" s="78"/>
      <c r="C1080" s="189"/>
      <c r="D1080" s="185"/>
      <c r="E1080" s="186"/>
      <c r="F1080" s="187"/>
    </row>
    <row r="1081" spans="1:6" x14ac:dyDescent="0.2">
      <c r="A1081" s="275"/>
      <c r="B1081" s="78"/>
      <c r="C1081" s="189"/>
      <c r="D1081" s="185"/>
      <c r="E1081" s="186"/>
      <c r="F1081" s="187"/>
    </row>
    <row r="1082" spans="1:6" x14ac:dyDescent="0.2">
      <c r="A1082" s="275"/>
      <c r="B1082" s="78"/>
      <c r="C1082" s="189"/>
      <c r="D1082" s="185"/>
      <c r="E1082" s="186"/>
      <c r="F1082" s="187"/>
    </row>
    <row r="1083" spans="1:6" x14ac:dyDescent="0.2">
      <c r="A1083" s="275"/>
      <c r="B1083" s="78"/>
      <c r="C1083" s="189"/>
      <c r="D1083" s="185"/>
      <c r="E1083" s="186"/>
      <c r="F1083" s="187"/>
    </row>
    <row r="1084" spans="1:6" x14ac:dyDescent="0.2">
      <c r="A1084" s="275"/>
      <c r="B1084" s="78"/>
      <c r="C1084" s="189"/>
      <c r="D1084" s="185"/>
      <c r="E1084" s="186"/>
      <c r="F1084" s="187"/>
    </row>
    <row r="1085" spans="1:6" x14ac:dyDescent="0.2">
      <c r="A1085" s="275"/>
      <c r="B1085" s="78"/>
      <c r="C1085" s="189"/>
      <c r="D1085" s="185"/>
      <c r="E1085" s="186"/>
      <c r="F1085" s="187"/>
    </row>
    <row r="1086" spans="1:6" x14ac:dyDescent="0.2">
      <c r="A1086" s="275"/>
      <c r="B1086" s="78"/>
      <c r="C1086" s="189"/>
      <c r="D1086" s="185"/>
      <c r="E1086" s="186"/>
      <c r="F1086" s="187"/>
    </row>
    <row r="1087" spans="1:6" x14ac:dyDescent="0.2">
      <c r="A1087" s="275"/>
      <c r="B1087" s="78"/>
      <c r="C1087" s="189"/>
      <c r="D1087" s="185"/>
      <c r="E1087" s="186"/>
      <c r="F1087" s="187"/>
    </row>
    <row r="1088" spans="1:6" x14ac:dyDescent="0.2">
      <c r="A1088" s="275"/>
      <c r="B1088" s="78"/>
      <c r="C1088" s="189"/>
      <c r="D1088" s="185"/>
      <c r="E1088" s="186"/>
      <c r="F1088" s="187"/>
    </row>
    <row r="1089" spans="1:6" x14ac:dyDescent="0.2">
      <c r="A1089" s="275"/>
      <c r="B1089" s="78"/>
      <c r="C1089" s="189"/>
      <c r="D1089" s="185"/>
      <c r="E1089" s="186"/>
      <c r="F1089" s="187"/>
    </row>
    <row r="1090" spans="1:6" x14ac:dyDescent="0.2">
      <c r="A1090" s="275"/>
      <c r="B1090" s="78"/>
      <c r="C1090" s="189"/>
      <c r="D1090" s="185"/>
      <c r="E1090" s="186"/>
      <c r="F1090" s="187"/>
    </row>
    <row r="1091" spans="1:6" x14ac:dyDescent="0.2">
      <c r="A1091" s="275"/>
      <c r="B1091" s="78"/>
      <c r="C1091" s="189"/>
      <c r="D1091" s="185"/>
      <c r="E1091" s="186"/>
      <c r="F1091" s="187"/>
    </row>
    <row r="1092" spans="1:6" x14ac:dyDescent="0.2">
      <c r="A1092" s="275"/>
      <c r="B1092" s="78"/>
      <c r="C1092" s="189"/>
      <c r="D1092" s="185"/>
      <c r="E1092" s="186"/>
      <c r="F1092" s="187"/>
    </row>
    <row r="1093" spans="1:6" x14ac:dyDescent="0.2">
      <c r="A1093" s="275"/>
      <c r="B1093" s="78"/>
      <c r="C1093" s="189"/>
      <c r="D1093" s="185"/>
      <c r="E1093" s="186"/>
      <c r="F1093" s="187"/>
    </row>
    <row r="1094" spans="1:6" x14ac:dyDescent="0.2">
      <c r="A1094" s="275"/>
      <c r="B1094" s="78"/>
      <c r="C1094" s="189"/>
      <c r="D1094" s="185"/>
      <c r="E1094" s="186"/>
      <c r="F1094" s="187"/>
    </row>
    <row r="1095" spans="1:6" x14ac:dyDescent="0.2">
      <c r="A1095" s="275"/>
      <c r="B1095" s="78"/>
      <c r="C1095" s="189"/>
      <c r="D1095" s="185"/>
      <c r="E1095" s="186"/>
      <c r="F1095" s="187"/>
    </row>
    <row r="1096" spans="1:6" x14ac:dyDescent="0.2">
      <c r="A1096" s="275"/>
      <c r="B1096" s="78"/>
      <c r="C1096" s="189"/>
      <c r="D1096" s="185"/>
      <c r="E1096" s="186"/>
      <c r="F1096" s="187"/>
    </row>
    <row r="1097" spans="1:6" x14ac:dyDescent="0.2">
      <c r="A1097" s="275"/>
      <c r="B1097" s="78"/>
      <c r="C1097" s="189"/>
      <c r="D1097" s="185"/>
      <c r="E1097" s="186"/>
      <c r="F1097" s="187"/>
    </row>
    <row r="1098" spans="1:6" x14ac:dyDescent="0.2">
      <c r="A1098" s="275"/>
      <c r="B1098" s="78"/>
      <c r="C1098" s="189"/>
      <c r="D1098" s="185"/>
      <c r="E1098" s="186"/>
      <c r="F1098" s="187"/>
    </row>
    <row r="1099" spans="1:6" x14ac:dyDescent="0.2">
      <c r="A1099" s="275"/>
      <c r="B1099" s="78"/>
      <c r="C1099" s="189"/>
      <c r="D1099" s="185"/>
      <c r="E1099" s="186"/>
      <c r="F1099" s="187"/>
    </row>
    <row r="1100" spans="1:6" x14ac:dyDescent="0.2">
      <c r="A1100" s="275"/>
      <c r="B1100" s="78"/>
      <c r="C1100" s="189"/>
      <c r="D1100" s="185"/>
      <c r="E1100" s="186"/>
      <c r="F1100" s="187"/>
    </row>
    <row r="1101" spans="1:6" x14ac:dyDescent="0.2">
      <c r="A1101" s="275"/>
      <c r="B1101" s="78"/>
      <c r="C1101" s="189"/>
      <c r="D1101" s="185"/>
      <c r="E1101" s="186"/>
      <c r="F1101" s="187"/>
    </row>
    <row r="1102" spans="1:6" x14ac:dyDescent="0.2">
      <c r="A1102" s="275"/>
      <c r="B1102" s="78"/>
      <c r="C1102" s="189"/>
      <c r="D1102" s="185"/>
      <c r="E1102" s="186"/>
      <c r="F1102" s="187"/>
    </row>
    <row r="1103" spans="1:6" x14ac:dyDescent="0.2">
      <c r="A1103" s="275"/>
      <c r="B1103" s="78"/>
      <c r="C1103" s="189"/>
      <c r="D1103" s="185"/>
      <c r="E1103" s="186"/>
      <c r="F1103" s="187"/>
    </row>
    <row r="1104" spans="1:6" x14ac:dyDescent="0.2">
      <c r="A1104" s="275"/>
      <c r="B1104" s="78"/>
      <c r="C1104" s="189"/>
      <c r="D1104" s="185"/>
      <c r="E1104" s="186"/>
      <c r="F1104" s="187"/>
    </row>
    <row r="1105" spans="1:6" x14ac:dyDescent="0.2">
      <c r="A1105" s="275"/>
      <c r="B1105" s="78"/>
      <c r="C1105" s="189"/>
      <c r="D1105" s="185"/>
      <c r="E1105" s="186"/>
      <c r="F1105" s="187"/>
    </row>
    <row r="1106" spans="1:6" x14ac:dyDescent="0.2">
      <c r="A1106" s="275"/>
      <c r="B1106" s="78"/>
      <c r="C1106" s="189"/>
      <c r="D1106" s="185"/>
      <c r="E1106" s="186"/>
      <c r="F1106" s="187"/>
    </row>
    <row r="1107" spans="1:6" x14ac:dyDescent="0.2">
      <c r="A1107" s="275"/>
      <c r="B1107" s="78"/>
      <c r="C1107" s="189"/>
      <c r="D1107" s="185"/>
      <c r="E1107" s="186"/>
      <c r="F1107" s="187"/>
    </row>
    <row r="1108" spans="1:6" x14ac:dyDescent="0.2">
      <c r="A1108" s="275"/>
      <c r="B1108" s="78"/>
      <c r="C1108" s="189"/>
      <c r="D1108" s="185"/>
      <c r="E1108" s="186"/>
      <c r="F1108" s="187"/>
    </row>
    <row r="1109" spans="1:6" x14ac:dyDescent="0.2">
      <c r="A1109" s="275"/>
      <c r="B1109" s="78"/>
      <c r="C1109" s="189"/>
      <c r="D1109" s="185"/>
      <c r="E1109" s="186"/>
      <c r="F1109" s="187"/>
    </row>
    <row r="1110" spans="1:6" x14ac:dyDescent="0.2">
      <c r="A1110" s="275"/>
      <c r="B1110" s="78"/>
      <c r="C1110" s="189"/>
      <c r="D1110" s="185"/>
      <c r="E1110" s="186"/>
      <c r="F1110" s="187"/>
    </row>
    <row r="1111" spans="1:6" x14ac:dyDescent="0.2">
      <c r="A1111" s="275"/>
      <c r="B1111" s="78"/>
      <c r="C1111" s="189"/>
      <c r="D1111" s="185"/>
      <c r="E1111" s="186"/>
      <c r="F1111" s="187"/>
    </row>
    <row r="1112" spans="1:6" x14ac:dyDescent="0.2">
      <c r="A1112" s="275"/>
      <c r="B1112" s="78"/>
      <c r="C1112" s="189"/>
      <c r="D1112" s="185"/>
      <c r="E1112" s="186"/>
      <c r="F1112" s="187"/>
    </row>
    <row r="1113" spans="1:6" x14ac:dyDescent="0.2">
      <c r="A1113" s="275"/>
      <c r="B1113" s="78"/>
      <c r="C1113" s="189"/>
      <c r="D1113" s="185"/>
      <c r="E1113" s="186"/>
      <c r="F1113" s="187"/>
    </row>
    <row r="1114" spans="1:6" x14ac:dyDescent="0.2">
      <c r="A1114" s="275"/>
      <c r="B1114" s="78"/>
      <c r="C1114" s="189"/>
      <c r="D1114" s="185"/>
      <c r="E1114" s="186"/>
      <c r="F1114" s="187"/>
    </row>
    <row r="1115" spans="1:6" x14ac:dyDescent="0.2">
      <c r="A1115" s="275"/>
      <c r="B1115" s="78"/>
      <c r="C1115" s="189"/>
      <c r="D1115" s="185"/>
      <c r="E1115" s="186"/>
      <c r="F1115" s="187"/>
    </row>
    <row r="1116" spans="1:6" x14ac:dyDescent="0.2">
      <c r="A1116" s="275"/>
      <c r="B1116" s="78"/>
      <c r="C1116" s="189"/>
      <c r="D1116" s="185"/>
      <c r="E1116" s="186"/>
      <c r="F1116" s="187"/>
    </row>
    <row r="1117" spans="1:6" x14ac:dyDescent="0.2">
      <c r="A1117" s="275"/>
      <c r="B1117" s="78"/>
      <c r="C1117" s="189"/>
      <c r="D1117" s="185"/>
      <c r="E1117" s="186"/>
      <c r="F1117" s="187"/>
    </row>
    <row r="1118" spans="1:6" x14ac:dyDescent="0.2">
      <c r="A1118" s="275"/>
      <c r="B1118" s="78"/>
      <c r="C1118" s="189"/>
      <c r="D1118" s="185"/>
      <c r="E1118" s="186"/>
      <c r="F1118" s="187"/>
    </row>
    <row r="1119" spans="1:6" x14ac:dyDescent="0.2">
      <c r="A1119" s="275"/>
      <c r="B1119" s="78"/>
      <c r="C1119" s="189"/>
      <c r="D1119" s="185"/>
      <c r="E1119" s="186"/>
      <c r="F1119" s="187"/>
    </row>
    <row r="1120" spans="1:6" x14ac:dyDescent="0.2">
      <c r="A1120" s="275"/>
      <c r="B1120" s="78"/>
      <c r="C1120" s="189"/>
      <c r="D1120" s="185"/>
      <c r="E1120" s="186"/>
      <c r="F1120" s="187"/>
    </row>
    <row r="1121" spans="1:6" x14ac:dyDescent="0.2">
      <c r="A1121" s="275"/>
      <c r="B1121" s="78"/>
      <c r="C1121" s="189"/>
      <c r="D1121" s="185"/>
      <c r="E1121" s="186"/>
      <c r="F1121" s="187"/>
    </row>
    <row r="1122" spans="1:6" x14ac:dyDescent="0.2">
      <c r="A1122" s="275"/>
      <c r="B1122" s="78"/>
      <c r="C1122" s="189"/>
      <c r="D1122" s="185"/>
      <c r="E1122" s="186"/>
      <c r="F1122" s="187"/>
    </row>
    <row r="1123" spans="1:6" x14ac:dyDescent="0.2">
      <c r="A1123" s="275"/>
      <c r="B1123" s="78"/>
      <c r="C1123" s="189"/>
      <c r="D1123" s="185"/>
      <c r="E1123" s="186"/>
      <c r="F1123" s="187"/>
    </row>
    <row r="1124" spans="1:6" x14ac:dyDescent="0.2">
      <c r="A1124" s="275"/>
      <c r="B1124" s="78"/>
      <c r="C1124" s="189"/>
      <c r="D1124" s="185"/>
      <c r="E1124" s="186"/>
      <c r="F1124" s="187"/>
    </row>
    <row r="1125" spans="1:6" x14ac:dyDescent="0.2">
      <c r="A1125" s="275"/>
      <c r="B1125" s="78"/>
      <c r="C1125" s="189"/>
      <c r="D1125" s="185"/>
      <c r="E1125" s="186"/>
      <c r="F1125" s="187"/>
    </row>
    <row r="1126" spans="1:6" x14ac:dyDescent="0.2">
      <c r="A1126" s="275"/>
      <c r="B1126" s="78"/>
      <c r="C1126" s="189"/>
      <c r="D1126" s="185"/>
      <c r="E1126" s="186"/>
      <c r="F1126" s="187"/>
    </row>
    <row r="1127" spans="1:6" x14ac:dyDescent="0.2">
      <c r="A1127" s="275"/>
      <c r="B1127" s="78"/>
      <c r="C1127" s="189"/>
      <c r="D1127" s="185"/>
      <c r="E1127" s="186"/>
      <c r="F1127" s="187"/>
    </row>
    <row r="1128" spans="1:6" x14ac:dyDescent="0.2">
      <c r="A1128" s="275"/>
      <c r="B1128" s="78"/>
      <c r="C1128" s="189"/>
      <c r="D1128" s="185"/>
      <c r="E1128" s="186"/>
      <c r="F1128" s="187"/>
    </row>
    <row r="1129" spans="1:6" x14ac:dyDescent="0.2">
      <c r="A1129" s="275"/>
      <c r="B1129" s="78"/>
      <c r="C1129" s="189"/>
      <c r="D1129" s="185"/>
      <c r="E1129" s="186"/>
      <c r="F1129" s="187"/>
    </row>
    <row r="1130" spans="1:6" x14ac:dyDescent="0.2">
      <c r="A1130" s="275"/>
      <c r="B1130" s="78"/>
      <c r="C1130" s="189"/>
      <c r="D1130" s="185"/>
      <c r="E1130" s="186"/>
      <c r="F1130" s="187"/>
    </row>
    <row r="1131" spans="1:6" x14ac:dyDescent="0.2">
      <c r="A1131" s="275"/>
      <c r="B1131" s="78"/>
      <c r="C1131" s="189"/>
      <c r="D1131" s="185"/>
      <c r="E1131" s="186"/>
      <c r="F1131" s="187"/>
    </row>
    <row r="1132" spans="1:6" x14ac:dyDescent="0.2">
      <c r="A1132" s="275"/>
      <c r="B1132" s="78"/>
      <c r="C1132" s="189"/>
      <c r="D1132" s="185"/>
      <c r="E1132" s="186"/>
      <c r="F1132" s="187"/>
    </row>
    <row r="1133" spans="1:6" x14ac:dyDescent="0.2">
      <c r="A1133" s="275"/>
      <c r="B1133" s="78"/>
      <c r="C1133" s="189"/>
      <c r="D1133" s="185"/>
      <c r="E1133" s="186"/>
      <c r="F1133" s="187"/>
    </row>
    <row r="1134" spans="1:6" x14ac:dyDescent="0.2">
      <c r="A1134" s="275"/>
      <c r="B1134" s="78"/>
      <c r="C1134" s="189"/>
      <c r="D1134" s="185"/>
      <c r="E1134" s="186"/>
      <c r="F1134" s="187"/>
    </row>
    <row r="1135" spans="1:6" x14ac:dyDescent="0.2">
      <c r="A1135" s="275"/>
      <c r="B1135" s="78"/>
      <c r="C1135" s="189"/>
      <c r="D1135" s="185"/>
      <c r="E1135" s="186"/>
      <c r="F1135" s="187"/>
    </row>
    <row r="1136" spans="1:6" x14ac:dyDescent="0.2">
      <c r="A1136" s="275"/>
      <c r="B1136" s="78"/>
      <c r="C1136" s="189"/>
      <c r="D1136" s="185"/>
      <c r="E1136" s="186"/>
      <c r="F1136" s="187"/>
    </row>
    <row r="1137" spans="1:6" x14ac:dyDescent="0.2">
      <c r="A1137" s="275"/>
      <c r="B1137" s="78"/>
      <c r="C1137" s="189"/>
      <c r="D1137" s="185"/>
      <c r="E1137" s="186"/>
      <c r="F1137" s="187"/>
    </row>
    <row r="1138" spans="1:6" x14ac:dyDescent="0.2">
      <c r="A1138" s="275"/>
      <c r="B1138" s="78"/>
      <c r="C1138" s="189"/>
      <c r="D1138" s="185"/>
      <c r="E1138" s="186"/>
      <c r="F1138" s="187"/>
    </row>
    <row r="1139" spans="1:6" x14ac:dyDescent="0.2">
      <c r="A1139" s="275"/>
      <c r="B1139" s="78"/>
      <c r="C1139" s="189"/>
      <c r="D1139" s="185"/>
      <c r="E1139" s="186"/>
      <c r="F1139" s="187"/>
    </row>
    <row r="1140" spans="1:6" x14ac:dyDescent="0.2">
      <c r="A1140" s="275"/>
      <c r="B1140" s="78"/>
      <c r="C1140" s="189"/>
      <c r="D1140" s="185"/>
      <c r="E1140" s="186"/>
      <c r="F1140" s="187"/>
    </row>
    <row r="1141" spans="1:6" x14ac:dyDescent="0.2">
      <c r="A1141" s="275"/>
      <c r="B1141" s="78"/>
      <c r="C1141" s="189"/>
      <c r="D1141" s="185"/>
      <c r="E1141" s="186"/>
      <c r="F1141" s="187"/>
    </row>
    <row r="1142" spans="1:6" x14ac:dyDescent="0.2">
      <c r="A1142" s="275"/>
      <c r="B1142" s="78"/>
      <c r="C1142" s="189"/>
      <c r="D1142" s="185"/>
      <c r="E1142" s="186"/>
      <c r="F1142" s="187"/>
    </row>
    <row r="1143" spans="1:6" x14ac:dyDescent="0.2">
      <c r="A1143" s="275"/>
      <c r="B1143" s="78"/>
      <c r="C1143" s="189"/>
      <c r="D1143" s="185"/>
      <c r="E1143" s="186"/>
      <c r="F1143" s="187"/>
    </row>
    <row r="1144" spans="1:6" x14ac:dyDescent="0.2">
      <c r="A1144" s="275"/>
      <c r="B1144" s="78"/>
      <c r="C1144" s="189"/>
      <c r="D1144" s="185"/>
      <c r="E1144" s="186"/>
      <c r="F1144" s="187"/>
    </row>
    <row r="1145" spans="1:6" x14ac:dyDescent="0.2">
      <c r="A1145" s="275"/>
      <c r="B1145" s="78"/>
      <c r="C1145" s="189"/>
      <c r="D1145" s="185"/>
      <c r="E1145" s="186"/>
      <c r="F1145" s="187"/>
    </row>
    <row r="1146" spans="1:6" x14ac:dyDescent="0.2">
      <c r="A1146" s="275"/>
      <c r="B1146" s="78"/>
      <c r="C1146" s="189"/>
      <c r="D1146" s="185"/>
      <c r="E1146" s="186"/>
      <c r="F1146" s="187"/>
    </row>
    <row r="1147" spans="1:6" x14ac:dyDescent="0.2">
      <c r="A1147" s="275"/>
      <c r="B1147" s="78"/>
      <c r="C1147" s="189"/>
      <c r="D1147" s="185"/>
      <c r="E1147" s="186"/>
      <c r="F1147" s="187"/>
    </row>
    <row r="1148" spans="1:6" x14ac:dyDescent="0.2">
      <c r="A1148" s="275"/>
      <c r="B1148" s="78"/>
      <c r="C1148" s="189"/>
      <c r="D1148" s="185"/>
      <c r="E1148" s="186"/>
      <c r="F1148" s="187"/>
    </row>
    <row r="1149" spans="1:6" x14ac:dyDescent="0.2">
      <c r="A1149" s="275"/>
      <c r="B1149" s="78"/>
      <c r="C1149" s="189"/>
      <c r="D1149" s="185"/>
      <c r="E1149" s="186"/>
      <c r="F1149" s="187"/>
    </row>
    <row r="1150" spans="1:6" x14ac:dyDescent="0.2">
      <c r="A1150" s="275"/>
      <c r="B1150" s="78"/>
      <c r="C1150" s="189"/>
      <c r="D1150" s="185"/>
      <c r="E1150" s="186"/>
      <c r="F1150" s="187"/>
    </row>
    <row r="1151" spans="1:6" x14ac:dyDescent="0.2">
      <c r="A1151" s="275"/>
      <c r="B1151" s="78"/>
      <c r="C1151" s="189"/>
      <c r="D1151" s="185"/>
      <c r="E1151" s="186"/>
      <c r="F1151" s="187"/>
    </row>
    <row r="1152" spans="1:6" x14ac:dyDescent="0.2">
      <c r="A1152" s="275"/>
      <c r="B1152" s="78"/>
      <c r="C1152" s="189"/>
      <c r="D1152" s="185"/>
      <c r="E1152" s="186"/>
      <c r="F1152" s="187"/>
    </row>
    <row r="1153" spans="1:6" x14ac:dyDescent="0.2">
      <c r="A1153" s="275"/>
      <c r="B1153" s="78"/>
      <c r="C1153" s="189"/>
      <c r="D1153" s="185"/>
      <c r="E1153" s="186"/>
      <c r="F1153" s="187"/>
    </row>
    <row r="1154" spans="1:6" x14ac:dyDescent="0.2">
      <c r="A1154" s="275"/>
      <c r="B1154" s="78"/>
      <c r="C1154" s="189"/>
      <c r="D1154" s="185"/>
      <c r="E1154" s="186"/>
      <c r="F1154" s="187"/>
    </row>
    <row r="1155" spans="1:6" x14ac:dyDescent="0.2">
      <c r="A1155" s="275"/>
      <c r="B1155" s="78"/>
      <c r="C1155" s="189"/>
      <c r="D1155" s="185"/>
      <c r="E1155" s="186"/>
      <c r="F1155" s="187"/>
    </row>
    <row r="1156" spans="1:6" x14ac:dyDescent="0.2">
      <c r="A1156" s="275"/>
      <c r="B1156" s="78"/>
      <c r="C1156" s="189"/>
      <c r="D1156" s="185"/>
      <c r="E1156" s="186"/>
      <c r="F1156" s="187"/>
    </row>
    <row r="1157" spans="1:6" x14ac:dyDescent="0.2">
      <c r="A1157" s="275"/>
      <c r="B1157" s="78"/>
      <c r="C1157" s="189"/>
      <c r="D1157" s="185"/>
      <c r="E1157" s="186"/>
      <c r="F1157" s="187"/>
    </row>
    <row r="1158" spans="1:6" x14ac:dyDescent="0.2">
      <c r="A1158" s="275"/>
      <c r="B1158" s="78"/>
      <c r="C1158" s="189"/>
      <c r="D1158" s="185"/>
      <c r="E1158" s="186"/>
      <c r="F1158" s="187"/>
    </row>
    <row r="1159" spans="1:6" x14ac:dyDescent="0.2">
      <c r="A1159" s="275"/>
      <c r="B1159" s="78"/>
      <c r="C1159" s="189"/>
      <c r="D1159" s="185"/>
      <c r="E1159" s="186"/>
      <c r="F1159" s="187"/>
    </row>
    <row r="1160" spans="1:6" x14ac:dyDescent="0.2">
      <c r="A1160" s="275"/>
      <c r="B1160" s="78"/>
      <c r="C1160" s="189"/>
      <c r="D1160" s="185"/>
      <c r="E1160" s="186"/>
      <c r="F1160" s="187"/>
    </row>
    <row r="1161" spans="1:6" x14ac:dyDescent="0.2">
      <c r="A1161" s="275"/>
      <c r="B1161" s="78"/>
      <c r="C1161" s="189"/>
      <c r="D1161" s="185"/>
      <c r="E1161" s="186"/>
      <c r="F1161" s="187"/>
    </row>
    <row r="1162" spans="1:6" x14ac:dyDescent="0.2">
      <c r="A1162" s="275"/>
      <c r="B1162" s="78"/>
      <c r="C1162" s="189"/>
      <c r="D1162" s="185"/>
      <c r="E1162" s="186"/>
      <c r="F1162" s="187"/>
    </row>
    <row r="1163" spans="1:6" x14ac:dyDescent="0.2">
      <c r="A1163" s="275"/>
      <c r="B1163" s="78"/>
      <c r="C1163" s="189"/>
      <c r="D1163" s="185"/>
      <c r="E1163" s="186"/>
      <c r="F1163" s="187"/>
    </row>
    <row r="1164" spans="1:6" x14ac:dyDescent="0.2">
      <c r="A1164" s="275"/>
      <c r="B1164" s="78"/>
      <c r="C1164" s="189"/>
      <c r="D1164" s="185"/>
      <c r="E1164" s="186"/>
      <c r="F1164" s="187"/>
    </row>
    <row r="1165" spans="1:6" x14ac:dyDescent="0.2">
      <c r="A1165" s="275"/>
      <c r="B1165" s="78"/>
      <c r="C1165" s="189"/>
      <c r="D1165" s="185"/>
      <c r="E1165" s="186"/>
      <c r="F1165" s="187"/>
    </row>
    <row r="1166" spans="1:6" x14ac:dyDescent="0.2">
      <c r="A1166" s="275"/>
      <c r="B1166" s="78"/>
      <c r="C1166" s="189"/>
      <c r="D1166" s="185"/>
      <c r="E1166" s="186"/>
      <c r="F1166" s="187"/>
    </row>
    <row r="1167" spans="1:6" x14ac:dyDescent="0.2">
      <c r="A1167" s="275"/>
      <c r="B1167" s="78"/>
      <c r="C1167" s="189"/>
      <c r="D1167" s="185"/>
      <c r="E1167" s="186"/>
      <c r="F1167" s="187"/>
    </row>
    <row r="1168" spans="1:6" x14ac:dyDescent="0.2">
      <c r="A1168" s="275"/>
      <c r="B1168" s="78"/>
      <c r="C1168" s="189"/>
      <c r="D1168" s="185"/>
      <c r="E1168" s="186"/>
      <c r="F1168" s="187"/>
    </row>
    <row r="1169" spans="1:6" x14ac:dyDescent="0.2">
      <c r="A1169" s="275"/>
      <c r="B1169" s="78"/>
      <c r="C1169" s="189"/>
      <c r="D1169" s="185"/>
      <c r="E1169" s="186"/>
      <c r="F1169" s="187"/>
    </row>
    <row r="1170" spans="1:6" x14ac:dyDescent="0.2">
      <c r="A1170" s="275"/>
      <c r="B1170" s="78"/>
      <c r="C1170" s="189"/>
      <c r="D1170" s="185"/>
      <c r="E1170" s="186"/>
      <c r="F1170" s="187"/>
    </row>
    <row r="1171" spans="1:6" x14ac:dyDescent="0.2">
      <c r="A1171" s="275"/>
      <c r="B1171" s="78"/>
      <c r="C1171" s="189"/>
      <c r="D1171" s="185"/>
      <c r="E1171" s="186"/>
      <c r="F1171" s="187"/>
    </row>
    <row r="1172" spans="1:6" x14ac:dyDescent="0.2">
      <c r="A1172" s="275"/>
      <c r="B1172" s="78"/>
      <c r="C1172" s="189"/>
      <c r="D1172" s="185"/>
      <c r="E1172" s="186"/>
      <c r="F1172" s="187"/>
    </row>
    <row r="1173" spans="1:6" x14ac:dyDescent="0.2">
      <c r="A1173" s="275"/>
      <c r="B1173" s="78"/>
      <c r="C1173" s="189"/>
      <c r="D1173" s="185"/>
      <c r="E1173" s="186"/>
      <c r="F1173" s="187"/>
    </row>
    <row r="1174" spans="1:6" x14ac:dyDescent="0.2">
      <c r="A1174" s="275"/>
      <c r="B1174" s="78"/>
      <c r="C1174" s="189"/>
      <c r="D1174" s="185"/>
      <c r="E1174" s="186"/>
      <c r="F1174" s="187"/>
    </row>
    <row r="1175" spans="1:6" x14ac:dyDescent="0.2">
      <c r="A1175" s="275"/>
      <c r="B1175" s="78"/>
      <c r="C1175" s="189"/>
      <c r="D1175" s="185"/>
      <c r="E1175" s="186"/>
      <c r="F1175" s="187"/>
    </row>
    <row r="1176" spans="1:6" x14ac:dyDescent="0.2">
      <c r="A1176" s="275"/>
      <c r="B1176" s="78"/>
      <c r="C1176" s="189"/>
      <c r="D1176" s="185"/>
      <c r="E1176" s="186"/>
      <c r="F1176" s="187"/>
    </row>
    <row r="1177" spans="1:6" x14ac:dyDescent="0.2">
      <c r="A1177" s="275"/>
      <c r="B1177" s="78"/>
      <c r="C1177" s="189"/>
      <c r="D1177" s="185"/>
      <c r="E1177" s="186"/>
      <c r="F1177" s="187"/>
    </row>
    <row r="1178" spans="1:6" x14ac:dyDescent="0.2">
      <c r="A1178" s="275"/>
      <c r="B1178" s="78"/>
      <c r="C1178" s="189"/>
      <c r="D1178" s="185"/>
      <c r="E1178" s="186"/>
      <c r="F1178" s="187"/>
    </row>
    <row r="1179" spans="1:6" x14ac:dyDescent="0.2">
      <c r="A1179" s="275"/>
      <c r="B1179" s="78"/>
      <c r="C1179" s="189"/>
      <c r="D1179" s="185"/>
      <c r="E1179" s="186"/>
      <c r="F1179" s="187"/>
    </row>
    <row r="1180" spans="1:6" x14ac:dyDescent="0.2">
      <c r="A1180" s="275"/>
      <c r="B1180" s="78"/>
      <c r="C1180" s="189"/>
      <c r="D1180" s="185"/>
      <c r="E1180" s="186"/>
      <c r="F1180" s="187"/>
    </row>
    <row r="1181" spans="1:6" x14ac:dyDescent="0.2">
      <c r="A1181" s="275"/>
      <c r="B1181" s="78"/>
      <c r="C1181" s="189"/>
      <c r="D1181" s="185"/>
      <c r="E1181" s="186"/>
      <c r="F1181" s="187"/>
    </row>
    <row r="1182" spans="1:6" x14ac:dyDescent="0.2">
      <c r="A1182" s="275"/>
      <c r="B1182" s="78"/>
      <c r="C1182" s="189"/>
      <c r="D1182" s="185"/>
      <c r="E1182" s="186"/>
      <c r="F1182" s="187"/>
    </row>
    <row r="1183" spans="1:6" x14ac:dyDescent="0.2">
      <c r="A1183" s="275"/>
      <c r="B1183" s="78"/>
      <c r="C1183" s="189"/>
      <c r="D1183" s="185"/>
      <c r="E1183" s="186"/>
      <c r="F1183" s="187"/>
    </row>
    <row r="1184" spans="1:6" x14ac:dyDescent="0.2">
      <c r="A1184" s="275"/>
      <c r="B1184" s="78"/>
      <c r="C1184" s="189"/>
      <c r="D1184" s="185"/>
      <c r="E1184" s="186"/>
      <c r="F1184" s="187"/>
    </row>
    <row r="1185" spans="1:6" x14ac:dyDescent="0.2">
      <c r="A1185" s="275"/>
      <c r="B1185" s="78"/>
      <c r="C1185" s="189"/>
      <c r="D1185" s="185"/>
      <c r="E1185" s="186"/>
      <c r="F1185" s="187"/>
    </row>
    <row r="1186" spans="1:6" x14ac:dyDescent="0.2">
      <c r="A1186" s="275"/>
      <c r="B1186" s="78"/>
      <c r="C1186" s="189"/>
      <c r="D1186" s="185"/>
      <c r="E1186" s="186"/>
      <c r="F1186" s="187"/>
    </row>
    <row r="1187" spans="1:6" x14ac:dyDescent="0.2">
      <c r="A1187" s="275"/>
      <c r="B1187" s="78"/>
      <c r="C1187" s="189"/>
      <c r="D1187" s="185"/>
      <c r="E1187" s="186"/>
      <c r="F1187" s="187"/>
    </row>
    <row r="1188" spans="1:6" x14ac:dyDescent="0.2">
      <c r="A1188" s="275"/>
      <c r="B1188" s="78"/>
      <c r="C1188" s="189"/>
      <c r="D1188" s="185"/>
      <c r="E1188" s="186"/>
      <c r="F1188" s="187"/>
    </row>
    <row r="1189" spans="1:6" x14ac:dyDescent="0.2">
      <c r="A1189" s="275"/>
      <c r="B1189" s="78"/>
      <c r="C1189" s="189"/>
      <c r="D1189" s="185"/>
      <c r="E1189" s="186"/>
      <c r="F1189" s="187"/>
    </row>
    <row r="1190" spans="1:6" x14ac:dyDescent="0.2">
      <c r="A1190" s="275"/>
      <c r="B1190" s="78"/>
      <c r="C1190" s="189"/>
      <c r="D1190" s="185"/>
      <c r="E1190" s="186"/>
      <c r="F1190" s="187"/>
    </row>
    <row r="1191" spans="1:6" x14ac:dyDescent="0.2">
      <c r="A1191" s="275"/>
      <c r="B1191" s="78"/>
      <c r="C1191" s="189"/>
      <c r="D1191" s="185"/>
      <c r="E1191" s="186"/>
      <c r="F1191" s="187"/>
    </row>
    <row r="1192" spans="1:6" x14ac:dyDescent="0.2">
      <c r="A1192" s="275"/>
      <c r="B1192" s="78"/>
      <c r="C1192" s="189"/>
      <c r="D1192" s="185"/>
      <c r="E1192" s="186"/>
      <c r="F1192" s="187"/>
    </row>
    <row r="1193" spans="1:6" x14ac:dyDescent="0.2">
      <c r="A1193" s="275"/>
      <c r="B1193" s="78"/>
      <c r="C1193" s="189"/>
      <c r="D1193" s="185"/>
      <c r="E1193" s="186"/>
      <c r="F1193" s="187"/>
    </row>
    <row r="1194" spans="1:6" x14ac:dyDescent="0.2">
      <c r="A1194" s="275"/>
      <c r="B1194" s="78"/>
      <c r="C1194" s="189"/>
      <c r="D1194" s="185"/>
      <c r="E1194" s="186"/>
      <c r="F1194" s="187"/>
    </row>
    <row r="1195" spans="1:6" x14ac:dyDescent="0.2">
      <c r="A1195" s="275"/>
      <c r="B1195" s="78"/>
      <c r="C1195" s="189"/>
      <c r="D1195" s="185"/>
      <c r="E1195" s="186"/>
      <c r="F1195" s="187"/>
    </row>
    <row r="1196" spans="1:6" x14ac:dyDescent="0.2">
      <c r="A1196" s="275"/>
      <c r="B1196" s="78"/>
      <c r="C1196" s="189"/>
      <c r="D1196" s="185"/>
      <c r="E1196" s="186"/>
      <c r="F1196" s="187"/>
    </row>
    <row r="1197" spans="1:6" x14ac:dyDescent="0.2">
      <c r="A1197" s="275"/>
      <c r="B1197" s="78"/>
      <c r="C1197" s="189"/>
      <c r="D1197" s="185"/>
      <c r="E1197" s="186"/>
      <c r="F1197" s="187"/>
    </row>
    <row r="1198" spans="1:6" x14ac:dyDescent="0.2">
      <c r="A1198" s="275"/>
      <c r="B1198" s="78"/>
      <c r="C1198" s="189"/>
      <c r="D1198" s="185"/>
      <c r="E1198" s="186"/>
      <c r="F1198" s="187"/>
    </row>
    <row r="1199" spans="1:6" x14ac:dyDescent="0.2">
      <c r="A1199" s="275"/>
      <c r="B1199" s="78"/>
      <c r="C1199" s="189"/>
      <c r="D1199" s="185"/>
      <c r="E1199" s="186"/>
      <c r="F1199" s="187"/>
    </row>
    <row r="1200" spans="1:6" x14ac:dyDescent="0.2">
      <c r="A1200" s="275"/>
      <c r="B1200" s="78"/>
      <c r="C1200" s="189"/>
      <c r="D1200" s="185"/>
      <c r="E1200" s="186"/>
      <c r="F1200" s="187"/>
    </row>
    <row r="1201" spans="1:6" x14ac:dyDescent="0.2">
      <c r="A1201" s="275"/>
      <c r="B1201" s="78"/>
      <c r="C1201" s="189"/>
      <c r="D1201" s="185"/>
      <c r="E1201" s="186"/>
      <c r="F1201" s="187"/>
    </row>
    <row r="1202" spans="1:6" x14ac:dyDescent="0.2">
      <c r="A1202" s="275"/>
      <c r="B1202" s="78"/>
      <c r="C1202" s="189"/>
      <c r="D1202" s="185"/>
      <c r="E1202" s="186"/>
      <c r="F1202" s="187"/>
    </row>
    <row r="1203" spans="1:6" x14ac:dyDescent="0.2">
      <c r="A1203" s="275"/>
      <c r="B1203" s="78"/>
      <c r="C1203" s="189"/>
      <c r="D1203" s="185"/>
      <c r="E1203" s="186"/>
      <c r="F1203" s="187"/>
    </row>
    <row r="1204" spans="1:6" x14ac:dyDescent="0.2">
      <c r="A1204" s="275"/>
      <c r="B1204" s="78"/>
      <c r="C1204" s="189"/>
      <c r="D1204" s="185"/>
      <c r="E1204" s="186"/>
      <c r="F1204" s="187"/>
    </row>
    <row r="1205" spans="1:6" x14ac:dyDescent="0.2">
      <c r="A1205" s="275"/>
      <c r="B1205" s="78"/>
      <c r="C1205" s="189"/>
      <c r="D1205" s="185"/>
      <c r="E1205" s="186"/>
      <c r="F1205" s="187"/>
    </row>
    <row r="1206" spans="1:6" x14ac:dyDescent="0.2">
      <c r="A1206" s="275"/>
      <c r="B1206" s="78"/>
      <c r="C1206" s="189"/>
      <c r="D1206" s="185"/>
      <c r="E1206" s="186"/>
      <c r="F1206" s="187"/>
    </row>
    <row r="1207" spans="1:6" x14ac:dyDescent="0.2">
      <c r="A1207" s="275"/>
      <c r="B1207" s="78"/>
      <c r="C1207" s="189"/>
      <c r="D1207" s="185"/>
      <c r="E1207" s="186"/>
      <c r="F1207" s="187"/>
    </row>
    <row r="1208" spans="1:6" x14ac:dyDescent="0.2">
      <c r="A1208" s="275"/>
      <c r="B1208" s="78"/>
      <c r="C1208" s="189"/>
      <c r="D1208" s="185"/>
      <c r="E1208" s="186"/>
      <c r="F1208" s="187"/>
    </row>
    <row r="1209" spans="1:6" x14ac:dyDescent="0.2">
      <c r="A1209" s="275"/>
      <c r="B1209" s="78"/>
      <c r="C1209" s="189"/>
      <c r="D1209" s="185"/>
      <c r="E1209" s="186"/>
      <c r="F1209" s="187"/>
    </row>
    <row r="1210" spans="1:6" x14ac:dyDescent="0.2">
      <c r="A1210" s="275"/>
      <c r="B1210" s="78"/>
      <c r="C1210" s="189"/>
      <c r="D1210" s="185"/>
      <c r="E1210" s="186"/>
      <c r="F1210" s="187"/>
    </row>
    <row r="1211" spans="1:6" x14ac:dyDescent="0.2">
      <c r="A1211" s="275"/>
      <c r="B1211" s="78"/>
      <c r="C1211" s="189"/>
      <c r="D1211" s="185"/>
      <c r="E1211" s="186"/>
      <c r="F1211" s="187"/>
    </row>
    <row r="1212" spans="1:6" x14ac:dyDescent="0.2">
      <c r="A1212" s="275"/>
      <c r="B1212" s="78"/>
      <c r="C1212" s="189"/>
      <c r="D1212" s="185"/>
      <c r="E1212" s="186"/>
      <c r="F1212" s="187"/>
    </row>
    <row r="1213" spans="1:6" x14ac:dyDescent="0.2">
      <c r="A1213" s="275"/>
      <c r="B1213" s="78"/>
      <c r="C1213" s="189"/>
      <c r="D1213" s="185"/>
      <c r="E1213" s="186"/>
      <c r="F1213" s="187"/>
    </row>
    <row r="1214" spans="1:6" x14ac:dyDescent="0.2">
      <c r="A1214" s="275"/>
      <c r="B1214" s="78"/>
      <c r="C1214" s="189"/>
      <c r="D1214" s="185"/>
      <c r="E1214" s="186"/>
      <c r="F1214" s="187"/>
    </row>
    <row r="1215" spans="1:6" x14ac:dyDescent="0.2">
      <c r="A1215" s="275"/>
      <c r="B1215" s="78"/>
      <c r="C1215" s="189"/>
      <c r="D1215" s="185"/>
      <c r="E1215" s="186"/>
      <c r="F1215" s="187"/>
    </row>
    <row r="1216" spans="1:6" x14ac:dyDescent="0.2">
      <c r="A1216" s="275"/>
      <c r="B1216" s="78"/>
      <c r="C1216" s="189"/>
      <c r="D1216" s="185"/>
      <c r="E1216" s="186"/>
      <c r="F1216" s="187"/>
    </row>
    <row r="1217" spans="1:6" x14ac:dyDescent="0.2">
      <c r="A1217" s="275"/>
      <c r="B1217" s="78"/>
      <c r="C1217" s="189"/>
      <c r="D1217" s="185"/>
      <c r="E1217" s="186"/>
      <c r="F1217" s="187"/>
    </row>
    <row r="1218" spans="1:6" x14ac:dyDescent="0.2">
      <c r="A1218" s="275"/>
      <c r="B1218" s="78"/>
      <c r="C1218" s="189"/>
      <c r="D1218" s="185"/>
      <c r="E1218" s="186"/>
      <c r="F1218" s="187"/>
    </row>
    <row r="1219" spans="1:6" x14ac:dyDescent="0.2">
      <c r="A1219" s="275"/>
      <c r="B1219" s="78"/>
      <c r="C1219" s="189"/>
      <c r="D1219" s="185"/>
      <c r="E1219" s="186"/>
      <c r="F1219" s="187"/>
    </row>
    <row r="1220" spans="1:6" x14ac:dyDescent="0.2">
      <c r="A1220" s="275"/>
      <c r="B1220" s="78"/>
      <c r="C1220" s="189"/>
      <c r="D1220" s="185"/>
      <c r="E1220" s="186"/>
      <c r="F1220" s="187"/>
    </row>
    <row r="1221" spans="1:6" x14ac:dyDescent="0.2">
      <c r="A1221" s="275"/>
      <c r="B1221" s="78"/>
      <c r="C1221" s="189"/>
      <c r="D1221" s="185"/>
      <c r="E1221" s="186"/>
      <c r="F1221" s="187"/>
    </row>
    <row r="1222" spans="1:6" x14ac:dyDescent="0.2">
      <c r="A1222" s="275"/>
      <c r="B1222" s="78"/>
      <c r="C1222" s="189"/>
      <c r="D1222" s="185"/>
      <c r="E1222" s="186"/>
      <c r="F1222" s="187"/>
    </row>
    <row r="1223" spans="1:6" x14ac:dyDescent="0.2">
      <c r="A1223" s="275"/>
      <c r="B1223" s="78"/>
      <c r="C1223" s="189"/>
      <c r="D1223" s="185"/>
      <c r="E1223" s="186"/>
      <c r="F1223" s="187"/>
    </row>
    <row r="1224" spans="1:6" x14ac:dyDescent="0.2">
      <c r="A1224" s="275"/>
      <c r="B1224" s="78"/>
      <c r="C1224" s="189"/>
      <c r="D1224" s="185"/>
      <c r="E1224" s="186"/>
      <c r="F1224" s="187"/>
    </row>
    <row r="1225" spans="1:6" x14ac:dyDescent="0.2">
      <c r="A1225" s="275"/>
      <c r="B1225" s="78"/>
      <c r="C1225" s="189"/>
      <c r="D1225" s="185"/>
      <c r="E1225" s="186"/>
      <c r="F1225" s="187"/>
    </row>
    <row r="1226" spans="1:6" x14ac:dyDescent="0.2">
      <c r="A1226" s="275"/>
      <c r="B1226" s="78"/>
      <c r="C1226" s="189"/>
      <c r="D1226" s="185"/>
      <c r="E1226" s="186"/>
      <c r="F1226" s="187"/>
    </row>
    <row r="1227" spans="1:6" x14ac:dyDescent="0.2">
      <c r="A1227" s="275"/>
      <c r="B1227" s="78"/>
      <c r="C1227" s="189"/>
      <c r="D1227" s="185"/>
      <c r="E1227" s="186"/>
      <c r="F1227" s="187"/>
    </row>
    <row r="1228" spans="1:6" x14ac:dyDescent="0.2">
      <c r="A1228" s="275"/>
      <c r="B1228" s="78"/>
      <c r="C1228" s="189"/>
      <c r="D1228" s="185"/>
      <c r="E1228" s="186"/>
      <c r="F1228" s="187"/>
    </row>
    <row r="1229" spans="1:6" x14ac:dyDescent="0.2">
      <c r="A1229" s="275"/>
      <c r="B1229" s="78"/>
      <c r="C1229" s="189"/>
      <c r="D1229" s="185"/>
      <c r="E1229" s="186"/>
      <c r="F1229" s="187"/>
    </row>
    <row r="1230" spans="1:6" x14ac:dyDescent="0.2">
      <c r="A1230" s="275"/>
      <c r="B1230" s="78"/>
      <c r="C1230" s="189"/>
      <c r="D1230" s="185"/>
      <c r="E1230" s="186"/>
      <c r="F1230" s="187"/>
    </row>
    <row r="1231" spans="1:6" x14ac:dyDescent="0.2">
      <c r="A1231" s="275"/>
      <c r="B1231" s="78"/>
      <c r="C1231" s="189"/>
      <c r="D1231" s="185"/>
      <c r="E1231" s="186"/>
      <c r="F1231" s="187"/>
    </row>
    <row r="1232" spans="1:6" x14ac:dyDescent="0.2">
      <c r="A1232" s="275"/>
      <c r="B1232" s="78"/>
      <c r="C1232" s="189"/>
      <c r="D1232" s="185"/>
      <c r="E1232" s="186"/>
      <c r="F1232" s="187"/>
    </row>
    <row r="1233" spans="1:6" x14ac:dyDescent="0.2">
      <c r="A1233" s="275"/>
      <c r="B1233" s="78"/>
      <c r="C1233" s="189"/>
      <c r="D1233" s="185"/>
      <c r="E1233" s="186"/>
      <c r="F1233" s="187"/>
    </row>
    <row r="1234" spans="1:6" x14ac:dyDescent="0.2">
      <c r="A1234" s="275"/>
      <c r="B1234" s="78"/>
      <c r="C1234" s="189"/>
      <c r="D1234" s="185"/>
      <c r="E1234" s="186"/>
      <c r="F1234" s="187"/>
    </row>
    <row r="1235" spans="1:6" x14ac:dyDescent="0.2">
      <c r="A1235" s="275"/>
      <c r="B1235" s="78"/>
      <c r="C1235" s="189"/>
      <c r="D1235" s="185"/>
      <c r="E1235" s="186"/>
      <c r="F1235" s="187"/>
    </row>
    <row r="1236" spans="1:6" x14ac:dyDescent="0.2">
      <c r="A1236" s="275"/>
      <c r="B1236" s="78"/>
      <c r="C1236" s="189"/>
      <c r="D1236" s="185"/>
      <c r="E1236" s="186"/>
      <c r="F1236" s="187"/>
    </row>
    <row r="1237" spans="1:6" x14ac:dyDescent="0.2">
      <c r="A1237" s="275"/>
      <c r="B1237" s="78"/>
      <c r="C1237" s="189"/>
      <c r="D1237" s="185"/>
      <c r="E1237" s="186"/>
      <c r="F1237" s="187"/>
    </row>
    <row r="1238" spans="1:6" x14ac:dyDescent="0.2">
      <c r="A1238" s="275"/>
      <c r="B1238" s="78"/>
      <c r="C1238" s="189"/>
      <c r="D1238" s="185"/>
      <c r="E1238" s="186"/>
      <c r="F1238" s="187"/>
    </row>
    <row r="1239" spans="1:6" x14ac:dyDescent="0.2">
      <c r="A1239" s="275"/>
      <c r="B1239" s="78"/>
      <c r="C1239" s="189"/>
      <c r="D1239" s="185"/>
      <c r="E1239" s="186"/>
      <c r="F1239" s="187"/>
    </row>
    <row r="1240" spans="1:6" x14ac:dyDescent="0.2">
      <c r="A1240" s="275"/>
      <c r="B1240" s="78"/>
      <c r="C1240" s="189"/>
      <c r="D1240" s="185"/>
      <c r="E1240" s="186"/>
      <c r="F1240" s="187"/>
    </row>
    <row r="1241" spans="1:6" x14ac:dyDescent="0.2">
      <c r="A1241" s="275"/>
      <c r="B1241" s="78"/>
      <c r="C1241" s="189"/>
      <c r="D1241" s="185"/>
      <c r="E1241" s="186"/>
      <c r="F1241" s="187"/>
    </row>
    <row r="1242" spans="1:6" x14ac:dyDescent="0.2">
      <c r="A1242" s="275"/>
      <c r="B1242" s="78"/>
      <c r="C1242" s="189"/>
      <c r="D1242" s="185"/>
      <c r="E1242" s="186"/>
      <c r="F1242" s="187"/>
    </row>
    <row r="1243" spans="1:6" x14ac:dyDescent="0.2">
      <c r="A1243" s="275"/>
      <c r="B1243" s="78"/>
      <c r="C1243" s="189"/>
      <c r="D1243" s="185"/>
      <c r="E1243" s="186"/>
      <c r="F1243" s="187"/>
    </row>
    <row r="1244" spans="1:6" x14ac:dyDescent="0.2">
      <c r="A1244" s="275"/>
      <c r="B1244" s="78"/>
      <c r="C1244" s="189"/>
      <c r="D1244" s="185"/>
      <c r="E1244" s="186"/>
      <c r="F1244" s="187"/>
    </row>
    <row r="1245" spans="1:6" x14ac:dyDescent="0.2">
      <c r="A1245" s="275"/>
      <c r="B1245" s="78"/>
      <c r="C1245" s="189"/>
      <c r="D1245" s="185"/>
      <c r="E1245" s="186"/>
      <c r="F1245" s="187"/>
    </row>
    <row r="1246" spans="1:6" x14ac:dyDescent="0.2">
      <c r="A1246" s="275"/>
      <c r="B1246" s="78"/>
      <c r="C1246" s="189"/>
      <c r="D1246" s="185"/>
      <c r="E1246" s="186"/>
      <c r="F1246" s="187"/>
    </row>
    <row r="1247" spans="1:6" x14ac:dyDescent="0.2">
      <c r="A1247" s="275"/>
      <c r="B1247" s="78"/>
      <c r="C1247" s="189"/>
      <c r="D1247" s="185"/>
      <c r="E1247" s="186"/>
      <c r="F1247" s="187"/>
    </row>
    <row r="1248" spans="1:6" x14ac:dyDescent="0.2">
      <c r="A1248" s="275"/>
      <c r="B1248" s="78"/>
      <c r="C1248" s="189"/>
      <c r="D1248" s="185"/>
      <c r="E1248" s="186"/>
      <c r="F1248" s="187"/>
    </row>
    <row r="1249" spans="1:6" x14ac:dyDescent="0.2">
      <c r="A1249" s="275"/>
      <c r="B1249" s="78"/>
      <c r="C1249" s="189"/>
      <c r="D1249" s="185"/>
      <c r="E1249" s="186"/>
      <c r="F1249" s="187"/>
    </row>
    <row r="1250" spans="1:6" x14ac:dyDescent="0.2">
      <c r="A1250" s="275"/>
      <c r="B1250" s="78"/>
      <c r="C1250" s="189"/>
      <c r="D1250" s="185"/>
      <c r="E1250" s="186"/>
      <c r="F1250" s="187"/>
    </row>
    <row r="1251" spans="1:6" x14ac:dyDescent="0.2">
      <c r="A1251" s="275"/>
      <c r="B1251" s="78"/>
      <c r="C1251" s="189"/>
      <c r="D1251" s="185"/>
      <c r="E1251" s="186"/>
      <c r="F1251" s="187"/>
    </row>
    <row r="1252" spans="1:6" x14ac:dyDescent="0.2">
      <c r="A1252" s="275"/>
      <c r="B1252" s="78"/>
      <c r="C1252" s="189"/>
      <c r="D1252" s="185"/>
      <c r="E1252" s="186"/>
      <c r="F1252" s="187"/>
    </row>
    <row r="1253" spans="1:6" x14ac:dyDescent="0.2">
      <c r="A1253" s="275"/>
      <c r="B1253" s="78"/>
      <c r="C1253" s="189"/>
      <c r="D1253" s="185"/>
      <c r="E1253" s="186"/>
      <c r="F1253" s="187"/>
    </row>
    <row r="1254" spans="1:6" x14ac:dyDescent="0.2">
      <c r="A1254" s="275"/>
      <c r="B1254" s="78"/>
      <c r="C1254" s="189"/>
      <c r="D1254" s="185"/>
      <c r="E1254" s="186"/>
      <c r="F1254" s="187"/>
    </row>
    <row r="1255" spans="1:6" x14ac:dyDescent="0.2">
      <c r="A1255" s="275"/>
      <c r="B1255" s="78"/>
      <c r="C1255" s="189"/>
      <c r="D1255" s="185"/>
      <c r="E1255" s="186"/>
      <c r="F1255" s="187"/>
    </row>
    <row r="1256" spans="1:6" x14ac:dyDescent="0.2">
      <c r="A1256" s="275"/>
      <c r="B1256" s="78"/>
      <c r="C1256" s="189"/>
      <c r="D1256" s="185"/>
      <c r="E1256" s="186"/>
      <c r="F1256" s="187"/>
    </row>
    <row r="1257" spans="1:6" x14ac:dyDescent="0.2">
      <c r="A1257" s="275"/>
      <c r="B1257" s="78"/>
      <c r="C1257" s="189"/>
      <c r="D1257" s="185"/>
      <c r="E1257" s="186"/>
      <c r="F1257" s="187"/>
    </row>
    <row r="1258" spans="1:6" x14ac:dyDescent="0.2">
      <c r="A1258" s="275"/>
      <c r="B1258" s="78"/>
      <c r="C1258" s="189"/>
      <c r="D1258" s="185"/>
      <c r="E1258" s="186"/>
      <c r="F1258" s="187"/>
    </row>
    <row r="1259" spans="1:6" x14ac:dyDescent="0.2">
      <c r="A1259" s="275"/>
      <c r="B1259" s="78"/>
      <c r="C1259" s="189"/>
      <c r="D1259" s="185"/>
      <c r="E1259" s="186"/>
      <c r="F1259" s="187"/>
    </row>
    <row r="1260" spans="1:6" x14ac:dyDescent="0.2">
      <c r="A1260" s="275"/>
      <c r="B1260" s="78"/>
      <c r="C1260" s="189"/>
      <c r="D1260" s="185"/>
      <c r="E1260" s="186"/>
      <c r="F1260" s="187"/>
    </row>
    <row r="1261" spans="1:6" x14ac:dyDescent="0.2">
      <c r="A1261" s="275"/>
      <c r="B1261" s="78"/>
      <c r="C1261" s="189"/>
      <c r="D1261" s="185"/>
      <c r="E1261" s="186"/>
      <c r="F1261" s="187"/>
    </row>
    <row r="1262" spans="1:6" x14ac:dyDescent="0.2">
      <c r="A1262" s="275"/>
      <c r="B1262" s="78"/>
      <c r="C1262" s="189"/>
      <c r="D1262" s="185"/>
      <c r="E1262" s="186"/>
      <c r="F1262" s="187"/>
    </row>
    <row r="1263" spans="1:6" x14ac:dyDescent="0.2">
      <c r="A1263" s="275"/>
      <c r="B1263" s="78"/>
      <c r="C1263" s="189"/>
      <c r="D1263" s="185"/>
      <c r="E1263" s="186"/>
      <c r="F1263" s="187"/>
    </row>
    <row r="1264" spans="1:6" x14ac:dyDescent="0.2">
      <c r="A1264" s="275"/>
      <c r="B1264" s="78"/>
      <c r="C1264" s="189"/>
      <c r="D1264" s="185"/>
      <c r="E1264" s="186"/>
      <c r="F1264" s="187"/>
    </row>
    <row r="1265" spans="1:6" x14ac:dyDescent="0.2">
      <c r="A1265" s="275"/>
      <c r="B1265" s="78"/>
      <c r="C1265" s="189"/>
      <c r="D1265" s="185"/>
      <c r="E1265" s="186"/>
      <c r="F1265" s="187"/>
    </row>
    <row r="1266" spans="1:6" x14ac:dyDescent="0.2">
      <c r="A1266" s="275"/>
      <c r="B1266" s="78"/>
      <c r="C1266" s="189"/>
      <c r="D1266" s="185"/>
      <c r="E1266" s="186"/>
      <c r="F1266" s="187"/>
    </row>
    <row r="1267" spans="1:6" x14ac:dyDescent="0.2">
      <c r="A1267" s="275"/>
      <c r="B1267" s="78"/>
      <c r="C1267" s="189"/>
      <c r="D1267" s="185"/>
      <c r="E1267" s="186"/>
      <c r="F1267" s="187"/>
    </row>
    <row r="1268" spans="1:6" x14ac:dyDescent="0.2">
      <c r="A1268" s="275"/>
      <c r="B1268" s="78"/>
      <c r="C1268" s="189"/>
      <c r="D1268" s="185"/>
      <c r="E1268" s="186"/>
      <c r="F1268" s="187"/>
    </row>
    <row r="1269" spans="1:6" x14ac:dyDescent="0.2">
      <c r="A1269" s="275"/>
      <c r="B1269" s="78"/>
      <c r="C1269" s="189"/>
      <c r="D1269" s="185"/>
      <c r="E1269" s="186"/>
      <c r="F1269" s="187"/>
    </row>
    <row r="1270" spans="1:6" x14ac:dyDescent="0.2">
      <c r="A1270" s="275"/>
      <c r="B1270" s="78"/>
      <c r="C1270" s="189"/>
      <c r="D1270" s="185"/>
      <c r="E1270" s="186"/>
      <c r="F1270" s="187"/>
    </row>
    <row r="1271" spans="1:6" x14ac:dyDescent="0.2">
      <c r="A1271" s="275"/>
      <c r="B1271" s="78"/>
      <c r="C1271" s="189"/>
      <c r="D1271" s="185"/>
      <c r="E1271" s="186"/>
      <c r="F1271" s="187"/>
    </row>
    <row r="1272" spans="1:6" x14ac:dyDescent="0.2">
      <c r="A1272" s="275"/>
      <c r="B1272" s="78"/>
      <c r="C1272" s="189"/>
      <c r="D1272" s="185"/>
      <c r="E1272" s="186"/>
      <c r="F1272" s="187"/>
    </row>
    <row r="1273" spans="1:6" x14ac:dyDescent="0.2">
      <c r="A1273" s="275"/>
      <c r="B1273" s="78"/>
      <c r="C1273" s="189"/>
      <c r="D1273" s="185"/>
      <c r="E1273" s="186"/>
      <c r="F1273" s="187"/>
    </row>
    <row r="1274" spans="1:6" x14ac:dyDescent="0.2">
      <c r="A1274" s="275"/>
      <c r="B1274" s="78"/>
      <c r="C1274" s="189"/>
      <c r="D1274" s="185"/>
      <c r="E1274" s="186"/>
      <c r="F1274" s="187"/>
    </row>
    <row r="1275" spans="1:6" x14ac:dyDescent="0.2">
      <c r="A1275" s="275"/>
      <c r="B1275" s="78"/>
      <c r="C1275" s="189"/>
      <c r="D1275" s="185"/>
      <c r="E1275" s="186"/>
      <c r="F1275" s="187"/>
    </row>
    <row r="1276" spans="1:6" x14ac:dyDescent="0.2">
      <c r="A1276" s="275"/>
      <c r="B1276" s="78"/>
      <c r="C1276" s="189"/>
      <c r="D1276" s="185"/>
      <c r="E1276" s="186"/>
      <c r="F1276" s="187"/>
    </row>
    <row r="1277" spans="1:6" x14ac:dyDescent="0.2">
      <c r="A1277" s="275"/>
      <c r="B1277" s="78"/>
      <c r="C1277" s="189"/>
      <c r="D1277" s="185"/>
      <c r="E1277" s="186"/>
      <c r="F1277" s="187"/>
    </row>
    <row r="1278" spans="1:6" x14ac:dyDescent="0.2">
      <c r="A1278" s="275"/>
      <c r="B1278" s="78"/>
      <c r="C1278" s="189"/>
      <c r="D1278" s="185"/>
      <c r="E1278" s="186"/>
      <c r="F1278" s="187"/>
    </row>
    <row r="1279" spans="1:6" x14ac:dyDescent="0.2">
      <c r="A1279" s="275"/>
      <c r="B1279" s="78"/>
      <c r="C1279" s="189"/>
      <c r="D1279" s="185"/>
      <c r="E1279" s="186"/>
      <c r="F1279" s="187"/>
    </row>
    <row r="1280" spans="1:6" x14ac:dyDescent="0.2">
      <c r="A1280" s="275"/>
      <c r="B1280" s="78"/>
      <c r="C1280" s="189"/>
      <c r="D1280" s="185"/>
      <c r="E1280" s="186"/>
      <c r="F1280" s="187"/>
    </row>
    <row r="1281" spans="1:6" x14ac:dyDescent="0.2">
      <c r="A1281" s="275"/>
      <c r="B1281" s="78"/>
      <c r="C1281" s="189"/>
      <c r="D1281" s="185"/>
      <c r="E1281" s="186"/>
      <c r="F1281" s="187"/>
    </row>
    <row r="1282" spans="1:6" x14ac:dyDescent="0.2">
      <c r="A1282" s="275"/>
      <c r="B1282" s="78"/>
      <c r="C1282" s="189"/>
      <c r="D1282" s="185"/>
      <c r="E1282" s="186"/>
      <c r="F1282" s="187"/>
    </row>
    <row r="1283" spans="1:6" x14ac:dyDescent="0.2">
      <c r="A1283" s="275"/>
      <c r="B1283" s="78"/>
      <c r="C1283" s="189"/>
      <c r="D1283" s="185"/>
      <c r="E1283" s="186"/>
      <c r="F1283" s="187"/>
    </row>
    <row r="1284" spans="1:6" x14ac:dyDescent="0.2">
      <c r="A1284" s="275"/>
      <c r="B1284" s="78"/>
      <c r="C1284" s="189"/>
      <c r="D1284" s="185"/>
      <c r="E1284" s="186"/>
      <c r="F1284" s="187"/>
    </row>
    <row r="1285" spans="1:6" x14ac:dyDescent="0.2">
      <c r="A1285" s="275"/>
      <c r="B1285" s="78"/>
      <c r="C1285" s="189"/>
      <c r="D1285" s="185"/>
      <c r="E1285" s="186"/>
      <c r="F1285" s="187"/>
    </row>
    <row r="1286" spans="1:6" x14ac:dyDescent="0.2">
      <c r="A1286" s="275"/>
      <c r="B1286" s="78"/>
      <c r="C1286" s="189"/>
      <c r="D1286" s="185"/>
      <c r="E1286" s="186"/>
      <c r="F1286" s="187"/>
    </row>
    <row r="1287" spans="1:6" x14ac:dyDescent="0.2">
      <c r="A1287" s="275"/>
      <c r="B1287" s="78"/>
      <c r="C1287" s="189"/>
      <c r="D1287" s="185"/>
      <c r="E1287" s="186"/>
      <c r="F1287" s="187"/>
    </row>
    <row r="1288" spans="1:6" x14ac:dyDescent="0.2">
      <c r="A1288" s="275"/>
      <c r="B1288" s="78"/>
      <c r="C1288" s="189"/>
      <c r="D1288" s="185"/>
      <c r="E1288" s="186"/>
      <c r="F1288" s="187"/>
    </row>
    <row r="1289" spans="1:6" x14ac:dyDescent="0.2">
      <c r="A1289" s="275"/>
      <c r="B1289" s="78"/>
      <c r="C1289" s="189"/>
      <c r="D1289" s="185"/>
      <c r="E1289" s="186"/>
      <c r="F1289" s="187"/>
    </row>
    <row r="1290" spans="1:6" x14ac:dyDescent="0.2">
      <c r="A1290" s="275"/>
      <c r="B1290" s="78"/>
      <c r="C1290" s="189"/>
      <c r="D1290" s="185"/>
      <c r="E1290" s="186"/>
      <c r="F1290" s="187"/>
    </row>
    <row r="1291" spans="1:6" x14ac:dyDescent="0.2">
      <c r="A1291" s="275"/>
      <c r="B1291" s="78"/>
      <c r="C1291" s="189"/>
      <c r="D1291" s="185"/>
      <c r="E1291" s="186"/>
      <c r="F1291" s="187"/>
    </row>
    <row r="1292" spans="1:6" x14ac:dyDescent="0.2">
      <c r="A1292" s="275"/>
      <c r="B1292" s="78"/>
      <c r="C1292" s="189"/>
      <c r="D1292" s="185"/>
      <c r="E1292" s="186"/>
      <c r="F1292" s="187"/>
    </row>
    <row r="1293" spans="1:6" x14ac:dyDescent="0.2">
      <c r="A1293" s="275"/>
      <c r="B1293" s="78"/>
      <c r="C1293" s="189"/>
      <c r="D1293" s="185"/>
      <c r="E1293" s="186"/>
      <c r="F1293" s="187"/>
    </row>
    <row r="1294" spans="1:6" x14ac:dyDescent="0.2">
      <c r="A1294" s="275"/>
      <c r="B1294" s="78"/>
      <c r="C1294" s="189"/>
      <c r="D1294" s="185"/>
      <c r="E1294" s="186"/>
      <c r="F1294" s="187"/>
    </row>
    <row r="1295" spans="1:6" x14ac:dyDescent="0.2">
      <c r="A1295" s="275"/>
      <c r="B1295" s="78"/>
      <c r="C1295" s="189"/>
      <c r="D1295" s="185"/>
      <c r="E1295" s="186"/>
      <c r="F1295" s="187"/>
    </row>
    <row r="1296" spans="1:6" x14ac:dyDescent="0.2">
      <c r="A1296" s="275"/>
      <c r="B1296" s="78"/>
      <c r="C1296" s="189"/>
      <c r="D1296" s="185"/>
      <c r="E1296" s="186"/>
      <c r="F1296" s="187"/>
    </row>
    <row r="1297" spans="1:6" x14ac:dyDescent="0.2">
      <c r="A1297" s="275"/>
      <c r="B1297" s="78"/>
      <c r="C1297" s="189"/>
      <c r="D1297" s="185"/>
      <c r="E1297" s="186"/>
      <c r="F1297" s="187"/>
    </row>
    <row r="1298" spans="1:6" x14ac:dyDescent="0.2">
      <c r="A1298" s="275"/>
      <c r="B1298" s="78"/>
      <c r="C1298" s="189"/>
      <c r="D1298" s="185"/>
      <c r="E1298" s="186"/>
      <c r="F1298" s="187"/>
    </row>
    <row r="1299" spans="1:6" x14ac:dyDescent="0.2">
      <c r="A1299" s="275"/>
      <c r="B1299" s="78"/>
      <c r="C1299" s="189"/>
      <c r="D1299" s="185"/>
      <c r="E1299" s="186"/>
      <c r="F1299" s="187"/>
    </row>
    <row r="1300" spans="1:6" x14ac:dyDescent="0.2">
      <c r="A1300" s="275"/>
      <c r="B1300" s="78"/>
      <c r="C1300" s="189"/>
      <c r="D1300" s="185"/>
      <c r="E1300" s="186"/>
      <c r="F1300" s="187"/>
    </row>
    <row r="1301" spans="1:6" x14ac:dyDescent="0.2">
      <c r="A1301" s="275"/>
      <c r="B1301" s="78"/>
      <c r="C1301" s="189"/>
      <c r="D1301" s="185"/>
      <c r="E1301" s="186"/>
      <c r="F1301" s="187"/>
    </row>
    <row r="1302" spans="1:6" x14ac:dyDescent="0.2">
      <c r="A1302" s="275"/>
      <c r="B1302" s="78"/>
      <c r="C1302" s="189"/>
      <c r="D1302" s="185"/>
      <c r="E1302" s="186"/>
      <c r="F1302" s="187"/>
    </row>
    <row r="1303" spans="1:6" x14ac:dyDescent="0.2">
      <c r="A1303" s="275"/>
      <c r="B1303" s="78"/>
      <c r="C1303" s="189"/>
      <c r="D1303" s="185"/>
      <c r="E1303" s="186"/>
      <c r="F1303" s="187"/>
    </row>
    <row r="1304" spans="1:6" x14ac:dyDescent="0.2">
      <c r="A1304" s="275"/>
      <c r="B1304" s="78"/>
      <c r="C1304" s="189"/>
      <c r="D1304" s="185"/>
      <c r="E1304" s="186"/>
      <c r="F1304" s="187"/>
    </row>
    <row r="1305" spans="1:6" x14ac:dyDescent="0.2">
      <c r="A1305" s="275"/>
      <c r="B1305" s="78"/>
      <c r="C1305" s="189"/>
      <c r="D1305" s="185"/>
      <c r="E1305" s="186"/>
      <c r="F1305" s="187"/>
    </row>
    <row r="1306" spans="1:6" x14ac:dyDescent="0.2">
      <c r="A1306" s="275"/>
      <c r="B1306" s="78"/>
      <c r="C1306" s="189"/>
      <c r="D1306" s="185"/>
      <c r="E1306" s="186"/>
      <c r="F1306" s="187"/>
    </row>
    <row r="1307" spans="1:6" x14ac:dyDescent="0.2">
      <c r="A1307" s="275"/>
      <c r="B1307" s="78"/>
      <c r="C1307" s="189"/>
      <c r="D1307" s="185"/>
      <c r="E1307" s="186"/>
      <c r="F1307" s="187"/>
    </row>
    <row r="1308" spans="1:6" x14ac:dyDescent="0.2">
      <c r="A1308" s="275"/>
      <c r="B1308" s="78"/>
      <c r="C1308" s="189"/>
      <c r="D1308" s="185"/>
      <c r="E1308" s="186"/>
      <c r="F1308" s="187"/>
    </row>
    <row r="1309" spans="1:6" x14ac:dyDescent="0.2">
      <c r="A1309" s="275"/>
      <c r="B1309" s="78"/>
      <c r="C1309" s="189"/>
      <c r="D1309" s="185"/>
      <c r="E1309" s="186"/>
      <c r="F1309" s="187"/>
    </row>
    <row r="1310" spans="1:6" x14ac:dyDescent="0.2">
      <c r="A1310" s="275"/>
      <c r="B1310" s="78"/>
      <c r="C1310" s="189"/>
      <c r="D1310" s="185"/>
      <c r="E1310" s="186"/>
      <c r="F1310" s="187"/>
    </row>
    <row r="1311" spans="1:6" x14ac:dyDescent="0.2">
      <c r="A1311" s="275"/>
      <c r="B1311" s="78"/>
      <c r="C1311" s="189"/>
      <c r="D1311" s="185"/>
      <c r="E1311" s="186"/>
      <c r="F1311" s="187"/>
    </row>
    <row r="1312" spans="1:6" x14ac:dyDescent="0.2">
      <c r="A1312" s="275"/>
      <c r="B1312" s="78"/>
      <c r="C1312" s="189"/>
      <c r="D1312" s="185"/>
      <c r="E1312" s="186"/>
      <c r="F1312" s="187"/>
    </row>
    <row r="1313" spans="1:6" x14ac:dyDescent="0.2">
      <c r="A1313" s="275"/>
      <c r="B1313" s="78"/>
      <c r="C1313" s="189"/>
      <c r="D1313" s="185"/>
      <c r="E1313" s="186"/>
      <c r="F1313" s="187"/>
    </row>
    <row r="1314" spans="1:6" x14ac:dyDescent="0.2">
      <c r="A1314" s="275"/>
      <c r="B1314" s="78"/>
      <c r="C1314" s="189"/>
      <c r="D1314" s="185"/>
      <c r="E1314" s="186"/>
      <c r="F1314" s="187"/>
    </row>
    <row r="1315" spans="1:6" x14ac:dyDescent="0.2">
      <c r="A1315" s="275"/>
      <c r="B1315" s="78"/>
      <c r="C1315" s="189"/>
      <c r="D1315" s="185"/>
      <c r="E1315" s="186"/>
      <c r="F1315" s="187"/>
    </row>
    <row r="1316" spans="1:6" x14ac:dyDescent="0.2">
      <c r="A1316" s="275"/>
      <c r="B1316" s="78"/>
      <c r="C1316" s="189"/>
      <c r="D1316" s="185"/>
      <c r="E1316" s="186"/>
      <c r="F1316" s="187"/>
    </row>
    <row r="1317" spans="1:6" x14ac:dyDescent="0.2">
      <c r="A1317" s="275"/>
      <c r="B1317" s="78"/>
      <c r="C1317" s="189"/>
      <c r="D1317" s="185"/>
      <c r="E1317" s="186"/>
      <c r="F1317" s="187"/>
    </row>
    <row r="1318" spans="1:6" x14ac:dyDescent="0.2">
      <c r="A1318" s="275"/>
      <c r="B1318" s="78"/>
      <c r="C1318" s="189"/>
      <c r="D1318" s="185"/>
      <c r="E1318" s="186"/>
      <c r="F1318" s="187"/>
    </row>
    <row r="1319" spans="1:6" x14ac:dyDescent="0.2">
      <c r="A1319" s="275"/>
      <c r="B1319" s="78"/>
      <c r="C1319" s="189"/>
      <c r="D1319" s="185"/>
      <c r="E1319" s="186"/>
      <c r="F1319" s="187"/>
    </row>
    <row r="1320" spans="1:6" x14ac:dyDescent="0.2">
      <c r="A1320" s="275"/>
      <c r="B1320" s="78"/>
      <c r="C1320" s="189"/>
      <c r="D1320" s="185"/>
      <c r="E1320" s="186"/>
      <c r="F1320" s="187"/>
    </row>
    <row r="1321" spans="1:6" x14ac:dyDescent="0.2">
      <c r="A1321" s="275"/>
      <c r="B1321" s="78"/>
      <c r="C1321" s="189"/>
      <c r="D1321" s="185"/>
      <c r="E1321" s="186"/>
      <c r="F1321" s="187"/>
    </row>
    <row r="1322" spans="1:6" x14ac:dyDescent="0.2">
      <c r="A1322" s="275"/>
      <c r="B1322" s="78"/>
      <c r="C1322" s="189"/>
      <c r="D1322" s="185"/>
      <c r="E1322" s="186"/>
      <c r="F1322" s="187"/>
    </row>
    <row r="1323" spans="1:6" x14ac:dyDescent="0.2">
      <c r="A1323" s="275"/>
      <c r="B1323" s="78"/>
      <c r="C1323" s="189"/>
      <c r="D1323" s="185"/>
      <c r="E1323" s="186"/>
      <c r="F1323" s="187"/>
    </row>
    <row r="1324" spans="1:6" x14ac:dyDescent="0.2">
      <c r="A1324" s="275"/>
      <c r="B1324" s="78"/>
      <c r="C1324" s="189"/>
      <c r="D1324" s="185"/>
      <c r="E1324" s="186"/>
      <c r="F1324" s="187"/>
    </row>
    <row r="1325" spans="1:6" x14ac:dyDescent="0.2">
      <c r="A1325" s="275"/>
      <c r="B1325" s="78"/>
      <c r="C1325" s="189"/>
      <c r="D1325" s="185"/>
      <c r="E1325" s="186"/>
      <c r="F1325" s="187"/>
    </row>
    <row r="1326" spans="1:6" x14ac:dyDescent="0.2">
      <c r="A1326" s="275"/>
      <c r="B1326" s="78"/>
      <c r="C1326" s="189"/>
      <c r="D1326" s="185"/>
      <c r="E1326" s="186"/>
      <c r="F1326" s="187"/>
    </row>
    <row r="1327" spans="1:6" x14ac:dyDescent="0.2">
      <c r="A1327" s="275"/>
      <c r="B1327" s="78"/>
      <c r="C1327" s="189"/>
      <c r="D1327" s="185"/>
      <c r="E1327" s="186"/>
      <c r="F1327" s="187"/>
    </row>
    <row r="1328" spans="1:6" x14ac:dyDescent="0.2">
      <c r="A1328" s="275"/>
      <c r="B1328" s="78"/>
      <c r="C1328" s="189"/>
      <c r="D1328" s="185"/>
      <c r="E1328" s="186"/>
      <c r="F1328" s="187"/>
    </row>
    <row r="1329" spans="1:6" x14ac:dyDescent="0.2">
      <c r="A1329" s="275"/>
      <c r="B1329" s="78"/>
      <c r="C1329" s="189"/>
      <c r="D1329" s="185"/>
      <c r="E1329" s="186"/>
      <c r="F1329" s="187"/>
    </row>
    <row r="1330" spans="1:6" x14ac:dyDescent="0.2">
      <c r="A1330" s="275"/>
      <c r="B1330" s="78"/>
      <c r="C1330" s="189"/>
      <c r="D1330" s="185"/>
      <c r="E1330" s="186"/>
      <c r="F1330" s="187"/>
    </row>
    <row r="1331" spans="1:6" x14ac:dyDescent="0.2">
      <c r="A1331" s="275"/>
      <c r="B1331" s="78"/>
      <c r="C1331" s="189"/>
      <c r="D1331" s="185"/>
      <c r="E1331" s="186"/>
      <c r="F1331" s="187"/>
    </row>
    <row r="1332" spans="1:6" x14ac:dyDescent="0.2">
      <c r="A1332" s="275"/>
      <c r="B1332" s="78"/>
      <c r="C1332" s="189"/>
      <c r="D1332" s="185"/>
      <c r="E1332" s="186"/>
      <c r="F1332" s="187"/>
    </row>
    <row r="1333" spans="1:6" x14ac:dyDescent="0.2">
      <c r="A1333" s="275"/>
      <c r="B1333" s="78"/>
      <c r="C1333" s="189"/>
      <c r="D1333" s="185"/>
      <c r="E1333" s="186"/>
      <c r="F1333" s="187"/>
    </row>
    <row r="1334" spans="1:6" x14ac:dyDescent="0.2">
      <c r="A1334" s="275"/>
      <c r="B1334" s="78"/>
      <c r="C1334" s="189"/>
      <c r="D1334" s="185"/>
      <c r="E1334" s="186"/>
      <c r="F1334" s="187"/>
    </row>
    <row r="1335" spans="1:6" x14ac:dyDescent="0.2">
      <c r="A1335" s="275"/>
      <c r="B1335" s="78"/>
      <c r="C1335" s="189"/>
      <c r="D1335" s="185"/>
      <c r="E1335" s="186"/>
      <c r="F1335" s="187"/>
    </row>
    <row r="1336" spans="1:6" x14ac:dyDescent="0.2">
      <c r="A1336" s="275"/>
      <c r="B1336" s="78"/>
      <c r="C1336" s="189"/>
      <c r="D1336" s="185"/>
      <c r="E1336" s="186"/>
      <c r="F1336" s="187"/>
    </row>
    <row r="1337" spans="1:6" x14ac:dyDescent="0.2">
      <c r="A1337" s="275"/>
      <c r="B1337" s="78"/>
      <c r="C1337" s="189"/>
      <c r="D1337" s="185"/>
      <c r="E1337" s="186"/>
      <c r="F1337" s="187"/>
    </row>
    <row r="1338" spans="1:6" x14ac:dyDescent="0.2">
      <c r="A1338" s="275"/>
      <c r="B1338" s="78"/>
      <c r="C1338" s="189"/>
      <c r="D1338" s="185"/>
      <c r="E1338" s="186"/>
      <c r="F1338" s="187"/>
    </row>
    <row r="1339" spans="1:6" x14ac:dyDescent="0.2">
      <c r="A1339" s="275"/>
      <c r="B1339" s="78"/>
      <c r="C1339" s="189"/>
      <c r="D1339" s="185"/>
      <c r="E1339" s="186"/>
      <c r="F1339" s="187"/>
    </row>
    <row r="1340" spans="1:6" x14ac:dyDescent="0.2">
      <c r="A1340" s="275"/>
      <c r="B1340" s="78"/>
      <c r="C1340" s="189"/>
      <c r="D1340" s="185"/>
      <c r="E1340" s="186"/>
      <c r="F1340" s="187"/>
    </row>
    <row r="1341" spans="1:6" x14ac:dyDescent="0.2">
      <c r="A1341" s="275"/>
      <c r="B1341" s="78"/>
      <c r="C1341" s="189"/>
      <c r="D1341" s="185"/>
      <c r="E1341" s="186"/>
      <c r="F1341" s="187"/>
    </row>
    <row r="1342" spans="1:6" x14ac:dyDescent="0.2">
      <c r="A1342" s="275"/>
      <c r="B1342" s="78"/>
      <c r="C1342" s="189"/>
      <c r="D1342" s="185"/>
      <c r="E1342" s="186"/>
      <c r="F1342" s="187"/>
    </row>
    <row r="1343" spans="1:6" x14ac:dyDescent="0.2">
      <c r="A1343" s="275"/>
      <c r="B1343" s="78"/>
      <c r="C1343" s="189"/>
      <c r="D1343" s="185"/>
      <c r="E1343" s="186"/>
      <c r="F1343" s="187"/>
    </row>
    <row r="1344" spans="1:6" x14ac:dyDescent="0.2">
      <c r="A1344" s="275"/>
      <c r="B1344" s="78"/>
      <c r="C1344" s="189"/>
      <c r="D1344" s="185"/>
      <c r="E1344" s="186"/>
      <c r="F1344" s="187"/>
    </row>
    <row r="1345" spans="1:6" x14ac:dyDescent="0.2">
      <c r="A1345" s="275"/>
      <c r="B1345" s="78"/>
      <c r="C1345" s="189"/>
      <c r="D1345" s="185"/>
      <c r="E1345" s="186"/>
      <c r="F1345" s="187"/>
    </row>
    <row r="1346" spans="1:6" x14ac:dyDescent="0.2">
      <c r="A1346" s="275"/>
      <c r="B1346" s="78"/>
      <c r="C1346" s="189"/>
      <c r="D1346" s="185"/>
      <c r="E1346" s="186"/>
      <c r="F1346" s="187"/>
    </row>
    <row r="1347" spans="1:6" x14ac:dyDescent="0.2">
      <c r="A1347" s="275"/>
      <c r="B1347" s="78"/>
      <c r="C1347" s="189"/>
      <c r="D1347" s="185"/>
      <c r="E1347" s="186"/>
      <c r="F1347" s="187"/>
    </row>
    <row r="1348" spans="1:6" x14ac:dyDescent="0.2">
      <c r="A1348" s="275"/>
      <c r="B1348" s="78"/>
      <c r="C1348" s="189"/>
      <c r="D1348" s="185"/>
      <c r="E1348" s="186"/>
      <c r="F1348" s="187"/>
    </row>
    <row r="1349" spans="1:6" x14ac:dyDescent="0.2">
      <c r="A1349" s="275"/>
      <c r="B1349" s="78"/>
      <c r="C1349" s="189"/>
      <c r="D1349" s="185"/>
      <c r="E1349" s="186"/>
      <c r="F1349" s="187"/>
    </row>
    <row r="1350" spans="1:6" x14ac:dyDescent="0.2">
      <c r="A1350" s="275"/>
      <c r="B1350" s="78"/>
      <c r="C1350" s="189"/>
      <c r="D1350" s="185"/>
      <c r="E1350" s="186"/>
      <c r="F1350" s="187"/>
    </row>
    <row r="1351" spans="1:6" x14ac:dyDescent="0.2">
      <c r="A1351" s="275"/>
      <c r="B1351" s="78"/>
      <c r="C1351" s="189"/>
      <c r="D1351" s="185"/>
      <c r="E1351" s="186"/>
      <c r="F1351" s="187"/>
    </row>
    <row r="1352" spans="1:6" x14ac:dyDescent="0.2">
      <c r="A1352" s="275"/>
      <c r="B1352" s="78"/>
      <c r="C1352" s="189"/>
      <c r="D1352" s="185"/>
      <c r="E1352" s="186"/>
      <c r="F1352" s="187"/>
    </row>
    <row r="1353" spans="1:6" x14ac:dyDescent="0.2">
      <c r="A1353" s="275"/>
      <c r="B1353" s="78"/>
      <c r="C1353" s="189"/>
      <c r="D1353" s="185"/>
      <c r="E1353" s="186"/>
      <c r="F1353" s="187"/>
    </row>
    <row r="1354" spans="1:6" x14ac:dyDescent="0.2">
      <c r="A1354" s="275"/>
      <c r="B1354" s="78"/>
      <c r="C1354" s="189"/>
      <c r="D1354" s="185"/>
      <c r="E1354" s="186"/>
      <c r="F1354" s="187"/>
    </row>
    <row r="1355" spans="1:6" x14ac:dyDescent="0.2">
      <c r="A1355" s="275"/>
      <c r="B1355" s="78"/>
      <c r="C1355" s="189"/>
      <c r="D1355" s="185"/>
      <c r="E1355" s="186"/>
      <c r="F1355" s="187"/>
    </row>
    <row r="1356" spans="1:6" x14ac:dyDescent="0.2">
      <c r="A1356" s="275"/>
      <c r="B1356" s="78"/>
      <c r="C1356" s="189"/>
      <c r="D1356" s="185"/>
      <c r="E1356" s="186"/>
      <c r="F1356" s="187"/>
    </row>
    <row r="1357" spans="1:6" x14ac:dyDescent="0.2">
      <c r="A1357" s="275"/>
      <c r="B1357" s="78"/>
      <c r="C1357" s="189"/>
      <c r="D1357" s="185"/>
      <c r="E1357" s="186"/>
      <c r="F1357" s="187"/>
    </row>
    <row r="1358" spans="1:6" x14ac:dyDescent="0.2">
      <c r="A1358" s="275"/>
      <c r="B1358" s="78"/>
      <c r="C1358" s="189"/>
      <c r="D1358" s="185"/>
      <c r="E1358" s="186"/>
      <c r="F1358" s="187"/>
    </row>
    <row r="1359" spans="1:6" x14ac:dyDescent="0.2">
      <c r="A1359" s="275"/>
      <c r="B1359" s="78"/>
      <c r="C1359" s="189"/>
      <c r="D1359" s="185"/>
      <c r="E1359" s="186"/>
      <c r="F1359" s="187"/>
    </row>
    <row r="1360" spans="1:6" x14ac:dyDescent="0.2">
      <c r="A1360" s="275"/>
      <c r="B1360" s="78"/>
      <c r="C1360" s="189"/>
      <c r="D1360" s="185"/>
      <c r="E1360" s="186"/>
      <c r="F1360" s="187"/>
    </row>
    <row r="1361" spans="1:6" x14ac:dyDescent="0.2">
      <c r="A1361" s="275"/>
      <c r="B1361" s="78"/>
      <c r="C1361" s="189"/>
      <c r="D1361" s="185"/>
      <c r="E1361" s="186"/>
      <c r="F1361" s="187"/>
    </row>
    <row r="1362" spans="1:6" x14ac:dyDescent="0.2">
      <c r="A1362" s="275"/>
      <c r="B1362" s="78"/>
      <c r="C1362" s="189"/>
      <c r="D1362" s="185"/>
      <c r="E1362" s="186"/>
      <c r="F1362" s="187"/>
    </row>
    <row r="1363" spans="1:6" x14ac:dyDescent="0.2">
      <c r="A1363" s="275"/>
      <c r="B1363" s="78"/>
      <c r="C1363" s="189"/>
      <c r="D1363" s="185"/>
      <c r="E1363" s="186"/>
      <c r="F1363" s="187"/>
    </row>
    <row r="1364" spans="1:6" x14ac:dyDescent="0.2">
      <c r="A1364" s="275"/>
      <c r="B1364" s="78"/>
      <c r="C1364" s="189"/>
      <c r="D1364" s="185"/>
      <c r="E1364" s="186"/>
      <c r="F1364" s="187"/>
    </row>
    <row r="1365" spans="1:6" x14ac:dyDescent="0.2">
      <c r="A1365" s="275"/>
      <c r="B1365" s="78"/>
      <c r="C1365" s="189"/>
      <c r="D1365" s="185"/>
      <c r="E1365" s="186"/>
      <c r="F1365" s="187"/>
    </row>
    <row r="1366" spans="1:6" x14ac:dyDescent="0.2">
      <c r="A1366" s="275"/>
      <c r="B1366" s="78"/>
      <c r="C1366" s="189"/>
      <c r="D1366" s="185"/>
      <c r="E1366" s="186"/>
      <c r="F1366" s="187"/>
    </row>
    <row r="1367" spans="1:6" x14ac:dyDescent="0.2">
      <c r="A1367" s="275"/>
      <c r="B1367" s="78"/>
      <c r="C1367" s="189"/>
      <c r="D1367" s="185"/>
      <c r="E1367" s="186"/>
      <c r="F1367" s="187"/>
    </row>
    <row r="1368" spans="1:6" x14ac:dyDescent="0.2">
      <c r="A1368" s="275"/>
      <c r="B1368" s="78"/>
      <c r="C1368" s="189"/>
      <c r="D1368" s="185"/>
      <c r="E1368" s="186"/>
      <c r="F1368" s="187"/>
    </row>
    <row r="1369" spans="1:6" x14ac:dyDescent="0.2">
      <c r="A1369" s="275"/>
      <c r="B1369" s="78"/>
      <c r="C1369" s="189"/>
      <c r="D1369" s="185"/>
      <c r="E1369" s="186"/>
      <c r="F1369" s="187"/>
    </row>
    <row r="1370" spans="1:6" x14ac:dyDescent="0.2">
      <c r="A1370" s="275"/>
      <c r="B1370" s="78"/>
      <c r="C1370" s="189"/>
      <c r="D1370" s="185"/>
      <c r="E1370" s="186"/>
      <c r="F1370" s="187"/>
    </row>
    <row r="1371" spans="1:6" x14ac:dyDescent="0.2">
      <c r="A1371" s="275"/>
      <c r="B1371" s="78"/>
      <c r="C1371" s="189"/>
      <c r="D1371" s="185"/>
      <c r="E1371" s="186"/>
      <c r="F1371" s="187"/>
    </row>
    <row r="1372" spans="1:6" x14ac:dyDescent="0.2">
      <c r="A1372" s="275"/>
      <c r="B1372" s="78"/>
      <c r="C1372" s="189"/>
      <c r="D1372" s="185"/>
      <c r="E1372" s="186"/>
      <c r="F1372" s="187"/>
    </row>
    <row r="1373" spans="1:6" x14ac:dyDescent="0.2">
      <c r="A1373" s="275"/>
      <c r="B1373" s="78"/>
      <c r="C1373" s="189"/>
      <c r="D1373" s="185"/>
      <c r="E1373" s="186"/>
      <c r="F1373" s="187"/>
    </row>
    <row r="1374" spans="1:6" x14ac:dyDescent="0.2">
      <c r="A1374" s="275"/>
      <c r="B1374" s="78"/>
      <c r="C1374" s="189"/>
      <c r="D1374" s="185"/>
      <c r="E1374" s="186"/>
      <c r="F1374" s="187"/>
    </row>
    <row r="1375" spans="1:6" x14ac:dyDescent="0.2">
      <c r="A1375" s="275"/>
      <c r="B1375" s="78"/>
      <c r="C1375" s="189"/>
      <c r="D1375" s="185"/>
      <c r="E1375" s="186"/>
      <c r="F1375" s="187"/>
    </row>
    <row r="1376" spans="1:6" x14ac:dyDescent="0.2">
      <c r="A1376" s="275"/>
      <c r="B1376" s="78"/>
      <c r="C1376" s="189"/>
      <c r="D1376" s="185"/>
      <c r="E1376" s="186"/>
      <c r="F1376" s="187"/>
    </row>
    <row r="1377" spans="1:6" x14ac:dyDescent="0.2">
      <c r="A1377" s="275"/>
      <c r="B1377" s="78"/>
      <c r="C1377" s="189"/>
      <c r="D1377" s="185"/>
      <c r="E1377" s="186"/>
      <c r="F1377" s="187"/>
    </row>
    <row r="1378" spans="1:6" x14ac:dyDescent="0.2">
      <c r="A1378" s="275"/>
      <c r="B1378" s="78"/>
      <c r="C1378" s="189"/>
      <c r="D1378" s="185"/>
      <c r="E1378" s="186"/>
      <c r="F1378" s="187"/>
    </row>
    <row r="1379" spans="1:6" x14ac:dyDescent="0.2">
      <c r="A1379" s="275"/>
      <c r="B1379" s="78"/>
      <c r="C1379" s="189"/>
      <c r="D1379" s="185"/>
      <c r="E1379" s="186"/>
      <c r="F1379" s="187"/>
    </row>
    <row r="1380" spans="1:6" x14ac:dyDescent="0.2">
      <c r="A1380" s="275"/>
      <c r="B1380" s="78"/>
      <c r="C1380" s="189"/>
      <c r="D1380" s="185"/>
      <c r="E1380" s="186"/>
      <c r="F1380" s="187"/>
    </row>
    <row r="1381" spans="1:6" x14ac:dyDescent="0.2">
      <c r="A1381" s="275"/>
      <c r="B1381" s="78"/>
      <c r="C1381" s="189"/>
      <c r="D1381" s="185"/>
      <c r="E1381" s="186"/>
      <c r="F1381" s="187"/>
    </row>
    <row r="1382" spans="1:6" x14ac:dyDescent="0.2">
      <c r="A1382" s="275"/>
      <c r="B1382" s="78"/>
      <c r="C1382" s="189"/>
      <c r="D1382" s="185"/>
      <c r="E1382" s="186"/>
      <c r="F1382" s="187"/>
    </row>
    <row r="1383" spans="1:6" x14ac:dyDescent="0.2">
      <c r="A1383" s="275"/>
      <c r="B1383" s="78"/>
      <c r="C1383" s="189"/>
      <c r="D1383" s="185"/>
      <c r="E1383" s="186"/>
      <c r="F1383" s="187"/>
    </row>
    <row r="1384" spans="1:6" x14ac:dyDescent="0.2">
      <c r="A1384" s="275"/>
      <c r="B1384" s="78"/>
      <c r="C1384" s="189"/>
      <c r="D1384" s="185"/>
      <c r="E1384" s="186"/>
      <c r="F1384" s="187"/>
    </row>
    <row r="1385" spans="1:6" x14ac:dyDescent="0.2">
      <c r="A1385" s="275"/>
      <c r="B1385" s="78"/>
      <c r="C1385" s="189"/>
      <c r="D1385" s="185"/>
      <c r="E1385" s="186"/>
      <c r="F1385" s="187"/>
    </row>
    <row r="1386" spans="1:6" x14ac:dyDescent="0.2">
      <c r="A1386" s="275"/>
      <c r="B1386" s="78"/>
      <c r="C1386" s="189"/>
      <c r="D1386" s="185"/>
      <c r="E1386" s="186"/>
      <c r="F1386" s="187"/>
    </row>
    <row r="1387" spans="1:6" x14ac:dyDescent="0.2">
      <c r="A1387" s="275"/>
      <c r="B1387" s="78"/>
      <c r="C1387" s="189"/>
      <c r="D1387" s="185"/>
      <c r="E1387" s="186"/>
      <c r="F1387" s="187"/>
    </row>
    <row r="1388" spans="1:6" x14ac:dyDescent="0.2">
      <c r="A1388" s="275"/>
      <c r="B1388" s="78"/>
      <c r="C1388" s="189"/>
      <c r="D1388" s="185"/>
      <c r="E1388" s="186"/>
      <c r="F1388" s="187"/>
    </row>
    <row r="1389" spans="1:6" x14ac:dyDescent="0.2">
      <c r="A1389" s="275"/>
      <c r="B1389" s="78"/>
      <c r="C1389" s="189"/>
      <c r="D1389" s="185"/>
      <c r="E1389" s="186"/>
      <c r="F1389" s="187"/>
    </row>
    <row r="1390" spans="1:6" x14ac:dyDescent="0.2">
      <c r="A1390" s="275"/>
      <c r="B1390" s="78"/>
      <c r="C1390" s="189"/>
      <c r="D1390" s="185"/>
      <c r="E1390" s="186"/>
      <c r="F1390" s="187"/>
    </row>
    <row r="1391" spans="1:6" x14ac:dyDescent="0.2">
      <c r="A1391" s="275"/>
      <c r="B1391" s="78"/>
      <c r="C1391" s="189"/>
      <c r="D1391" s="185"/>
      <c r="E1391" s="186"/>
      <c r="F1391" s="187"/>
    </row>
    <row r="1392" spans="1:6" x14ac:dyDescent="0.2">
      <c r="A1392" s="275"/>
      <c r="B1392" s="78"/>
      <c r="C1392" s="189"/>
      <c r="D1392" s="185"/>
      <c r="E1392" s="186"/>
      <c r="F1392" s="187"/>
    </row>
    <row r="1393" spans="1:6" x14ac:dyDescent="0.2">
      <c r="A1393" s="275"/>
      <c r="B1393" s="78"/>
      <c r="C1393" s="189"/>
      <c r="D1393" s="185"/>
      <c r="E1393" s="186"/>
      <c r="F1393" s="187"/>
    </row>
    <row r="1394" spans="1:6" x14ac:dyDescent="0.2">
      <c r="A1394" s="275"/>
      <c r="B1394" s="78"/>
      <c r="C1394" s="189"/>
      <c r="D1394" s="185"/>
      <c r="E1394" s="186"/>
      <c r="F1394" s="187"/>
    </row>
    <row r="1395" spans="1:6" x14ac:dyDescent="0.2">
      <c r="A1395" s="275"/>
      <c r="B1395" s="78"/>
      <c r="C1395" s="189"/>
      <c r="D1395" s="185"/>
      <c r="E1395" s="186"/>
      <c r="F1395" s="187"/>
    </row>
    <row r="1396" spans="1:6" x14ac:dyDescent="0.2">
      <c r="A1396" s="275"/>
      <c r="B1396" s="78"/>
      <c r="C1396" s="189"/>
      <c r="D1396" s="185"/>
      <c r="E1396" s="186"/>
      <c r="F1396" s="187"/>
    </row>
    <row r="1397" spans="1:6" x14ac:dyDescent="0.2">
      <c r="A1397" s="275"/>
      <c r="B1397" s="78"/>
      <c r="C1397" s="189"/>
      <c r="D1397" s="185"/>
      <c r="E1397" s="186"/>
      <c r="F1397" s="187"/>
    </row>
    <row r="1398" spans="1:6" x14ac:dyDescent="0.2">
      <c r="A1398" s="275"/>
      <c r="B1398" s="78"/>
      <c r="C1398" s="189"/>
      <c r="D1398" s="185"/>
      <c r="E1398" s="186"/>
      <c r="F1398" s="187"/>
    </row>
    <row r="1399" spans="1:6" x14ac:dyDescent="0.2">
      <c r="A1399" s="275"/>
      <c r="B1399" s="78"/>
      <c r="C1399" s="189"/>
      <c r="D1399" s="185"/>
      <c r="E1399" s="186"/>
      <c r="F1399" s="187"/>
    </row>
    <row r="1400" spans="1:6" x14ac:dyDescent="0.2">
      <c r="A1400" s="275"/>
      <c r="B1400" s="78"/>
      <c r="C1400" s="189"/>
      <c r="D1400" s="185"/>
      <c r="E1400" s="186"/>
      <c r="F1400" s="187"/>
    </row>
    <row r="1401" spans="1:6" x14ac:dyDescent="0.2">
      <c r="A1401" s="275"/>
      <c r="B1401" s="78"/>
      <c r="C1401" s="189"/>
      <c r="D1401" s="185"/>
      <c r="E1401" s="186"/>
      <c r="F1401" s="187"/>
    </row>
    <row r="1402" spans="1:6" x14ac:dyDescent="0.2">
      <c r="A1402" s="275"/>
      <c r="B1402" s="78"/>
      <c r="C1402" s="189"/>
      <c r="D1402" s="185"/>
      <c r="E1402" s="186"/>
      <c r="F1402" s="187"/>
    </row>
    <row r="1403" spans="1:6" x14ac:dyDescent="0.2">
      <c r="A1403" s="275"/>
      <c r="B1403" s="78"/>
      <c r="C1403" s="189"/>
      <c r="D1403" s="185"/>
      <c r="E1403" s="186"/>
      <c r="F1403" s="187"/>
    </row>
    <row r="1404" spans="1:6" x14ac:dyDescent="0.2">
      <c r="A1404" s="275"/>
      <c r="B1404" s="78"/>
      <c r="C1404" s="189"/>
      <c r="D1404" s="185"/>
      <c r="E1404" s="186"/>
      <c r="F1404" s="187"/>
    </row>
    <row r="1405" spans="1:6" x14ac:dyDescent="0.2">
      <c r="A1405" s="275"/>
      <c r="B1405" s="78"/>
      <c r="C1405" s="189"/>
      <c r="D1405" s="185"/>
      <c r="E1405" s="186"/>
      <c r="F1405" s="187"/>
    </row>
    <row r="1406" spans="1:6" x14ac:dyDescent="0.2">
      <c r="A1406" s="275"/>
      <c r="B1406" s="78"/>
      <c r="C1406" s="189"/>
      <c r="D1406" s="185"/>
      <c r="E1406" s="186"/>
      <c r="F1406" s="187"/>
    </row>
    <row r="1407" spans="1:6" x14ac:dyDescent="0.2">
      <c r="A1407" s="275"/>
      <c r="B1407" s="78"/>
      <c r="C1407" s="189"/>
      <c r="D1407" s="185"/>
      <c r="E1407" s="186"/>
      <c r="F1407" s="187"/>
    </row>
    <row r="1408" spans="1:6" x14ac:dyDescent="0.2">
      <c r="A1408" s="275"/>
      <c r="B1408" s="78"/>
      <c r="C1408" s="189"/>
      <c r="D1408" s="185"/>
      <c r="E1408" s="186"/>
      <c r="F1408" s="187"/>
    </row>
    <row r="1409" spans="1:6" x14ac:dyDescent="0.2">
      <c r="A1409" s="275"/>
      <c r="B1409" s="78"/>
      <c r="C1409" s="189"/>
      <c r="D1409" s="185"/>
      <c r="E1409" s="186"/>
      <c r="F1409" s="187"/>
    </row>
    <row r="1410" spans="1:6" x14ac:dyDescent="0.2">
      <c r="A1410" s="275"/>
      <c r="B1410" s="78"/>
      <c r="C1410" s="189"/>
      <c r="D1410" s="185"/>
      <c r="E1410" s="186"/>
      <c r="F1410" s="187"/>
    </row>
    <row r="1411" spans="1:6" x14ac:dyDescent="0.2">
      <c r="A1411" s="275"/>
      <c r="B1411" s="78"/>
      <c r="C1411" s="189"/>
      <c r="D1411" s="185"/>
      <c r="E1411" s="186"/>
      <c r="F1411" s="187"/>
    </row>
    <row r="1412" spans="1:6" x14ac:dyDescent="0.2">
      <c r="A1412" s="275"/>
      <c r="B1412" s="78"/>
      <c r="C1412" s="189"/>
      <c r="D1412" s="185"/>
      <c r="E1412" s="186"/>
      <c r="F1412" s="187"/>
    </row>
    <row r="1413" spans="1:6" x14ac:dyDescent="0.2">
      <c r="A1413" s="275"/>
      <c r="B1413" s="78"/>
      <c r="C1413" s="189"/>
      <c r="D1413" s="185"/>
      <c r="E1413" s="186"/>
      <c r="F1413" s="187"/>
    </row>
    <row r="1414" spans="1:6" x14ac:dyDescent="0.2">
      <c r="A1414" s="275"/>
      <c r="B1414" s="78"/>
      <c r="C1414" s="189"/>
      <c r="D1414" s="185"/>
      <c r="E1414" s="186"/>
      <c r="F1414" s="187"/>
    </row>
    <row r="1415" spans="1:6" x14ac:dyDescent="0.2">
      <c r="A1415" s="275"/>
      <c r="B1415" s="78"/>
      <c r="C1415" s="189"/>
      <c r="D1415" s="185"/>
      <c r="E1415" s="186"/>
      <c r="F1415" s="187"/>
    </row>
    <row r="1416" spans="1:6" x14ac:dyDescent="0.2">
      <c r="A1416" s="275"/>
      <c r="B1416" s="78"/>
      <c r="C1416" s="189"/>
      <c r="D1416" s="185"/>
      <c r="E1416" s="186"/>
      <c r="F1416" s="187"/>
    </row>
    <row r="1417" spans="1:6" x14ac:dyDescent="0.2">
      <c r="A1417" s="275"/>
      <c r="B1417" s="78"/>
      <c r="C1417" s="189"/>
      <c r="D1417" s="185"/>
      <c r="E1417" s="186"/>
      <c r="F1417" s="187"/>
    </row>
    <row r="1418" spans="1:6" x14ac:dyDescent="0.2">
      <c r="A1418" s="275"/>
      <c r="B1418" s="78"/>
      <c r="C1418" s="189"/>
      <c r="D1418" s="185"/>
      <c r="E1418" s="186"/>
      <c r="F1418" s="187"/>
    </row>
    <row r="1419" spans="1:6" x14ac:dyDescent="0.2">
      <c r="A1419" s="275"/>
      <c r="B1419" s="78"/>
      <c r="C1419" s="189"/>
      <c r="D1419" s="185"/>
      <c r="E1419" s="186"/>
      <c r="F1419" s="187"/>
    </row>
    <row r="1420" spans="1:6" x14ac:dyDescent="0.2">
      <c r="A1420" s="275"/>
      <c r="B1420" s="78"/>
      <c r="C1420" s="189"/>
      <c r="D1420" s="185"/>
      <c r="E1420" s="186"/>
      <c r="F1420" s="187"/>
    </row>
    <row r="1421" spans="1:6" x14ac:dyDescent="0.2">
      <c r="A1421" s="275"/>
      <c r="B1421" s="78"/>
      <c r="C1421" s="189"/>
      <c r="D1421" s="185"/>
      <c r="E1421" s="186"/>
      <c r="F1421" s="187"/>
    </row>
    <row r="1422" spans="1:6" x14ac:dyDescent="0.2">
      <c r="A1422" s="275"/>
      <c r="B1422" s="78"/>
      <c r="C1422" s="189"/>
      <c r="D1422" s="185"/>
      <c r="E1422" s="186"/>
      <c r="F1422" s="187"/>
    </row>
    <row r="1423" spans="1:6" x14ac:dyDescent="0.2">
      <c r="A1423" s="275"/>
      <c r="B1423" s="78"/>
      <c r="C1423" s="189"/>
      <c r="D1423" s="185"/>
      <c r="E1423" s="186"/>
      <c r="F1423" s="187"/>
    </row>
    <row r="1424" spans="1:6" x14ac:dyDescent="0.2">
      <c r="A1424" s="275"/>
      <c r="B1424" s="78"/>
      <c r="C1424" s="189"/>
      <c r="D1424" s="185"/>
      <c r="E1424" s="186"/>
      <c r="F1424" s="187"/>
    </row>
    <row r="1425" spans="1:6" x14ac:dyDescent="0.2">
      <c r="A1425" s="275"/>
      <c r="B1425" s="78"/>
      <c r="C1425" s="189"/>
      <c r="D1425" s="185"/>
      <c r="E1425" s="186"/>
      <c r="F1425" s="187"/>
    </row>
    <row r="1426" spans="1:6" x14ac:dyDescent="0.2">
      <c r="A1426" s="275"/>
      <c r="B1426" s="78"/>
      <c r="C1426" s="189"/>
      <c r="D1426" s="185"/>
      <c r="E1426" s="186"/>
      <c r="F1426" s="187"/>
    </row>
    <row r="1427" spans="1:6" x14ac:dyDescent="0.2">
      <c r="A1427" s="275"/>
      <c r="B1427" s="78"/>
      <c r="C1427" s="189"/>
      <c r="D1427" s="185"/>
      <c r="E1427" s="186"/>
      <c r="F1427" s="187"/>
    </row>
    <row r="1428" spans="1:6" x14ac:dyDescent="0.2">
      <c r="A1428" s="275"/>
      <c r="B1428" s="78"/>
      <c r="C1428" s="189"/>
      <c r="D1428" s="185"/>
      <c r="E1428" s="186"/>
      <c r="F1428" s="187"/>
    </row>
    <row r="1429" spans="1:6" x14ac:dyDescent="0.2">
      <c r="A1429" s="275"/>
      <c r="B1429" s="78"/>
      <c r="C1429" s="189"/>
      <c r="D1429" s="185"/>
      <c r="E1429" s="186"/>
      <c r="F1429" s="187"/>
    </row>
    <row r="1430" spans="1:6" x14ac:dyDescent="0.2">
      <c r="A1430" s="275"/>
      <c r="B1430" s="78"/>
      <c r="C1430" s="189"/>
      <c r="D1430" s="185"/>
      <c r="E1430" s="186"/>
      <c r="F1430" s="187"/>
    </row>
    <row r="1431" spans="1:6" x14ac:dyDescent="0.2">
      <c r="A1431" s="275"/>
      <c r="B1431" s="78"/>
      <c r="C1431" s="189"/>
      <c r="D1431" s="185"/>
      <c r="E1431" s="186"/>
      <c r="F1431" s="187"/>
    </row>
    <row r="1432" spans="1:6" x14ac:dyDescent="0.2">
      <c r="A1432" s="275"/>
      <c r="B1432" s="78"/>
      <c r="C1432" s="189"/>
      <c r="D1432" s="185"/>
      <c r="E1432" s="186"/>
      <c r="F1432" s="187"/>
    </row>
    <row r="1433" spans="1:6" x14ac:dyDescent="0.2">
      <c r="A1433" s="275"/>
      <c r="B1433" s="78"/>
      <c r="C1433" s="189"/>
      <c r="D1433" s="185"/>
      <c r="E1433" s="186"/>
      <c r="F1433" s="187"/>
    </row>
    <row r="1434" spans="1:6" x14ac:dyDescent="0.2">
      <c r="A1434" s="275"/>
      <c r="B1434" s="78"/>
      <c r="C1434" s="189"/>
      <c r="D1434" s="185"/>
      <c r="E1434" s="186"/>
      <c r="F1434" s="187"/>
    </row>
    <row r="1435" spans="1:6" x14ac:dyDescent="0.2">
      <c r="A1435" s="275"/>
      <c r="B1435" s="78"/>
      <c r="C1435" s="189"/>
      <c r="D1435" s="185"/>
      <c r="E1435" s="186"/>
      <c r="F1435" s="187"/>
    </row>
    <row r="1436" spans="1:6" x14ac:dyDescent="0.2">
      <c r="A1436" s="275"/>
      <c r="B1436" s="78"/>
      <c r="C1436" s="189"/>
      <c r="D1436" s="185"/>
      <c r="E1436" s="186"/>
      <c r="F1436" s="187"/>
    </row>
    <row r="1437" spans="1:6" x14ac:dyDescent="0.2">
      <c r="A1437" s="275"/>
      <c r="B1437" s="78"/>
      <c r="C1437" s="189"/>
      <c r="D1437" s="185"/>
      <c r="E1437" s="186"/>
      <c r="F1437" s="187"/>
    </row>
    <row r="1438" spans="1:6" x14ac:dyDescent="0.2">
      <c r="A1438" s="275"/>
      <c r="B1438" s="78"/>
      <c r="C1438" s="189"/>
      <c r="D1438" s="185"/>
      <c r="E1438" s="186"/>
      <c r="F1438" s="187"/>
    </row>
    <row r="1439" spans="1:6" x14ac:dyDescent="0.2">
      <c r="A1439" s="275"/>
      <c r="B1439" s="78"/>
      <c r="C1439" s="189"/>
      <c r="D1439" s="185"/>
      <c r="E1439" s="186"/>
      <c r="F1439" s="187"/>
    </row>
    <row r="1440" spans="1:6" x14ac:dyDescent="0.2">
      <c r="A1440" s="275"/>
      <c r="B1440" s="78"/>
      <c r="C1440" s="189"/>
      <c r="D1440" s="185"/>
      <c r="E1440" s="186"/>
      <c r="F1440" s="187"/>
    </row>
    <row r="1441" spans="1:6" x14ac:dyDescent="0.2">
      <c r="A1441" s="275"/>
      <c r="B1441" s="78"/>
      <c r="C1441" s="189"/>
      <c r="D1441" s="185"/>
      <c r="E1441" s="186"/>
      <c r="F1441" s="187"/>
    </row>
    <row r="1442" spans="1:6" x14ac:dyDescent="0.2">
      <c r="A1442" s="275"/>
      <c r="B1442" s="78"/>
      <c r="C1442" s="189"/>
      <c r="D1442" s="185"/>
      <c r="E1442" s="186"/>
      <c r="F1442" s="187"/>
    </row>
    <row r="1443" spans="1:6" x14ac:dyDescent="0.2">
      <c r="A1443" s="275"/>
      <c r="B1443" s="78"/>
      <c r="C1443" s="189"/>
      <c r="D1443" s="185"/>
      <c r="E1443" s="186"/>
      <c r="F1443" s="187"/>
    </row>
    <row r="1444" spans="1:6" x14ac:dyDescent="0.2">
      <c r="A1444" s="275"/>
      <c r="B1444" s="78"/>
      <c r="C1444" s="189"/>
      <c r="D1444" s="185"/>
      <c r="E1444" s="186"/>
      <c r="F1444" s="187"/>
    </row>
    <row r="1445" spans="1:6" x14ac:dyDescent="0.2">
      <c r="A1445" s="275"/>
      <c r="B1445" s="78"/>
      <c r="C1445" s="189"/>
      <c r="D1445" s="185"/>
      <c r="E1445" s="186"/>
      <c r="F1445" s="187"/>
    </row>
    <row r="1446" spans="1:6" x14ac:dyDescent="0.2">
      <c r="A1446" s="275"/>
      <c r="B1446" s="78"/>
      <c r="C1446" s="189"/>
      <c r="D1446" s="185"/>
      <c r="E1446" s="186"/>
      <c r="F1446" s="187"/>
    </row>
    <row r="1447" spans="1:6" x14ac:dyDescent="0.2">
      <c r="A1447" s="275"/>
      <c r="B1447" s="78"/>
      <c r="C1447" s="189"/>
      <c r="D1447" s="185"/>
      <c r="E1447" s="186"/>
      <c r="F1447" s="187"/>
    </row>
    <row r="1448" spans="1:6" x14ac:dyDescent="0.2">
      <c r="A1448" s="275"/>
      <c r="B1448" s="78"/>
      <c r="C1448" s="189"/>
      <c r="D1448" s="185"/>
      <c r="E1448" s="186"/>
      <c r="F1448" s="187"/>
    </row>
    <row r="1449" spans="1:6" x14ac:dyDescent="0.2">
      <c r="A1449" s="275"/>
      <c r="B1449" s="78"/>
      <c r="C1449" s="189"/>
      <c r="D1449" s="185"/>
      <c r="E1449" s="186"/>
      <c r="F1449" s="187"/>
    </row>
    <row r="1450" spans="1:6" x14ac:dyDescent="0.2">
      <c r="A1450" s="275"/>
      <c r="B1450" s="78"/>
      <c r="C1450" s="189"/>
      <c r="D1450" s="185"/>
      <c r="E1450" s="186"/>
      <c r="F1450" s="187"/>
    </row>
    <row r="1451" spans="1:6" x14ac:dyDescent="0.2">
      <c r="A1451" s="275"/>
      <c r="B1451" s="78"/>
      <c r="C1451" s="189"/>
      <c r="D1451" s="185"/>
      <c r="E1451" s="186"/>
      <c r="F1451" s="187"/>
    </row>
    <row r="1452" spans="1:6" x14ac:dyDescent="0.2">
      <c r="A1452" s="275"/>
      <c r="B1452" s="78"/>
      <c r="C1452" s="189"/>
      <c r="D1452" s="185"/>
      <c r="E1452" s="186"/>
      <c r="F1452" s="187"/>
    </row>
    <row r="1453" spans="1:6" x14ac:dyDescent="0.2">
      <c r="A1453" s="275"/>
      <c r="B1453" s="78"/>
      <c r="C1453" s="189"/>
      <c r="D1453" s="185"/>
      <c r="E1453" s="186"/>
      <c r="F1453" s="187"/>
    </row>
    <row r="1454" spans="1:6" x14ac:dyDescent="0.2">
      <c r="A1454" s="275"/>
      <c r="B1454" s="78"/>
      <c r="C1454" s="189"/>
      <c r="D1454" s="185"/>
      <c r="E1454" s="186"/>
      <c r="F1454" s="187"/>
    </row>
    <row r="1455" spans="1:6" x14ac:dyDescent="0.2">
      <c r="A1455" s="275"/>
      <c r="B1455" s="78"/>
      <c r="C1455" s="189"/>
      <c r="D1455" s="185"/>
      <c r="E1455" s="186"/>
      <c r="F1455" s="187"/>
    </row>
    <row r="1456" spans="1:6" x14ac:dyDescent="0.2">
      <c r="A1456" s="275"/>
      <c r="B1456" s="78"/>
      <c r="C1456" s="189"/>
      <c r="D1456" s="185"/>
      <c r="E1456" s="186"/>
      <c r="F1456" s="187"/>
    </row>
    <row r="1457" spans="1:6" x14ac:dyDescent="0.2">
      <c r="A1457" s="275"/>
      <c r="B1457" s="78"/>
      <c r="C1457" s="189"/>
      <c r="D1457" s="185"/>
      <c r="E1457" s="186"/>
      <c r="F1457" s="187"/>
    </row>
    <row r="1458" spans="1:6" x14ac:dyDescent="0.2">
      <c r="A1458" s="275"/>
      <c r="B1458" s="78"/>
      <c r="C1458" s="189"/>
      <c r="D1458" s="185"/>
      <c r="E1458" s="186"/>
      <c r="F1458" s="187"/>
    </row>
    <row r="1459" spans="1:6" x14ac:dyDescent="0.2">
      <c r="A1459" s="275"/>
      <c r="B1459" s="78"/>
      <c r="C1459" s="189"/>
      <c r="D1459" s="185"/>
      <c r="E1459" s="186"/>
      <c r="F1459" s="187"/>
    </row>
    <row r="1460" spans="1:6" x14ac:dyDescent="0.2">
      <c r="A1460" s="275"/>
      <c r="B1460" s="78"/>
      <c r="C1460" s="189"/>
      <c r="D1460" s="185"/>
      <c r="E1460" s="186"/>
      <c r="F1460" s="187"/>
    </row>
    <row r="1461" spans="1:6" x14ac:dyDescent="0.2">
      <c r="A1461" s="275"/>
      <c r="B1461" s="78"/>
      <c r="C1461" s="189"/>
      <c r="D1461" s="185"/>
      <c r="E1461" s="186"/>
      <c r="F1461" s="187"/>
    </row>
    <row r="1462" spans="1:6" x14ac:dyDescent="0.2">
      <c r="A1462" s="275"/>
      <c r="B1462" s="78"/>
      <c r="C1462" s="189"/>
      <c r="D1462" s="185"/>
      <c r="E1462" s="186"/>
      <c r="F1462" s="187"/>
    </row>
    <row r="1463" spans="1:6" x14ac:dyDescent="0.2">
      <c r="A1463" s="275"/>
      <c r="B1463" s="78"/>
      <c r="C1463" s="189"/>
      <c r="D1463" s="185"/>
      <c r="E1463" s="186"/>
      <c r="F1463" s="187"/>
    </row>
    <row r="1464" spans="1:6" x14ac:dyDescent="0.2">
      <c r="A1464" s="275"/>
      <c r="B1464" s="78"/>
      <c r="C1464" s="189"/>
      <c r="D1464" s="185"/>
      <c r="E1464" s="186"/>
      <c r="F1464" s="187"/>
    </row>
    <row r="1465" spans="1:6" x14ac:dyDescent="0.2">
      <c r="A1465" s="275"/>
      <c r="B1465" s="78"/>
      <c r="C1465" s="189"/>
      <c r="D1465" s="185"/>
      <c r="E1465" s="186"/>
      <c r="F1465" s="187"/>
    </row>
    <row r="1466" spans="1:6" x14ac:dyDescent="0.2">
      <c r="A1466" s="275"/>
      <c r="B1466" s="78"/>
      <c r="C1466" s="189"/>
      <c r="D1466" s="185"/>
      <c r="E1466" s="186"/>
      <c r="F1466" s="187"/>
    </row>
    <row r="1467" spans="1:6" x14ac:dyDescent="0.2">
      <c r="A1467" s="275"/>
      <c r="B1467" s="78"/>
      <c r="C1467" s="189"/>
      <c r="D1467" s="185"/>
      <c r="E1467" s="186"/>
      <c r="F1467" s="187"/>
    </row>
    <row r="1468" spans="1:6" x14ac:dyDescent="0.2">
      <c r="A1468" s="275"/>
      <c r="B1468" s="78"/>
      <c r="C1468" s="189"/>
      <c r="D1468" s="185"/>
      <c r="E1468" s="186"/>
      <c r="F1468" s="187"/>
    </row>
    <row r="1469" spans="1:6" x14ac:dyDescent="0.2">
      <c r="A1469" s="275"/>
      <c r="B1469" s="78"/>
      <c r="C1469" s="189"/>
      <c r="D1469" s="185"/>
      <c r="E1469" s="186"/>
      <c r="F1469" s="187"/>
    </row>
    <row r="1470" spans="1:6" x14ac:dyDescent="0.2">
      <c r="A1470" s="275"/>
      <c r="B1470" s="78"/>
      <c r="C1470" s="189"/>
      <c r="D1470" s="185"/>
      <c r="E1470" s="186"/>
      <c r="F1470" s="187"/>
    </row>
    <row r="1471" spans="1:6" x14ac:dyDescent="0.2">
      <c r="A1471" s="275"/>
      <c r="B1471" s="78"/>
      <c r="C1471" s="189"/>
      <c r="D1471" s="185"/>
      <c r="E1471" s="186"/>
      <c r="F1471" s="187"/>
    </row>
    <row r="1472" spans="1:6" x14ac:dyDescent="0.2">
      <c r="A1472" s="275"/>
      <c r="B1472" s="78"/>
      <c r="C1472" s="189"/>
      <c r="D1472" s="185"/>
      <c r="E1472" s="186"/>
      <c r="F1472" s="187"/>
    </row>
    <row r="1473" spans="1:6" x14ac:dyDescent="0.2">
      <c r="A1473" s="275"/>
      <c r="B1473" s="78"/>
      <c r="C1473" s="189"/>
      <c r="D1473" s="185"/>
      <c r="E1473" s="186"/>
      <c r="F1473" s="187"/>
    </row>
    <row r="1474" spans="1:6" x14ac:dyDescent="0.2">
      <c r="A1474" s="275"/>
      <c r="B1474" s="78"/>
      <c r="C1474" s="189"/>
      <c r="D1474" s="185"/>
      <c r="E1474" s="186"/>
      <c r="F1474" s="187"/>
    </row>
    <row r="1475" spans="1:6" x14ac:dyDescent="0.2">
      <c r="A1475" s="275"/>
      <c r="B1475" s="78"/>
      <c r="C1475" s="189"/>
      <c r="D1475" s="185"/>
      <c r="E1475" s="186"/>
      <c r="F1475" s="187"/>
    </row>
    <row r="1476" spans="1:6" x14ac:dyDescent="0.2">
      <c r="A1476" s="275"/>
      <c r="B1476" s="78"/>
      <c r="C1476" s="189"/>
      <c r="D1476" s="185"/>
      <c r="E1476" s="186"/>
      <c r="F1476" s="187"/>
    </row>
    <row r="1477" spans="1:6" x14ac:dyDescent="0.2">
      <c r="A1477" s="275"/>
      <c r="B1477" s="78"/>
      <c r="C1477" s="189"/>
      <c r="D1477" s="185"/>
      <c r="E1477" s="186"/>
      <c r="F1477" s="187"/>
    </row>
    <row r="1478" spans="1:6" x14ac:dyDescent="0.2">
      <c r="A1478" s="275"/>
      <c r="B1478" s="78"/>
      <c r="C1478" s="189"/>
      <c r="D1478" s="185"/>
      <c r="E1478" s="186"/>
      <c r="F1478" s="187"/>
    </row>
    <row r="1479" spans="1:6" x14ac:dyDescent="0.2">
      <c r="A1479" s="275"/>
      <c r="B1479" s="78"/>
      <c r="C1479" s="189"/>
      <c r="D1479" s="185"/>
      <c r="E1479" s="186"/>
      <c r="F1479" s="187"/>
    </row>
    <row r="1480" spans="1:6" x14ac:dyDescent="0.2">
      <c r="A1480" s="275"/>
      <c r="B1480" s="78"/>
      <c r="C1480" s="189"/>
      <c r="D1480" s="185"/>
      <c r="E1480" s="186"/>
      <c r="F1480" s="187"/>
    </row>
    <row r="1481" spans="1:6" x14ac:dyDescent="0.2">
      <c r="A1481" s="275"/>
      <c r="B1481" s="78"/>
      <c r="C1481" s="189"/>
      <c r="D1481" s="185"/>
      <c r="E1481" s="186"/>
      <c r="F1481" s="187"/>
    </row>
    <row r="1482" spans="1:6" x14ac:dyDescent="0.2">
      <c r="A1482" s="275"/>
      <c r="B1482" s="78"/>
      <c r="C1482" s="189"/>
      <c r="D1482" s="185"/>
      <c r="E1482" s="186"/>
      <c r="F1482" s="187"/>
    </row>
    <row r="1483" spans="1:6" x14ac:dyDescent="0.2">
      <c r="A1483" s="275"/>
      <c r="B1483" s="78"/>
      <c r="C1483" s="189"/>
      <c r="D1483" s="185"/>
      <c r="E1483" s="186"/>
      <c r="F1483" s="187"/>
    </row>
    <row r="1484" spans="1:6" x14ac:dyDescent="0.2">
      <c r="A1484" s="275"/>
      <c r="B1484" s="78"/>
      <c r="C1484" s="189"/>
      <c r="D1484" s="185"/>
      <c r="E1484" s="186"/>
      <c r="F1484" s="187"/>
    </row>
    <row r="1485" spans="1:6" x14ac:dyDescent="0.2">
      <c r="A1485" s="275"/>
      <c r="B1485" s="78"/>
      <c r="C1485" s="189"/>
      <c r="D1485" s="185"/>
      <c r="E1485" s="186"/>
      <c r="F1485" s="187"/>
    </row>
    <row r="1486" spans="1:6" x14ac:dyDescent="0.2">
      <c r="A1486" s="275"/>
      <c r="B1486" s="78"/>
      <c r="C1486" s="189"/>
      <c r="D1486" s="185"/>
      <c r="E1486" s="186"/>
      <c r="F1486" s="187"/>
    </row>
    <row r="1487" spans="1:6" x14ac:dyDescent="0.2">
      <c r="A1487" s="275"/>
      <c r="B1487" s="78"/>
      <c r="C1487" s="189"/>
      <c r="D1487" s="185"/>
      <c r="E1487" s="186"/>
      <c r="F1487" s="187"/>
    </row>
    <row r="1488" spans="1:6" x14ac:dyDescent="0.2">
      <c r="A1488" s="275"/>
      <c r="B1488" s="78"/>
      <c r="C1488" s="189"/>
      <c r="D1488" s="185"/>
      <c r="E1488" s="186"/>
      <c r="F1488" s="187"/>
    </row>
    <row r="1489" spans="1:6" x14ac:dyDescent="0.2">
      <c r="A1489" s="275"/>
      <c r="B1489" s="78"/>
      <c r="C1489" s="189"/>
      <c r="D1489" s="185"/>
      <c r="E1489" s="186"/>
      <c r="F1489" s="187"/>
    </row>
    <row r="1490" spans="1:6" x14ac:dyDescent="0.2">
      <c r="A1490" s="275"/>
      <c r="B1490" s="78"/>
      <c r="C1490" s="189"/>
      <c r="D1490" s="185"/>
      <c r="E1490" s="186"/>
      <c r="F1490" s="187"/>
    </row>
    <row r="1491" spans="1:6" x14ac:dyDescent="0.2">
      <c r="A1491" s="275"/>
      <c r="B1491" s="78"/>
      <c r="C1491" s="189"/>
      <c r="D1491" s="185"/>
      <c r="E1491" s="186"/>
      <c r="F1491" s="187"/>
    </row>
    <row r="1492" spans="1:6" x14ac:dyDescent="0.2">
      <c r="A1492" s="275"/>
      <c r="B1492" s="78"/>
      <c r="C1492" s="189"/>
      <c r="D1492" s="185"/>
      <c r="E1492" s="186"/>
      <c r="F1492" s="187"/>
    </row>
    <row r="1493" spans="1:6" x14ac:dyDescent="0.2">
      <c r="A1493" s="275"/>
      <c r="B1493" s="78"/>
      <c r="C1493" s="189"/>
      <c r="D1493" s="185"/>
      <c r="E1493" s="186"/>
      <c r="F1493" s="187"/>
    </row>
    <row r="1494" spans="1:6" x14ac:dyDescent="0.2">
      <c r="A1494" s="275"/>
      <c r="B1494" s="78"/>
      <c r="C1494" s="189"/>
      <c r="D1494" s="185"/>
      <c r="E1494" s="186"/>
      <c r="F1494" s="187"/>
    </row>
    <row r="1495" spans="1:6" x14ac:dyDescent="0.2">
      <c r="A1495" s="275"/>
      <c r="B1495" s="78"/>
      <c r="C1495" s="189"/>
      <c r="D1495" s="185"/>
      <c r="E1495" s="186"/>
      <c r="F1495" s="187"/>
    </row>
    <row r="1496" spans="1:6" x14ac:dyDescent="0.2">
      <c r="A1496" s="275"/>
      <c r="B1496" s="78"/>
      <c r="C1496" s="189"/>
      <c r="D1496" s="185"/>
      <c r="E1496" s="186"/>
      <c r="F1496" s="187"/>
    </row>
    <row r="1497" spans="1:6" x14ac:dyDescent="0.2">
      <c r="A1497" s="275"/>
      <c r="B1497" s="78"/>
      <c r="C1497" s="189"/>
      <c r="D1497" s="185"/>
      <c r="E1497" s="186"/>
      <c r="F1497" s="187"/>
    </row>
    <row r="1498" spans="1:6" x14ac:dyDescent="0.2">
      <c r="A1498" s="275"/>
      <c r="B1498" s="78"/>
      <c r="C1498" s="189"/>
      <c r="D1498" s="185"/>
      <c r="E1498" s="186"/>
      <c r="F1498" s="187"/>
    </row>
    <row r="1499" spans="1:6" x14ac:dyDescent="0.2">
      <c r="A1499" s="275"/>
      <c r="B1499" s="78"/>
      <c r="C1499" s="189"/>
      <c r="D1499" s="185"/>
      <c r="E1499" s="186"/>
      <c r="F1499" s="187"/>
    </row>
    <row r="1500" spans="1:6" x14ac:dyDescent="0.2">
      <c r="A1500" s="275"/>
      <c r="B1500" s="78"/>
      <c r="C1500" s="189"/>
      <c r="D1500" s="185"/>
      <c r="E1500" s="186"/>
      <c r="F1500" s="187"/>
    </row>
    <row r="1501" spans="1:6" x14ac:dyDescent="0.2">
      <c r="A1501" s="275"/>
      <c r="B1501" s="78"/>
      <c r="C1501" s="189"/>
      <c r="D1501" s="185"/>
      <c r="E1501" s="186"/>
      <c r="F1501" s="187"/>
    </row>
    <row r="1502" spans="1:6" x14ac:dyDescent="0.2">
      <c r="A1502" s="275"/>
      <c r="B1502" s="78"/>
      <c r="C1502" s="189"/>
      <c r="D1502" s="185"/>
      <c r="E1502" s="186"/>
      <c r="F1502" s="187"/>
    </row>
    <row r="1503" spans="1:6" x14ac:dyDescent="0.2">
      <c r="A1503" s="275"/>
      <c r="B1503" s="78"/>
      <c r="C1503" s="189"/>
      <c r="D1503" s="185"/>
      <c r="E1503" s="186"/>
      <c r="F1503" s="187"/>
    </row>
    <row r="1504" spans="1:6" x14ac:dyDescent="0.2">
      <c r="A1504" s="275"/>
      <c r="B1504" s="78"/>
      <c r="C1504" s="189"/>
      <c r="D1504" s="185"/>
      <c r="E1504" s="186"/>
      <c r="F1504" s="187"/>
    </row>
    <row r="1505" spans="1:6" x14ac:dyDescent="0.2">
      <c r="A1505" s="275"/>
      <c r="B1505" s="78"/>
      <c r="C1505" s="189"/>
      <c r="D1505" s="185"/>
      <c r="E1505" s="186"/>
      <c r="F1505" s="187"/>
    </row>
    <row r="1506" spans="1:6" x14ac:dyDescent="0.2">
      <c r="A1506" s="275"/>
      <c r="B1506" s="78"/>
      <c r="C1506" s="189"/>
      <c r="D1506" s="185"/>
      <c r="E1506" s="186"/>
      <c r="F1506" s="187"/>
    </row>
    <row r="1507" spans="1:6" x14ac:dyDescent="0.2">
      <c r="A1507" s="275"/>
      <c r="B1507" s="78"/>
      <c r="C1507" s="189"/>
      <c r="D1507" s="185"/>
      <c r="E1507" s="186"/>
      <c r="F1507" s="187"/>
    </row>
    <row r="1508" spans="1:6" x14ac:dyDescent="0.2">
      <c r="A1508" s="275"/>
      <c r="B1508" s="78"/>
      <c r="C1508" s="189"/>
      <c r="D1508" s="185"/>
      <c r="E1508" s="186"/>
      <c r="F1508" s="187"/>
    </row>
    <row r="1509" spans="1:6" x14ac:dyDescent="0.2">
      <c r="A1509" s="275"/>
      <c r="B1509" s="78"/>
      <c r="C1509" s="189"/>
      <c r="D1509" s="185"/>
      <c r="E1509" s="186"/>
      <c r="F1509" s="187"/>
    </row>
    <row r="1510" spans="1:6" x14ac:dyDescent="0.2">
      <c r="A1510" s="275"/>
      <c r="B1510" s="78"/>
      <c r="C1510" s="189"/>
      <c r="D1510" s="185"/>
      <c r="E1510" s="186"/>
      <c r="F1510" s="187"/>
    </row>
    <row r="1511" spans="1:6" x14ac:dyDescent="0.2">
      <c r="A1511" s="275"/>
      <c r="B1511" s="78"/>
      <c r="C1511" s="189"/>
      <c r="D1511" s="185"/>
      <c r="E1511" s="186"/>
      <c r="F1511" s="187"/>
    </row>
    <row r="1512" spans="1:6" x14ac:dyDescent="0.2">
      <c r="A1512" s="275"/>
      <c r="B1512" s="78"/>
      <c r="C1512" s="189"/>
      <c r="D1512" s="185"/>
      <c r="E1512" s="186"/>
      <c r="F1512" s="187"/>
    </row>
    <row r="1513" spans="1:6" x14ac:dyDescent="0.2">
      <c r="A1513" s="275"/>
      <c r="B1513" s="78"/>
      <c r="C1513" s="189"/>
      <c r="D1513" s="185"/>
      <c r="E1513" s="186"/>
      <c r="F1513" s="187"/>
    </row>
    <row r="1514" spans="1:6" x14ac:dyDescent="0.2">
      <c r="A1514" s="275"/>
      <c r="B1514" s="78"/>
      <c r="C1514" s="189"/>
      <c r="D1514" s="185"/>
      <c r="E1514" s="186"/>
      <c r="F1514" s="187"/>
    </row>
    <row r="1515" spans="1:6" x14ac:dyDescent="0.2">
      <c r="A1515" s="275"/>
      <c r="B1515" s="78"/>
      <c r="C1515" s="189"/>
      <c r="D1515" s="185"/>
      <c r="E1515" s="186"/>
      <c r="F1515" s="187"/>
    </row>
    <row r="1516" spans="1:6" x14ac:dyDescent="0.2">
      <c r="A1516" s="275"/>
      <c r="B1516" s="78"/>
      <c r="C1516" s="189"/>
      <c r="D1516" s="185"/>
      <c r="E1516" s="186"/>
      <c r="F1516" s="187"/>
    </row>
    <row r="1517" spans="1:6" x14ac:dyDescent="0.2">
      <c r="A1517" s="275"/>
      <c r="B1517" s="78"/>
      <c r="C1517" s="189"/>
      <c r="D1517" s="185"/>
      <c r="E1517" s="186"/>
      <c r="F1517" s="187"/>
    </row>
    <row r="1518" spans="1:6" x14ac:dyDescent="0.2">
      <c r="A1518" s="275"/>
      <c r="B1518" s="78"/>
      <c r="C1518" s="189"/>
      <c r="D1518" s="185"/>
      <c r="E1518" s="186"/>
      <c r="F1518" s="187"/>
    </row>
    <row r="1519" spans="1:6" x14ac:dyDescent="0.2">
      <c r="A1519" s="275"/>
      <c r="B1519" s="78"/>
      <c r="C1519" s="189"/>
      <c r="D1519" s="185"/>
      <c r="E1519" s="186"/>
      <c r="F1519" s="187"/>
    </row>
    <row r="1520" spans="1:6" x14ac:dyDescent="0.2">
      <c r="A1520" s="275"/>
      <c r="B1520" s="78"/>
      <c r="C1520" s="189"/>
      <c r="D1520" s="185"/>
      <c r="E1520" s="186"/>
      <c r="F1520" s="187"/>
    </row>
    <row r="1521" spans="1:6" x14ac:dyDescent="0.2">
      <c r="A1521" s="275"/>
      <c r="B1521" s="78"/>
      <c r="C1521" s="189"/>
      <c r="D1521" s="185"/>
      <c r="E1521" s="186"/>
      <c r="F1521" s="187"/>
    </row>
    <row r="1522" spans="1:6" x14ac:dyDescent="0.2">
      <c r="A1522" s="275"/>
      <c r="B1522" s="78"/>
      <c r="C1522" s="189"/>
      <c r="D1522" s="185"/>
      <c r="E1522" s="186"/>
      <c r="F1522" s="187"/>
    </row>
    <row r="1523" spans="1:6" x14ac:dyDescent="0.2">
      <c r="A1523" s="275"/>
      <c r="B1523" s="78"/>
      <c r="C1523" s="189"/>
      <c r="D1523" s="185"/>
      <c r="E1523" s="186"/>
      <c r="F1523" s="187"/>
    </row>
    <row r="1524" spans="1:6" x14ac:dyDescent="0.2">
      <c r="A1524" s="275"/>
      <c r="B1524" s="78"/>
      <c r="C1524" s="189"/>
      <c r="D1524" s="185"/>
      <c r="E1524" s="186"/>
      <c r="F1524" s="187"/>
    </row>
    <row r="1525" spans="1:6" x14ac:dyDescent="0.2">
      <c r="A1525" s="275"/>
      <c r="B1525" s="78"/>
      <c r="C1525" s="189"/>
      <c r="D1525" s="185"/>
      <c r="E1525" s="186"/>
      <c r="F1525" s="187"/>
    </row>
    <row r="1526" spans="1:6" x14ac:dyDescent="0.2">
      <c r="A1526" s="275"/>
      <c r="B1526" s="78"/>
      <c r="C1526" s="189"/>
      <c r="D1526" s="185"/>
      <c r="E1526" s="186"/>
      <c r="F1526" s="187"/>
    </row>
    <row r="1527" spans="1:6" x14ac:dyDescent="0.2">
      <c r="A1527" s="275"/>
      <c r="B1527" s="78"/>
      <c r="C1527" s="189"/>
      <c r="D1527" s="185"/>
      <c r="E1527" s="186"/>
      <c r="F1527" s="187"/>
    </row>
    <row r="1528" spans="1:6" x14ac:dyDescent="0.2">
      <c r="A1528" s="275"/>
      <c r="B1528" s="78"/>
      <c r="C1528" s="189"/>
      <c r="D1528" s="185"/>
      <c r="E1528" s="186"/>
      <c r="F1528" s="187"/>
    </row>
    <row r="1529" spans="1:6" x14ac:dyDescent="0.2">
      <c r="A1529" s="275"/>
      <c r="B1529" s="78"/>
      <c r="C1529" s="189"/>
      <c r="D1529" s="185"/>
      <c r="E1529" s="186"/>
      <c r="F1529" s="187"/>
    </row>
    <row r="1530" spans="1:6" x14ac:dyDescent="0.2">
      <c r="A1530" s="275"/>
      <c r="B1530" s="78"/>
      <c r="C1530" s="189"/>
      <c r="D1530" s="185"/>
      <c r="E1530" s="186"/>
      <c r="F1530" s="187"/>
    </row>
    <row r="1531" spans="1:6" x14ac:dyDescent="0.2">
      <c r="A1531" s="275"/>
      <c r="B1531" s="78"/>
      <c r="C1531" s="189"/>
      <c r="D1531" s="185"/>
      <c r="E1531" s="186"/>
      <c r="F1531" s="187"/>
    </row>
    <row r="1532" spans="1:6" x14ac:dyDescent="0.2">
      <c r="A1532" s="275"/>
      <c r="B1532" s="78"/>
      <c r="C1532" s="189"/>
      <c r="D1532" s="185"/>
      <c r="E1532" s="186"/>
      <c r="F1532" s="187"/>
    </row>
    <row r="1533" spans="1:6" x14ac:dyDescent="0.2">
      <c r="A1533" s="275"/>
      <c r="B1533" s="78"/>
      <c r="C1533" s="189"/>
      <c r="D1533" s="185"/>
      <c r="E1533" s="186"/>
      <c r="F1533" s="187"/>
    </row>
    <row r="1534" spans="1:6" x14ac:dyDescent="0.2">
      <c r="A1534" s="275"/>
      <c r="B1534" s="78"/>
      <c r="C1534" s="189"/>
      <c r="D1534" s="185"/>
      <c r="E1534" s="186"/>
      <c r="F1534" s="187"/>
    </row>
    <row r="1535" spans="1:6" x14ac:dyDescent="0.2">
      <c r="A1535" s="275"/>
      <c r="B1535" s="78"/>
      <c r="C1535" s="189"/>
      <c r="D1535" s="185"/>
      <c r="E1535" s="186"/>
      <c r="F1535" s="187"/>
    </row>
    <row r="1536" spans="1:6" x14ac:dyDescent="0.2">
      <c r="A1536" s="275"/>
      <c r="B1536" s="78"/>
      <c r="C1536" s="189"/>
      <c r="D1536" s="185"/>
      <c r="E1536" s="186"/>
      <c r="F1536" s="187"/>
    </row>
    <row r="1537" spans="1:6" x14ac:dyDescent="0.2">
      <c r="A1537" s="275"/>
      <c r="B1537" s="78"/>
      <c r="C1537" s="189"/>
      <c r="D1537" s="185"/>
      <c r="E1537" s="186"/>
      <c r="F1537" s="187"/>
    </row>
    <row r="1538" spans="1:6" x14ac:dyDescent="0.2">
      <c r="A1538" s="275"/>
      <c r="B1538" s="78"/>
      <c r="C1538" s="189"/>
      <c r="D1538" s="185"/>
      <c r="E1538" s="186"/>
      <c r="F1538" s="187"/>
    </row>
    <row r="1539" spans="1:6" x14ac:dyDescent="0.2">
      <c r="A1539" s="275"/>
      <c r="B1539" s="78"/>
      <c r="C1539" s="189"/>
      <c r="D1539" s="185"/>
      <c r="E1539" s="186"/>
      <c r="F1539" s="187"/>
    </row>
    <row r="1540" spans="1:6" x14ac:dyDescent="0.2">
      <c r="A1540" s="275"/>
      <c r="B1540" s="78"/>
      <c r="C1540" s="189"/>
      <c r="D1540" s="185"/>
      <c r="E1540" s="186"/>
      <c r="F1540" s="187"/>
    </row>
    <row r="1541" spans="1:6" x14ac:dyDescent="0.2">
      <c r="A1541" s="275"/>
      <c r="B1541" s="78"/>
      <c r="C1541" s="189"/>
      <c r="D1541" s="185"/>
      <c r="E1541" s="186"/>
      <c r="F1541" s="187"/>
    </row>
    <row r="1542" spans="1:6" x14ac:dyDescent="0.2">
      <c r="A1542" s="275"/>
      <c r="B1542" s="78"/>
      <c r="C1542" s="189"/>
      <c r="D1542" s="185"/>
      <c r="E1542" s="186"/>
      <c r="F1542" s="187"/>
    </row>
    <row r="1543" spans="1:6" x14ac:dyDescent="0.2">
      <c r="A1543" s="275"/>
      <c r="B1543" s="78"/>
      <c r="C1543" s="189"/>
      <c r="D1543" s="185"/>
      <c r="E1543" s="186"/>
      <c r="F1543" s="187"/>
    </row>
    <row r="1544" spans="1:6" x14ac:dyDescent="0.2">
      <c r="A1544" s="275"/>
      <c r="B1544" s="78"/>
      <c r="C1544" s="189"/>
      <c r="D1544" s="185"/>
      <c r="E1544" s="186"/>
      <c r="F1544" s="187"/>
    </row>
    <row r="1545" spans="1:6" x14ac:dyDescent="0.2">
      <c r="A1545" s="275"/>
      <c r="B1545" s="78"/>
      <c r="C1545" s="189"/>
      <c r="D1545" s="185"/>
      <c r="E1545" s="186"/>
      <c r="F1545" s="187"/>
    </row>
    <row r="1546" spans="1:6" x14ac:dyDescent="0.2">
      <c r="A1546" s="275"/>
      <c r="B1546" s="78"/>
      <c r="C1546" s="189"/>
      <c r="D1546" s="185"/>
      <c r="E1546" s="186"/>
      <c r="F1546" s="187"/>
    </row>
    <row r="1547" spans="1:6" x14ac:dyDescent="0.2">
      <c r="A1547" s="275"/>
      <c r="B1547" s="78"/>
      <c r="C1547" s="189"/>
      <c r="D1547" s="185"/>
      <c r="E1547" s="186"/>
      <c r="F1547" s="187"/>
    </row>
    <row r="1548" spans="1:6" x14ac:dyDescent="0.2">
      <c r="A1548" s="275"/>
      <c r="B1548" s="78"/>
      <c r="C1548" s="189"/>
      <c r="D1548" s="185"/>
      <c r="E1548" s="186"/>
      <c r="F1548" s="187"/>
    </row>
    <row r="1549" spans="1:6" x14ac:dyDescent="0.2">
      <c r="A1549" s="275"/>
      <c r="B1549" s="78"/>
      <c r="C1549" s="189"/>
      <c r="D1549" s="185"/>
      <c r="E1549" s="186"/>
      <c r="F1549" s="187"/>
    </row>
    <row r="1550" spans="1:6" x14ac:dyDescent="0.2">
      <c r="A1550" s="275"/>
      <c r="B1550" s="78"/>
      <c r="C1550" s="189"/>
      <c r="D1550" s="185"/>
      <c r="E1550" s="186"/>
      <c r="F1550" s="187"/>
    </row>
    <row r="1551" spans="1:6" x14ac:dyDescent="0.2">
      <c r="A1551" s="275"/>
      <c r="B1551" s="78"/>
      <c r="C1551" s="189"/>
      <c r="D1551" s="185"/>
      <c r="E1551" s="186"/>
      <c r="F1551" s="187"/>
    </row>
    <row r="1552" spans="1:6" x14ac:dyDescent="0.2">
      <c r="A1552" s="275"/>
      <c r="B1552" s="78"/>
      <c r="C1552" s="189"/>
      <c r="D1552" s="185"/>
      <c r="E1552" s="186"/>
      <c r="F1552" s="187"/>
    </row>
    <row r="1553" spans="1:6" x14ac:dyDescent="0.2">
      <c r="A1553" s="275"/>
      <c r="B1553" s="78"/>
      <c r="C1553" s="189"/>
      <c r="D1553" s="185"/>
      <c r="E1553" s="186"/>
      <c r="F1553" s="187"/>
    </row>
    <row r="1554" spans="1:6" x14ac:dyDescent="0.2">
      <c r="A1554" s="275"/>
      <c r="B1554" s="78"/>
      <c r="C1554" s="189"/>
      <c r="D1554" s="185"/>
      <c r="E1554" s="186"/>
      <c r="F1554" s="187"/>
    </row>
    <row r="1555" spans="1:6" x14ac:dyDescent="0.2">
      <c r="A1555" s="275"/>
      <c r="B1555" s="78"/>
      <c r="C1555" s="189"/>
      <c r="D1555" s="185"/>
      <c r="E1555" s="186"/>
      <c r="F1555" s="187"/>
    </row>
    <row r="1556" spans="1:6" x14ac:dyDescent="0.2">
      <c r="A1556" s="275"/>
      <c r="B1556" s="78"/>
      <c r="C1556" s="189"/>
      <c r="D1556" s="185"/>
      <c r="E1556" s="186"/>
      <c r="F1556" s="187"/>
    </row>
    <row r="1557" spans="1:6" x14ac:dyDescent="0.2">
      <c r="A1557" s="275"/>
      <c r="B1557" s="78"/>
      <c r="C1557" s="189"/>
      <c r="D1557" s="185"/>
      <c r="E1557" s="186"/>
      <c r="F1557" s="187"/>
    </row>
    <row r="1558" spans="1:6" x14ac:dyDescent="0.2">
      <c r="A1558" s="275"/>
      <c r="B1558" s="78"/>
      <c r="C1558" s="189"/>
      <c r="D1558" s="185"/>
      <c r="E1558" s="186"/>
      <c r="F1558" s="187"/>
    </row>
    <row r="1559" spans="1:6" x14ac:dyDescent="0.2">
      <c r="A1559" s="275"/>
      <c r="B1559" s="78"/>
      <c r="C1559" s="189"/>
      <c r="D1559" s="185"/>
      <c r="E1559" s="186"/>
      <c r="F1559" s="187"/>
    </row>
    <row r="1560" spans="1:6" x14ac:dyDescent="0.2">
      <c r="A1560" s="275"/>
      <c r="B1560" s="78"/>
      <c r="C1560" s="189"/>
      <c r="D1560" s="185"/>
      <c r="E1560" s="186"/>
      <c r="F1560" s="187"/>
    </row>
    <row r="1561" spans="1:6" x14ac:dyDescent="0.2">
      <c r="A1561" s="275"/>
      <c r="B1561" s="78"/>
      <c r="C1561" s="189"/>
      <c r="D1561" s="185"/>
      <c r="E1561" s="186"/>
      <c r="F1561" s="187"/>
    </row>
    <row r="1562" spans="1:6" x14ac:dyDescent="0.2">
      <c r="A1562" s="275"/>
      <c r="B1562" s="78"/>
      <c r="C1562" s="189"/>
      <c r="D1562" s="185"/>
      <c r="E1562" s="186"/>
      <c r="F1562" s="187"/>
    </row>
    <row r="1563" spans="1:6" x14ac:dyDescent="0.2">
      <c r="A1563" s="275"/>
      <c r="B1563" s="78"/>
      <c r="C1563" s="189"/>
      <c r="D1563" s="185"/>
      <c r="E1563" s="186"/>
      <c r="F1563" s="187"/>
    </row>
    <row r="1564" spans="1:6" x14ac:dyDescent="0.2">
      <c r="A1564" s="275"/>
      <c r="B1564" s="78"/>
      <c r="C1564" s="189"/>
      <c r="D1564" s="185"/>
      <c r="E1564" s="186"/>
      <c r="F1564" s="187"/>
    </row>
    <row r="1565" spans="1:6" x14ac:dyDescent="0.2">
      <c r="A1565" s="275"/>
      <c r="B1565" s="78"/>
      <c r="C1565" s="189"/>
      <c r="D1565" s="185"/>
      <c r="E1565" s="186"/>
      <c r="F1565" s="187"/>
    </row>
    <row r="1566" spans="1:6" x14ac:dyDescent="0.2">
      <c r="A1566" s="275"/>
      <c r="B1566" s="78"/>
      <c r="C1566" s="189"/>
      <c r="D1566" s="185"/>
      <c r="E1566" s="186"/>
      <c r="F1566" s="187"/>
    </row>
    <row r="1567" spans="1:6" x14ac:dyDescent="0.2">
      <c r="A1567" s="275"/>
      <c r="B1567" s="78"/>
      <c r="C1567" s="189"/>
      <c r="D1567" s="185"/>
      <c r="E1567" s="186"/>
      <c r="F1567" s="187"/>
    </row>
    <row r="1568" spans="1:6" x14ac:dyDescent="0.2">
      <c r="A1568" s="275"/>
      <c r="B1568" s="78"/>
      <c r="C1568" s="189"/>
      <c r="D1568" s="185"/>
      <c r="E1568" s="186"/>
      <c r="F1568" s="187"/>
    </row>
    <row r="1569" spans="1:6" x14ac:dyDescent="0.2">
      <c r="A1569" s="275"/>
      <c r="B1569" s="78"/>
      <c r="C1569" s="189"/>
      <c r="D1569" s="185"/>
      <c r="E1569" s="186"/>
      <c r="F1569" s="187"/>
    </row>
    <row r="1570" spans="1:6" x14ac:dyDescent="0.2">
      <c r="A1570" s="275"/>
      <c r="B1570" s="78"/>
      <c r="C1570" s="189"/>
      <c r="D1570" s="185"/>
      <c r="E1570" s="186"/>
      <c r="F1570" s="187"/>
    </row>
    <row r="1571" spans="1:6" x14ac:dyDescent="0.2">
      <c r="A1571" s="275"/>
      <c r="B1571" s="78"/>
      <c r="C1571" s="189"/>
      <c r="D1571" s="185"/>
      <c r="E1571" s="186"/>
      <c r="F1571" s="187"/>
    </row>
    <row r="1572" spans="1:6" x14ac:dyDescent="0.2">
      <c r="A1572" s="275"/>
      <c r="B1572" s="78"/>
      <c r="C1572" s="189"/>
      <c r="D1572" s="185"/>
      <c r="E1572" s="186"/>
      <c r="F1572" s="187"/>
    </row>
    <row r="1573" spans="1:6" x14ac:dyDescent="0.2">
      <c r="A1573" s="275"/>
      <c r="B1573" s="78"/>
      <c r="C1573" s="189"/>
      <c r="D1573" s="185"/>
      <c r="E1573" s="186"/>
      <c r="F1573" s="187"/>
    </row>
    <row r="1574" spans="1:6" x14ac:dyDescent="0.2">
      <c r="A1574" s="275"/>
      <c r="B1574" s="78"/>
      <c r="C1574" s="189"/>
      <c r="D1574" s="185"/>
      <c r="E1574" s="186"/>
      <c r="F1574" s="187"/>
    </row>
    <row r="1575" spans="1:6" x14ac:dyDescent="0.2">
      <c r="A1575" s="275"/>
      <c r="B1575" s="78"/>
      <c r="C1575" s="189"/>
      <c r="D1575" s="185"/>
      <c r="E1575" s="186"/>
      <c r="F1575" s="187"/>
    </row>
    <row r="1576" spans="1:6" x14ac:dyDescent="0.2">
      <c r="A1576" s="275"/>
      <c r="B1576" s="78"/>
      <c r="C1576" s="189"/>
      <c r="D1576" s="185"/>
      <c r="E1576" s="186"/>
      <c r="F1576" s="187"/>
    </row>
    <row r="1577" spans="1:6" x14ac:dyDescent="0.2">
      <c r="A1577" s="275"/>
      <c r="B1577" s="78"/>
      <c r="C1577" s="189"/>
      <c r="D1577" s="185"/>
      <c r="E1577" s="186"/>
      <c r="F1577" s="187"/>
    </row>
    <row r="1578" spans="1:6" x14ac:dyDescent="0.2">
      <c r="A1578" s="275"/>
      <c r="B1578" s="78"/>
      <c r="C1578" s="189"/>
      <c r="D1578" s="185"/>
      <c r="E1578" s="186"/>
      <c r="F1578" s="187"/>
    </row>
    <row r="1579" spans="1:6" x14ac:dyDescent="0.2">
      <c r="A1579" s="275"/>
      <c r="B1579" s="78"/>
      <c r="C1579" s="189"/>
      <c r="D1579" s="185"/>
      <c r="E1579" s="186"/>
      <c r="F1579" s="187"/>
    </row>
    <row r="1580" spans="1:6" x14ac:dyDescent="0.2">
      <c r="A1580" s="275"/>
      <c r="B1580" s="78"/>
      <c r="C1580" s="189"/>
      <c r="D1580" s="185"/>
      <c r="E1580" s="186"/>
      <c r="F1580" s="187"/>
    </row>
    <row r="1581" spans="1:6" x14ac:dyDescent="0.2">
      <c r="A1581" s="275"/>
      <c r="B1581" s="78"/>
      <c r="C1581" s="189"/>
      <c r="D1581" s="185"/>
      <c r="E1581" s="186"/>
      <c r="F1581" s="187"/>
    </row>
    <row r="1582" spans="1:6" x14ac:dyDescent="0.2">
      <c r="A1582" s="275"/>
      <c r="B1582" s="78"/>
      <c r="C1582" s="189"/>
      <c r="D1582" s="185"/>
      <c r="E1582" s="186"/>
      <c r="F1582" s="187"/>
    </row>
    <row r="1583" spans="1:6" x14ac:dyDescent="0.2">
      <c r="A1583" s="275"/>
      <c r="B1583" s="78"/>
      <c r="C1583" s="189"/>
      <c r="D1583" s="185"/>
      <c r="E1583" s="186"/>
      <c r="F1583" s="187"/>
    </row>
    <row r="1584" spans="1:6" x14ac:dyDescent="0.2">
      <c r="A1584" s="275"/>
      <c r="B1584" s="78"/>
      <c r="C1584" s="189"/>
      <c r="D1584" s="185"/>
      <c r="E1584" s="186"/>
      <c r="F1584" s="187"/>
    </row>
    <row r="1585" spans="1:6" x14ac:dyDescent="0.2">
      <c r="A1585" s="275"/>
      <c r="B1585" s="78"/>
      <c r="C1585" s="189"/>
      <c r="D1585" s="185"/>
      <c r="E1585" s="186"/>
      <c r="F1585" s="187"/>
    </row>
    <row r="1586" spans="1:6" x14ac:dyDescent="0.2">
      <c r="A1586" s="275"/>
      <c r="B1586" s="78"/>
      <c r="C1586" s="189"/>
      <c r="D1586" s="185"/>
      <c r="E1586" s="186"/>
      <c r="F1586" s="187"/>
    </row>
    <row r="1587" spans="1:6" x14ac:dyDescent="0.2">
      <c r="A1587" s="275"/>
      <c r="B1587" s="78"/>
      <c r="C1587" s="189"/>
      <c r="D1587" s="185"/>
      <c r="E1587" s="186"/>
      <c r="F1587" s="187"/>
    </row>
    <row r="1588" spans="1:6" x14ac:dyDescent="0.2">
      <c r="A1588" s="275"/>
      <c r="B1588" s="78"/>
      <c r="C1588" s="189"/>
      <c r="D1588" s="185"/>
      <c r="E1588" s="186"/>
      <c r="F1588" s="187"/>
    </row>
    <row r="1589" spans="1:6" x14ac:dyDescent="0.2">
      <c r="A1589" s="275"/>
      <c r="B1589" s="78"/>
      <c r="C1589" s="189"/>
      <c r="D1589" s="185"/>
      <c r="E1589" s="186"/>
      <c r="F1589" s="187"/>
    </row>
    <row r="1590" spans="1:6" x14ac:dyDescent="0.2">
      <c r="A1590" s="275"/>
      <c r="B1590" s="78"/>
      <c r="C1590" s="189"/>
      <c r="D1590" s="185"/>
      <c r="E1590" s="186"/>
      <c r="F1590" s="187"/>
    </row>
    <row r="1591" spans="1:6" x14ac:dyDescent="0.2">
      <c r="A1591" s="275"/>
      <c r="B1591" s="78"/>
      <c r="C1591" s="189"/>
      <c r="D1591" s="185"/>
      <c r="E1591" s="186"/>
      <c r="F1591" s="187"/>
    </row>
    <row r="1592" spans="1:6" x14ac:dyDescent="0.2">
      <c r="A1592" s="275"/>
      <c r="B1592" s="78"/>
      <c r="C1592" s="189"/>
      <c r="D1592" s="185"/>
      <c r="E1592" s="186"/>
      <c r="F1592" s="187"/>
    </row>
    <row r="1593" spans="1:6" x14ac:dyDescent="0.2">
      <c r="A1593" s="275"/>
      <c r="B1593" s="78"/>
      <c r="C1593" s="189"/>
      <c r="D1593" s="185"/>
      <c r="E1593" s="186"/>
      <c r="F1593" s="187"/>
    </row>
    <row r="1594" spans="1:6" x14ac:dyDescent="0.2">
      <c r="A1594" s="275"/>
      <c r="B1594" s="78"/>
      <c r="C1594" s="189"/>
      <c r="D1594" s="185"/>
      <c r="E1594" s="186"/>
      <c r="F1594" s="187"/>
    </row>
    <row r="1595" spans="1:6" x14ac:dyDescent="0.2">
      <c r="A1595" s="275"/>
      <c r="B1595" s="78"/>
      <c r="C1595" s="189"/>
      <c r="D1595" s="185"/>
      <c r="E1595" s="186"/>
      <c r="F1595" s="187"/>
    </row>
    <row r="1596" spans="1:6" x14ac:dyDescent="0.2">
      <c r="A1596" s="275"/>
      <c r="B1596" s="78"/>
      <c r="C1596" s="189"/>
      <c r="D1596" s="185"/>
      <c r="E1596" s="186"/>
      <c r="F1596" s="187"/>
    </row>
    <row r="1597" spans="1:6" x14ac:dyDescent="0.2">
      <c r="A1597" s="275"/>
      <c r="B1597" s="78"/>
      <c r="C1597" s="189"/>
      <c r="D1597" s="185"/>
      <c r="E1597" s="186"/>
      <c r="F1597" s="187"/>
    </row>
    <row r="1598" spans="1:6" x14ac:dyDescent="0.2">
      <c r="A1598" s="275"/>
      <c r="B1598" s="78"/>
      <c r="C1598" s="189"/>
      <c r="D1598" s="185"/>
      <c r="E1598" s="186"/>
      <c r="F1598" s="187"/>
    </row>
    <row r="1599" spans="1:6" x14ac:dyDescent="0.2">
      <c r="A1599" s="275"/>
      <c r="B1599" s="78"/>
      <c r="C1599" s="189"/>
      <c r="D1599" s="185"/>
      <c r="E1599" s="186"/>
      <c r="F1599" s="187"/>
    </row>
    <row r="1600" spans="1:6" x14ac:dyDescent="0.2">
      <c r="A1600" s="275"/>
      <c r="B1600" s="78"/>
      <c r="C1600" s="189"/>
      <c r="D1600" s="185"/>
      <c r="E1600" s="186"/>
      <c r="F1600" s="187"/>
    </row>
    <row r="1601" spans="1:6" x14ac:dyDescent="0.2">
      <c r="A1601" s="275"/>
      <c r="B1601" s="78"/>
      <c r="C1601" s="189"/>
      <c r="D1601" s="185"/>
      <c r="E1601" s="186"/>
      <c r="F1601" s="187"/>
    </row>
    <row r="1602" spans="1:6" x14ac:dyDescent="0.2">
      <c r="A1602" s="275"/>
      <c r="B1602" s="78"/>
      <c r="C1602" s="189"/>
      <c r="D1602" s="185"/>
      <c r="E1602" s="186"/>
      <c r="F1602" s="187"/>
    </row>
    <row r="1603" spans="1:6" x14ac:dyDescent="0.2">
      <c r="A1603" s="275"/>
      <c r="B1603" s="78"/>
      <c r="C1603" s="189"/>
      <c r="D1603" s="185"/>
      <c r="E1603" s="186"/>
      <c r="F1603" s="187"/>
    </row>
    <row r="1604" spans="1:6" x14ac:dyDescent="0.2">
      <c r="A1604" s="275"/>
      <c r="B1604" s="78"/>
      <c r="C1604" s="189"/>
      <c r="D1604" s="185"/>
      <c r="E1604" s="186"/>
      <c r="F1604" s="187"/>
    </row>
    <row r="1605" spans="1:6" x14ac:dyDescent="0.2">
      <c r="A1605" s="275"/>
      <c r="B1605" s="78"/>
      <c r="C1605" s="189"/>
      <c r="D1605" s="185"/>
      <c r="E1605" s="186"/>
      <c r="F1605" s="187"/>
    </row>
    <row r="1606" spans="1:6" x14ac:dyDescent="0.2">
      <c r="A1606" s="275"/>
      <c r="B1606" s="78"/>
      <c r="C1606" s="189"/>
      <c r="D1606" s="185"/>
      <c r="E1606" s="186"/>
      <c r="F1606" s="187"/>
    </row>
    <row r="1607" spans="1:6" x14ac:dyDescent="0.2">
      <c r="A1607" s="275"/>
      <c r="B1607" s="78"/>
      <c r="C1607" s="189"/>
      <c r="D1607" s="185"/>
      <c r="E1607" s="186"/>
      <c r="F1607" s="187"/>
    </row>
    <row r="1608" spans="1:6" x14ac:dyDescent="0.2">
      <c r="A1608" s="275"/>
      <c r="B1608" s="78"/>
      <c r="C1608" s="189"/>
      <c r="D1608" s="185"/>
      <c r="E1608" s="186"/>
      <c r="F1608" s="187"/>
    </row>
    <row r="1609" spans="1:6" x14ac:dyDescent="0.2">
      <c r="A1609" s="275"/>
      <c r="B1609" s="78"/>
      <c r="C1609" s="189"/>
      <c r="D1609" s="185"/>
      <c r="E1609" s="186"/>
      <c r="F1609" s="187"/>
    </row>
    <row r="1610" spans="1:6" x14ac:dyDescent="0.2">
      <c r="A1610" s="275"/>
      <c r="B1610" s="78"/>
      <c r="C1610" s="189"/>
      <c r="D1610" s="185"/>
      <c r="E1610" s="186"/>
      <c r="F1610" s="187"/>
    </row>
    <row r="1611" spans="1:6" x14ac:dyDescent="0.2">
      <c r="A1611" s="275"/>
      <c r="B1611" s="78"/>
      <c r="C1611" s="189"/>
      <c r="D1611" s="185"/>
      <c r="E1611" s="186"/>
      <c r="F1611" s="187"/>
    </row>
    <row r="1612" spans="1:6" x14ac:dyDescent="0.2">
      <c r="A1612" s="275"/>
      <c r="B1612" s="78"/>
      <c r="C1612" s="189"/>
      <c r="D1612" s="185"/>
      <c r="E1612" s="186"/>
      <c r="F1612" s="187"/>
    </row>
    <row r="1613" spans="1:6" x14ac:dyDescent="0.2">
      <c r="A1613" s="275"/>
      <c r="B1613" s="78"/>
      <c r="C1613" s="189"/>
      <c r="D1613" s="185"/>
      <c r="E1613" s="186"/>
      <c r="F1613" s="187"/>
    </row>
    <row r="1614" spans="1:6" x14ac:dyDescent="0.2">
      <c r="A1614" s="275"/>
      <c r="B1614" s="78"/>
      <c r="C1614" s="189"/>
      <c r="D1614" s="185"/>
      <c r="E1614" s="186"/>
      <c r="F1614" s="187"/>
    </row>
    <row r="1615" spans="1:6" x14ac:dyDescent="0.2">
      <c r="A1615" s="275"/>
      <c r="B1615" s="78"/>
      <c r="C1615" s="189"/>
      <c r="D1615" s="185"/>
      <c r="E1615" s="186"/>
      <c r="F1615" s="187"/>
    </row>
    <row r="1616" spans="1:6" x14ac:dyDescent="0.2">
      <c r="A1616" s="275"/>
      <c r="B1616" s="78"/>
      <c r="C1616" s="189"/>
      <c r="D1616" s="185"/>
      <c r="E1616" s="186"/>
      <c r="F1616" s="187"/>
    </row>
    <row r="1617" spans="1:6" x14ac:dyDescent="0.2">
      <c r="A1617" s="275"/>
      <c r="B1617" s="78"/>
      <c r="C1617" s="189"/>
      <c r="D1617" s="185"/>
      <c r="E1617" s="186"/>
      <c r="F1617" s="187"/>
    </row>
    <row r="1618" spans="1:6" x14ac:dyDescent="0.2">
      <c r="A1618" s="275"/>
      <c r="B1618" s="78"/>
      <c r="C1618" s="189"/>
      <c r="D1618" s="185"/>
      <c r="E1618" s="186"/>
      <c r="F1618" s="187"/>
    </row>
    <row r="1619" spans="1:6" x14ac:dyDescent="0.2">
      <c r="A1619" s="275"/>
      <c r="B1619" s="78"/>
      <c r="C1619" s="189"/>
      <c r="D1619" s="185"/>
      <c r="E1619" s="186"/>
      <c r="F1619" s="187"/>
    </row>
    <row r="1620" spans="1:6" x14ac:dyDescent="0.2">
      <c r="A1620" s="275"/>
      <c r="B1620" s="78"/>
      <c r="C1620" s="189"/>
      <c r="D1620" s="185"/>
      <c r="E1620" s="186"/>
      <c r="F1620" s="187"/>
    </row>
    <row r="1621" spans="1:6" x14ac:dyDescent="0.2">
      <c r="A1621" s="275"/>
      <c r="B1621" s="78"/>
      <c r="C1621" s="189"/>
      <c r="D1621" s="185"/>
      <c r="E1621" s="186"/>
      <c r="F1621" s="187"/>
    </row>
    <row r="1622" spans="1:6" x14ac:dyDescent="0.2">
      <c r="A1622" s="275"/>
      <c r="B1622" s="78"/>
      <c r="C1622" s="189"/>
      <c r="D1622" s="185"/>
      <c r="E1622" s="186"/>
      <c r="F1622" s="187"/>
    </row>
    <row r="1623" spans="1:6" x14ac:dyDescent="0.2">
      <c r="A1623" s="275"/>
      <c r="B1623" s="78"/>
      <c r="C1623" s="189"/>
      <c r="D1623" s="185"/>
      <c r="E1623" s="186"/>
      <c r="F1623" s="187"/>
    </row>
    <row r="1624" spans="1:6" x14ac:dyDescent="0.2">
      <c r="A1624" s="275"/>
      <c r="B1624" s="78"/>
      <c r="C1624" s="189"/>
      <c r="D1624" s="185"/>
      <c r="E1624" s="186"/>
      <c r="F1624" s="187"/>
    </row>
    <row r="1625" spans="1:6" x14ac:dyDescent="0.2">
      <c r="A1625" s="275"/>
      <c r="B1625" s="78"/>
      <c r="C1625" s="189"/>
      <c r="D1625" s="185"/>
      <c r="E1625" s="186"/>
      <c r="F1625" s="187"/>
    </row>
    <row r="1626" spans="1:6" x14ac:dyDescent="0.2">
      <c r="A1626" s="275"/>
      <c r="B1626" s="78"/>
      <c r="C1626" s="189"/>
      <c r="D1626" s="185"/>
      <c r="E1626" s="186"/>
      <c r="F1626" s="187"/>
    </row>
    <row r="1627" spans="1:6" x14ac:dyDescent="0.2">
      <c r="A1627" s="275"/>
      <c r="B1627" s="78"/>
      <c r="C1627" s="189"/>
      <c r="D1627" s="185"/>
      <c r="E1627" s="186"/>
      <c r="F1627" s="187"/>
    </row>
    <row r="1628" spans="1:6" x14ac:dyDescent="0.2">
      <c r="A1628" s="275"/>
      <c r="B1628" s="78"/>
      <c r="C1628" s="189"/>
      <c r="D1628" s="185"/>
      <c r="E1628" s="186"/>
      <c r="F1628" s="187"/>
    </row>
    <row r="1629" spans="1:6" x14ac:dyDescent="0.2">
      <c r="A1629" s="275"/>
      <c r="B1629" s="78"/>
      <c r="C1629" s="189"/>
      <c r="D1629" s="185"/>
      <c r="E1629" s="186"/>
      <c r="F1629" s="187"/>
    </row>
    <row r="1630" spans="1:6" x14ac:dyDescent="0.2">
      <c r="A1630" s="275"/>
      <c r="B1630" s="78"/>
      <c r="C1630" s="189"/>
      <c r="D1630" s="185"/>
      <c r="E1630" s="186"/>
      <c r="F1630" s="187"/>
    </row>
    <row r="1631" spans="1:6" x14ac:dyDescent="0.2">
      <c r="A1631" s="275"/>
      <c r="B1631" s="78"/>
      <c r="C1631" s="189"/>
      <c r="D1631" s="185"/>
      <c r="E1631" s="186"/>
      <c r="F1631" s="187"/>
    </row>
    <row r="1632" spans="1:6" x14ac:dyDescent="0.2">
      <c r="A1632" s="275"/>
      <c r="B1632" s="78"/>
      <c r="C1632" s="189"/>
      <c r="D1632" s="185"/>
      <c r="E1632" s="186"/>
      <c r="F1632" s="187"/>
    </row>
    <row r="1633" spans="1:6" x14ac:dyDescent="0.2">
      <c r="A1633" s="275"/>
      <c r="B1633" s="78"/>
      <c r="C1633" s="189"/>
      <c r="D1633" s="185"/>
      <c r="E1633" s="186"/>
      <c r="F1633" s="187"/>
    </row>
    <row r="1634" spans="1:6" x14ac:dyDescent="0.2">
      <c r="A1634" s="275"/>
      <c r="B1634" s="78"/>
      <c r="C1634" s="189"/>
      <c r="D1634" s="185"/>
      <c r="E1634" s="186"/>
      <c r="F1634" s="187"/>
    </row>
    <row r="1635" spans="1:6" x14ac:dyDescent="0.2">
      <c r="A1635" s="275"/>
      <c r="B1635" s="78"/>
      <c r="C1635" s="189"/>
      <c r="D1635" s="185"/>
      <c r="E1635" s="186"/>
      <c r="F1635" s="187"/>
    </row>
    <row r="1636" spans="1:6" x14ac:dyDescent="0.2">
      <c r="A1636" s="275"/>
      <c r="B1636" s="78"/>
      <c r="C1636" s="189"/>
      <c r="D1636" s="185"/>
      <c r="E1636" s="186"/>
      <c r="F1636" s="187"/>
    </row>
    <row r="1637" spans="1:6" x14ac:dyDescent="0.2">
      <c r="A1637" s="275"/>
      <c r="B1637" s="78"/>
      <c r="C1637" s="189"/>
      <c r="D1637" s="185"/>
      <c r="E1637" s="186"/>
      <c r="F1637" s="187"/>
    </row>
    <row r="1638" spans="1:6" x14ac:dyDescent="0.2">
      <c r="A1638" s="275"/>
      <c r="B1638" s="78"/>
      <c r="C1638" s="189"/>
      <c r="D1638" s="185"/>
      <c r="E1638" s="186"/>
      <c r="F1638" s="187"/>
    </row>
    <row r="1639" spans="1:6" x14ac:dyDescent="0.2">
      <c r="A1639" s="275"/>
      <c r="B1639" s="78"/>
      <c r="C1639" s="189"/>
      <c r="D1639" s="185"/>
      <c r="E1639" s="186"/>
      <c r="F1639" s="187"/>
    </row>
    <row r="1640" spans="1:6" x14ac:dyDescent="0.2">
      <c r="A1640" s="275"/>
      <c r="B1640" s="78"/>
      <c r="C1640" s="189"/>
      <c r="D1640" s="185"/>
      <c r="E1640" s="186"/>
      <c r="F1640" s="187"/>
    </row>
    <row r="1641" spans="1:6" x14ac:dyDescent="0.2">
      <c r="A1641" s="275"/>
      <c r="B1641" s="78"/>
      <c r="C1641" s="189"/>
      <c r="D1641" s="185"/>
      <c r="E1641" s="186"/>
      <c r="F1641" s="187"/>
    </row>
    <row r="1642" spans="1:6" x14ac:dyDescent="0.2">
      <c r="A1642" s="275"/>
      <c r="B1642" s="78"/>
      <c r="C1642" s="189"/>
      <c r="D1642" s="185"/>
      <c r="E1642" s="186"/>
      <c r="F1642" s="187"/>
    </row>
    <row r="1643" spans="1:6" x14ac:dyDescent="0.2">
      <c r="A1643" s="275"/>
      <c r="B1643" s="78"/>
      <c r="C1643" s="189"/>
      <c r="D1643" s="185"/>
      <c r="E1643" s="186"/>
      <c r="F1643" s="187"/>
    </row>
    <row r="1644" spans="1:6" x14ac:dyDescent="0.2">
      <c r="A1644" s="275"/>
      <c r="B1644" s="78"/>
      <c r="C1644" s="189"/>
      <c r="D1644" s="185"/>
      <c r="E1644" s="186"/>
      <c r="F1644" s="187"/>
    </row>
    <row r="1645" spans="1:6" x14ac:dyDescent="0.2">
      <c r="A1645" s="275"/>
      <c r="B1645" s="78"/>
      <c r="C1645" s="189"/>
      <c r="D1645" s="185"/>
      <c r="E1645" s="186"/>
      <c r="F1645" s="187"/>
    </row>
    <row r="1646" spans="1:6" x14ac:dyDescent="0.2">
      <c r="A1646" s="275"/>
      <c r="B1646" s="78"/>
      <c r="C1646" s="189"/>
      <c r="D1646" s="185"/>
      <c r="E1646" s="186"/>
      <c r="F1646" s="187"/>
    </row>
    <row r="1647" spans="1:6" x14ac:dyDescent="0.2">
      <c r="A1647" s="275"/>
      <c r="B1647" s="78"/>
      <c r="C1647" s="189"/>
      <c r="D1647" s="185"/>
      <c r="E1647" s="186"/>
      <c r="F1647" s="187"/>
    </row>
    <row r="1648" spans="1:6" x14ac:dyDescent="0.2">
      <c r="A1648" s="275"/>
      <c r="B1648" s="78"/>
      <c r="C1648" s="189"/>
      <c r="D1648" s="185"/>
      <c r="E1648" s="186"/>
      <c r="F1648" s="187"/>
    </row>
    <row r="1649" spans="1:6" x14ac:dyDescent="0.2">
      <c r="A1649" s="275"/>
      <c r="B1649" s="78"/>
      <c r="C1649" s="189"/>
      <c r="D1649" s="185"/>
      <c r="E1649" s="186"/>
      <c r="F1649" s="187"/>
    </row>
    <row r="1650" spans="1:6" x14ac:dyDescent="0.2">
      <c r="A1650" s="275"/>
      <c r="B1650" s="78"/>
      <c r="C1650" s="189"/>
      <c r="D1650" s="185"/>
      <c r="E1650" s="186"/>
      <c r="F1650" s="187"/>
    </row>
    <row r="1651" spans="1:6" x14ac:dyDescent="0.2">
      <c r="A1651" s="275"/>
      <c r="B1651" s="78"/>
      <c r="C1651" s="189"/>
      <c r="D1651" s="185"/>
      <c r="E1651" s="186"/>
      <c r="F1651" s="187"/>
    </row>
    <row r="1652" spans="1:6" x14ac:dyDescent="0.2">
      <c r="A1652" s="275"/>
      <c r="B1652" s="78"/>
      <c r="C1652" s="189"/>
      <c r="D1652" s="185"/>
      <c r="E1652" s="186"/>
      <c r="F1652" s="187"/>
    </row>
    <row r="1653" spans="1:6" x14ac:dyDescent="0.2">
      <c r="A1653" s="275"/>
      <c r="B1653" s="78"/>
      <c r="C1653" s="189"/>
      <c r="D1653" s="185"/>
      <c r="E1653" s="186"/>
      <c r="F1653" s="187"/>
    </row>
    <row r="1654" spans="1:6" x14ac:dyDescent="0.2">
      <c r="A1654" s="275"/>
      <c r="B1654" s="78"/>
      <c r="C1654" s="189"/>
      <c r="D1654" s="185"/>
      <c r="E1654" s="186"/>
      <c r="F1654" s="187"/>
    </row>
    <row r="1655" spans="1:6" x14ac:dyDescent="0.2">
      <c r="A1655" s="275"/>
      <c r="B1655" s="78"/>
      <c r="C1655" s="189"/>
      <c r="D1655" s="185"/>
      <c r="E1655" s="186"/>
      <c r="F1655" s="187"/>
    </row>
    <row r="1656" spans="1:6" x14ac:dyDescent="0.2">
      <c r="A1656" s="275"/>
      <c r="B1656" s="78"/>
      <c r="C1656" s="189"/>
      <c r="D1656" s="185"/>
      <c r="E1656" s="186"/>
      <c r="F1656" s="187"/>
    </row>
    <row r="1657" spans="1:6" x14ac:dyDescent="0.2">
      <c r="A1657" s="275"/>
      <c r="B1657" s="78"/>
      <c r="C1657" s="189"/>
      <c r="D1657" s="185"/>
      <c r="E1657" s="186"/>
      <c r="F1657" s="187"/>
    </row>
    <row r="1658" spans="1:6" x14ac:dyDescent="0.2">
      <c r="A1658" s="275"/>
      <c r="B1658" s="78"/>
      <c r="C1658" s="189"/>
      <c r="D1658" s="185"/>
      <c r="E1658" s="186"/>
      <c r="F1658" s="187"/>
    </row>
    <row r="1659" spans="1:6" x14ac:dyDescent="0.2">
      <c r="A1659" s="275"/>
      <c r="B1659" s="78"/>
      <c r="C1659" s="189"/>
      <c r="D1659" s="185"/>
      <c r="E1659" s="186"/>
      <c r="F1659" s="187"/>
    </row>
    <row r="1660" spans="1:6" x14ac:dyDescent="0.2">
      <c r="A1660" s="275"/>
      <c r="B1660" s="78"/>
      <c r="C1660" s="189"/>
      <c r="D1660" s="185"/>
      <c r="E1660" s="186"/>
      <c r="F1660" s="187"/>
    </row>
    <row r="1661" spans="1:6" x14ac:dyDescent="0.2">
      <c r="A1661" s="275"/>
      <c r="B1661" s="78"/>
      <c r="C1661" s="189"/>
      <c r="D1661" s="185"/>
      <c r="E1661" s="186"/>
      <c r="F1661" s="187"/>
    </row>
    <row r="1662" spans="1:6" x14ac:dyDescent="0.2">
      <c r="A1662" s="275"/>
      <c r="B1662" s="78"/>
      <c r="C1662" s="189"/>
      <c r="D1662" s="185"/>
      <c r="E1662" s="186"/>
      <c r="F1662" s="187"/>
    </row>
    <row r="1663" spans="1:6" x14ac:dyDescent="0.2">
      <c r="A1663" s="275"/>
      <c r="B1663" s="78"/>
      <c r="C1663" s="189"/>
      <c r="D1663" s="185"/>
      <c r="E1663" s="186"/>
      <c r="F1663" s="187"/>
    </row>
    <row r="1664" spans="1:6" x14ac:dyDescent="0.2">
      <c r="A1664" s="275"/>
      <c r="B1664" s="78"/>
      <c r="C1664" s="189"/>
      <c r="D1664" s="185"/>
      <c r="E1664" s="186"/>
      <c r="F1664" s="187"/>
    </row>
    <row r="1665" spans="1:6" x14ac:dyDescent="0.2">
      <c r="A1665" s="275"/>
      <c r="B1665" s="78"/>
      <c r="C1665" s="189"/>
      <c r="D1665" s="185"/>
      <c r="E1665" s="186"/>
      <c r="F1665" s="187"/>
    </row>
    <row r="1666" spans="1:6" x14ac:dyDescent="0.2">
      <c r="A1666" s="275"/>
      <c r="B1666" s="78"/>
      <c r="C1666" s="189"/>
      <c r="D1666" s="185"/>
      <c r="E1666" s="186"/>
      <c r="F1666" s="187"/>
    </row>
    <row r="1667" spans="1:6" x14ac:dyDescent="0.2">
      <c r="A1667" s="275"/>
      <c r="B1667" s="78"/>
      <c r="C1667" s="189"/>
      <c r="D1667" s="185"/>
      <c r="E1667" s="186"/>
      <c r="F1667" s="187"/>
    </row>
    <row r="1668" spans="1:6" x14ac:dyDescent="0.2">
      <c r="A1668" s="275"/>
      <c r="B1668" s="78"/>
      <c r="C1668" s="189"/>
      <c r="D1668" s="185"/>
      <c r="E1668" s="186"/>
      <c r="F1668" s="187"/>
    </row>
    <row r="1669" spans="1:6" x14ac:dyDescent="0.2">
      <c r="A1669" s="275"/>
      <c r="B1669" s="78"/>
      <c r="C1669" s="189"/>
      <c r="D1669" s="185"/>
      <c r="E1669" s="186"/>
      <c r="F1669" s="187"/>
    </row>
    <row r="1670" spans="1:6" x14ac:dyDescent="0.2">
      <c r="A1670" s="275"/>
      <c r="B1670" s="78"/>
      <c r="C1670" s="189"/>
      <c r="D1670" s="185"/>
      <c r="E1670" s="186"/>
      <c r="F1670" s="187"/>
    </row>
    <row r="1671" spans="1:6" x14ac:dyDescent="0.2">
      <c r="A1671" s="275"/>
      <c r="B1671" s="78"/>
      <c r="C1671" s="189"/>
      <c r="D1671" s="185"/>
      <c r="E1671" s="186"/>
      <c r="F1671" s="187"/>
    </row>
    <row r="1672" spans="1:6" x14ac:dyDescent="0.2">
      <c r="A1672" s="275"/>
      <c r="B1672" s="78"/>
      <c r="C1672" s="189"/>
      <c r="D1672" s="185"/>
      <c r="E1672" s="186"/>
      <c r="F1672" s="187"/>
    </row>
    <row r="1673" spans="1:6" x14ac:dyDescent="0.2">
      <c r="A1673" s="275"/>
      <c r="B1673" s="78"/>
      <c r="C1673" s="189"/>
      <c r="D1673" s="185"/>
      <c r="E1673" s="186"/>
      <c r="F1673" s="187"/>
    </row>
    <row r="1674" spans="1:6" x14ac:dyDescent="0.2">
      <c r="A1674" s="275"/>
      <c r="B1674" s="78"/>
      <c r="C1674" s="189"/>
      <c r="D1674" s="185"/>
      <c r="E1674" s="186"/>
      <c r="F1674" s="187"/>
    </row>
    <row r="1675" spans="1:6" x14ac:dyDescent="0.2">
      <c r="A1675" s="275"/>
      <c r="B1675" s="78"/>
      <c r="C1675" s="189"/>
      <c r="D1675" s="185"/>
      <c r="E1675" s="186"/>
      <c r="F1675" s="187"/>
    </row>
    <row r="1676" spans="1:6" x14ac:dyDescent="0.2">
      <c r="A1676" s="275"/>
      <c r="B1676" s="78"/>
      <c r="C1676" s="189"/>
      <c r="D1676" s="185"/>
      <c r="E1676" s="186"/>
      <c r="F1676" s="187"/>
    </row>
    <row r="1677" spans="1:6" x14ac:dyDescent="0.2">
      <c r="A1677" s="275"/>
      <c r="B1677" s="78"/>
      <c r="C1677" s="189"/>
      <c r="D1677" s="185"/>
      <c r="E1677" s="186"/>
      <c r="F1677" s="187"/>
    </row>
    <row r="1678" spans="1:6" x14ac:dyDescent="0.2">
      <c r="A1678" s="275"/>
      <c r="B1678" s="78"/>
      <c r="C1678" s="189"/>
      <c r="D1678" s="185"/>
      <c r="E1678" s="186"/>
      <c r="F1678" s="187"/>
    </row>
    <row r="1679" spans="1:6" x14ac:dyDescent="0.2">
      <c r="A1679" s="275"/>
      <c r="B1679" s="78"/>
      <c r="C1679" s="189"/>
      <c r="D1679" s="185"/>
      <c r="E1679" s="186"/>
      <c r="F1679" s="187"/>
    </row>
    <row r="1680" spans="1:6" x14ac:dyDescent="0.2">
      <c r="A1680" s="275"/>
      <c r="B1680" s="78"/>
      <c r="C1680" s="189"/>
      <c r="D1680" s="185"/>
      <c r="E1680" s="186"/>
      <c r="F1680" s="187"/>
    </row>
    <row r="1681" spans="1:6" x14ac:dyDescent="0.2">
      <c r="A1681" s="275"/>
      <c r="B1681" s="78"/>
      <c r="C1681" s="189"/>
      <c r="D1681" s="185"/>
      <c r="E1681" s="186"/>
      <c r="F1681" s="187"/>
    </row>
    <row r="1682" spans="1:6" x14ac:dyDescent="0.2">
      <c r="A1682" s="275"/>
      <c r="B1682" s="78"/>
      <c r="C1682" s="189"/>
      <c r="D1682" s="185"/>
      <c r="E1682" s="186"/>
      <c r="F1682" s="187"/>
    </row>
    <row r="1683" spans="1:6" x14ac:dyDescent="0.2">
      <c r="A1683" s="275"/>
      <c r="B1683" s="78"/>
      <c r="C1683" s="189"/>
      <c r="D1683" s="185"/>
      <c r="E1683" s="186"/>
      <c r="F1683" s="187"/>
    </row>
    <row r="1684" spans="1:6" x14ac:dyDescent="0.2">
      <c r="A1684" s="275"/>
      <c r="B1684" s="78"/>
      <c r="C1684" s="189"/>
      <c r="D1684" s="185"/>
      <c r="E1684" s="186"/>
      <c r="F1684" s="187"/>
    </row>
    <row r="1685" spans="1:6" x14ac:dyDescent="0.2">
      <c r="A1685" s="275"/>
      <c r="B1685" s="78"/>
      <c r="C1685" s="189"/>
      <c r="D1685" s="185"/>
      <c r="E1685" s="186"/>
      <c r="F1685" s="187"/>
    </row>
    <row r="1686" spans="1:6" x14ac:dyDescent="0.2">
      <c r="A1686" s="275"/>
      <c r="B1686" s="78"/>
      <c r="C1686" s="189"/>
      <c r="D1686" s="185"/>
      <c r="E1686" s="186"/>
      <c r="F1686" s="187"/>
    </row>
    <row r="1687" spans="1:6" x14ac:dyDescent="0.2">
      <c r="A1687" s="275"/>
      <c r="B1687" s="78"/>
      <c r="C1687" s="189"/>
      <c r="D1687" s="185"/>
      <c r="E1687" s="186"/>
      <c r="F1687" s="187"/>
    </row>
    <row r="1688" spans="1:6" x14ac:dyDescent="0.2">
      <c r="A1688" s="275"/>
      <c r="B1688" s="78"/>
      <c r="C1688" s="189"/>
      <c r="D1688" s="185"/>
      <c r="E1688" s="186"/>
      <c r="F1688" s="187"/>
    </row>
    <row r="1689" spans="1:6" x14ac:dyDescent="0.2">
      <c r="A1689" s="275"/>
      <c r="B1689" s="78"/>
      <c r="C1689" s="189"/>
      <c r="D1689" s="185"/>
      <c r="E1689" s="186"/>
      <c r="F1689" s="187"/>
    </row>
    <row r="1690" spans="1:6" x14ac:dyDescent="0.2">
      <c r="A1690" s="275"/>
      <c r="B1690" s="78"/>
      <c r="C1690" s="189"/>
      <c r="D1690" s="185"/>
      <c r="E1690" s="186"/>
      <c r="F1690" s="187"/>
    </row>
    <row r="1691" spans="1:6" x14ac:dyDescent="0.2">
      <c r="A1691" s="275"/>
      <c r="B1691" s="78"/>
      <c r="C1691" s="189"/>
      <c r="D1691" s="185"/>
      <c r="E1691" s="186"/>
      <c r="F1691" s="187"/>
    </row>
    <row r="1692" spans="1:6" x14ac:dyDescent="0.2">
      <c r="A1692" s="275"/>
      <c r="B1692" s="78"/>
      <c r="C1692" s="189"/>
      <c r="D1692" s="185"/>
      <c r="E1692" s="186"/>
      <c r="F1692" s="187"/>
    </row>
    <row r="1693" spans="1:6" x14ac:dyDescent="0.2">
      <c r="A1693" s="275"/>
      <c r="B1693" s="78"/>
      <c r="C1693" s="189"/>
      <c r="D1693" s="185"/>
      <c r="E1693" s="186"/>
      <c r="F1693" s="187"/>
    </row>
    <row r="1694" spans="1:6" x14ac:dyDescent="0.2">
      <c r="A1694" s="275"/>
      <c r="B1694" s="78"/>
      <c r="C1694" s="189"/>
      <c r="D1694" s="185"/>
      <c r="E1694" s="186"/>
      <c r="F1694" s="187"/>
    </row>
    <row r="1695" spans="1:6" x14ac:dyDescent="0.2">
      <c r="A1695" s="275"/>
      <c r="B1695" s="78"/>
      <c r="C1695" s="189"/>
      <c r="D1695" s="185"/>
      <c r="E1695" s="186"/>
      <c r="F1695" s="187"/>
    </row>
    <row r="1696" spans="1:6" x14ac:dyDescent="0.2">
      <c r="A1696" s="275"/>
      <c r="B1696" s="78"/>
      <c r="C1696" s="189"/>
      <c r="D1696" s="185"/>
      <c r="E1696" s="186"/>
      <c r="F1696" s="187"/>
    </row>
    <row r="1697" spans="1:6" x14ac:dyDescent="0.2">
      <c r="A1697" s="275"/>
      <c r="B1697" s="78"/>
      <c r="C1697" s="189"/>
      <c r="D1697" s="185"/>
      <c r="E1697" s="186"/>
      <c r="F1697" s="187"/>
    </row>
    <row r="1698" spans="1:6" x14ac:dyDescent="0.2">
      <c r="A1698" s="275"/>
      <c r="B1698" s="78"/>
      <c r="C1698" s="189"/>
      <c r="D1698" s="185"/>
      <c r="E1698" s="186"/>
      <c r="F1698" s="187"/>
    </row>
    <row r="1699" spans="1:6" x14ac:dyDescent="0.2">
      <c r="A1699" s="275"/>
      <c r="B1699" s="78"/>
      <c r="C1699" s="189"/>
      <c r="D1699" s="185"/>
      <c r="E1699" s="186"/>
      <c r="F1699" s="187"/>
    </row>
    <row r="1700" spans="1:6" x14ac:dyDescent="0.2">
      <c r="A1700" s="275"/>
      <c r="B1700" s="78"/>
      <c r="C1700" s="189"/>
      <c r="D1700" s="185"/>
      <c r="E1700" s="186"/>
      <c r="F1700" s="187"/>
    </row>
    <row r="1701" spans="1:6" x14ac:dyDescent="0.2">
      <c r="A1701" s="275"/>
      <c r="B1701" s="78"/>
      <c r="C1701" s="189"/>
      <c r="D1701" s="185"/>
      <c r="E1701" s="186"/>
      <c r="F1701" s="187"/>
    </row>
    <row r="1702" spans="1:6" x14ac:dyDescent="0.2">
      <c r="A1702" s="275"/>
      <c r="B1702" s="78"/>
      <c r="C1702" s="189"/>
      <c r="D1702" s="185"/>
      <c r="E1702" s="186"/>
      <c r="F1702" s="187"/>
    </row>
    <row r="1703" spans="1:6" x14ac:dyDescent="0.2">
      <c r="A1703" s="275"/>
      <c r="B1703" s="78"/>
      <c r="C1703" s="189"/>
      <c r="D1703" s="185"/>
      <c r="E1703" s="186"/>
      <c r="F1703" s="187"/>
    </row>
    <row r="1704" spans="1:6" x14ac:dyDescent="0.2">
      <c r="A1704" s="275"/>
      <c r="B1704" s="78"/>
      <c r="C1704" s="189"/>
      <c r="D1704" s="185"/>
      <c r="E1704" s="186"/>
      <c r="F1704" s="187"/>
    </row>
    <row r="1705" spans="1:6" x14ac:dyDescent="0.2">
      <c r="A1705" s="275"/>
      <c r="B1705" s="78"/>
      <c r="C1705" s="189"/>
      <c r="D1705" s="185"/>
      <c r="E1705" s="186"/>
      <c r="F1705" s="187"/>
    </row>
    <row r="1706" spans="1:6" x14ac:dyDescent="0.2">
      <c r="A1706" s="275"/>
      <c r="B1706" s="78"/>
      <c r="C1706" s="189"/>
      <c r="D1706" s="185"/>
      <c r="E1706" s="186"/>
      <c r="F1706" s="187"/>
    </row>
    <row r="1707" spans="1:6" x14ac:dyDescent="0.2">
      <c r="A1707" s="275"/>
      <c r="B1707" s="78"/>
      <c r="C1707" s="189"/>
      <c r="D1707" s="185"/>
      <c r="E1707" s="186"/>
      <c r="F1707" s="187"/>
    </row>
    <row r="1708" spans="1:6" x14ac:dyDescent="0.2">
      <c r="A1708" s="275"/>
      <c r="B1708" s="78"/>
      <c r="C1708" s="189"/>
      <c r="D1708" s="185"/>
      <c r="E1708" s="186"/>
      <c r="F1708" s="187"/>
    </row>
    <row r="1709" spans="1:6" x14ac:dyDescent="0.2">
      <c r="A1709" s="275"/>
      <c r="B1709" s="78"/>
      <c r="C1709" s="189"/>
      <c r="D1709" s="185"/>
      <c r="E1709" s="186"/>
      <c r="F1709" s="187"/>
    </row>
    <row r="1710" spans="1:6" x14ac:dyDescent="0.2">
      <c r="A1710" s="275"/>
      <c r="B1710" s="78"/>
      <c r="C1710" s="189"/>
      <c r="D1710" s="185"/>
      <c r="E1710" s="186"/>
      <c r="F1710" s="187"/>
    </row>
    <row r="1711" spans="1:6" x14ac:dyDescent="0.2">
      <c r="A1711" s="275"/>
      <c r="B1711" s="78"/>
      <c r="C1711" s="189"/>
      <c r="D1711" s="185"/>
      <c r="E1711" s="186"/>
      <c r="F1711" s="187"/>
    </row>
    <row r="1712" spans="1:6" x14ac:dyDescent="0.2">
      <c r="A1712" s="275"/>
      <c r="B1712" s="78"/>
      <c r="C1712" s="189"/>
      <c r="D1712" s="185"/>
      <c r="E1712" s="186"/>
      <c r="F1712" s="187"/>
    </row>
    <row r="1713" spans="1:6" x14ac:dyDescent="0.2">
      <c r="A1713" s="275"/>
      <c r="B1713" s="78"/>
      <c r="C1713" s="189"/>
      <c r="D1713" s="185"/>
      <c r="E1713" s="186"/>
      <c r="F1713" s="187"/>
    </row>
    <row r="1714" spans="1:6" x14ac:dyDescent="0.2">
      <c r="A1714" s="275"/>
      <c r="B1714" s="78"/>
      <c r="C1714" s="189"/>
      <c r="D1714" s="185"/>
      <c r="E1714" s="186"/>
      <c r="F1714" s="187"/>
    </row>
    <row r="1715" spans="1:6" x14ac:dyDescent="0.2">
      <c r="A1715" s="275"/>
      <c r="B1715" s="78"/>
      <c r="C1715" s="189"/>
      <c r="D1715" s="185"/>
      <c r="E1715" s="186"/>
      <c r="F1715" s="187"/>
    </row>
    <row r="1716" spans="1:6" x14ac:dyDescent="0.2">
      <c r="A1716" s="275"/>
      <c r="B1716" s="78"/>
      <c r="C1716" s="189"/>
      <c r="D1716" s="185"/>
      <c r="E1716" s="186"/>
      <c r="F1716" s="187"/>
    </row>
    <row r="1717" spans="1:6" x14ac:dyDescent="0.2">
      <c r="A1717" s="275"/>
      <c r="B1717" s="78"/>
      <c r="C1717" s="189"/>
      <c r="D1717" s="185"/>
      <c r="E1717" s="186"/>
      <c r="F1717" s="187"/>
    </row>
    <row r="1718" spans="1:6" x14ac:dyDescent="0.2">
      <c r="A1718" s="275"/>
      <c r="B1718" s="78"/>
      <c r="C1718" s="189"/>
      <c r="D1718" s="185"/>
      <c r="E1718" s="186"/>
      <c r="F1718" s="187"/>
    </row>
    <row r="1719" spans="1:6" x14ac:dyDescent="0.2">
      <c r="A1719" s="275"/>
      <c r="B1719" s="78"/>
      <c r="C1719" s="189"/>
      <c r="D1719" s="185"/>
      <c r="E1719" s="186"/>
      <c r="F1719" s="187"/>
    </row>
    <row r="1720" spans="1:6" x14ac:dyDescent="0.2">
      <c r="A1720" s="275"/>
      <c r="B1720" s="78"/>
      <c r="C1720" s="189"/>
      <c r="D1720" s="185"/>
      <c r="E1720" s="186"/>
      <c r="F1720" s="187"/>
    </row>
    <row r="1721" spans="1:6" x14ac:dyDescent="0.2">
      <c r="A1721" s="275"/>
      <c r="B1721" s="78"/>
      <c r="C1721" s="189"/>
      <c r="D1721" s="185"/>
      <c r="E1721" s="186"/>
      <c r="F1721" s="187"/>
    </row>
    <row r="1722" spans="1:6" x14ac:dyDescent="0.2">
      <c r="A1722" s="275"/>
      <c r="B1722" s="78"/>
      <c r="C1722" s="189"/>
      <c r="D1722" s="185"/>
      <c r="E1722" s="186"/>
      <c r="F1722" s="187"/>
    </row>
    <row r="1723" spans="1:6" x14ac:dyDescent="0.2">
      <c r="A1723" s="275"/>
      <c r="B1723" s="78"/>
      <c r="C1723" s="189"/>
      <c r="D1723" s="185"/>
      <c r="E1723" s="186"/>
      <c r="F1723" s="187"/>
    </row>
    <row r="1724" spans="1:6" x14ac:dyDescent="0.2">
      <c r="A1724" s="275"/>
      <c r="B1724" s="78"/>
      <c r="C1724" s="189"/>
      <c r="D1724" s="185"/>
      <c r="E1724" s="186"/>
      <c r="F1724" s="187"/>
    </row>
    <row r="1725" spans="1:6" x14ac:dyDescent="0.2">
      <c r="A1725" s="275"/>
      <c r="B1725" s="78"/>
      <c r="C1725" s="189"/>
      <c r="D1725" s="185"/>
      <c r="E1725" s="186"/>
      <c r="F1725" s="187"/>
    </row>
    <row r="1726" spans="1:6" x14ac:dyDescent="0.2">
      <c r="A1726" s="275"/>
      <c r="B1726" s="78"/>
      <c r="C1726" s="189"/>
      <c r="D1726" s="185"/>
      <c r="E1726" s="186"/>
      <c r="F1726" s="187"/>
    </row>
    <row r="1727" spans="1:6" x14ac:dyDescent="0.2">
      <c r="A1727" s="275"/>
      <c r="B1727" s="78"/>
      <c r="C1727" s="189"/>
      <c r="D1727" s="185"/>
      <c r="E1727" s="186"/>
      <c r="F1727" s="187"/>
    </row>
    <row r="1728" spans="1:6" x14ac:dyDescent="0.2">
      <c r="A1728" s="275"/>
      <c r="B1728" s="78"/>
      <c r="C1728" s="189"/>
      <c r="D1728" s="185"/>
      <c r="E1728" s="186"/>
      <c r="F1728" s="187"/>
    </row>
    <row r="1729" spans="1:6" x14ac:dyDescent="0.2">
      <c r="A1729" s="275"/>
      <c r="B1729" s="78"/>
      <c r="C1729" s="189"/>
      <c r="D1729" s="185"/>
      <c r="E1729" s="186"/>
      <c r="F1729" s="187"/>
    </row>
    <row r="1730" spans="1:6" x14ac:dyDescent="0.2">
      <c r="A1730" s="275"/>
      <c r="B1730" s="78"/>
      <c r="C1730" s="189"/>
      <c r="D1730" s="185"/>
      <c r="E1730" s="186"/>
      <c r="F1730" s="187"/>
    </row>
    <row r="1731" spans="1:6" x14ac:dyDescent="0.2">
      <c r="A1731" s="275"/>
      <c r="B1731" s="78"/>
      <c r="C1731" s="189"/>
      <c r="D1731" s="185"/>
      <c r="E1731" s="186"/>
      <c r="F1731" s="187"/>
    </row>
    <row r="1732" spans="1:6" x14ac:dyDescent="0.2">
      <c r="A1732" s="275"/>
      <c r="B1732" s="78"/>
      <c r="C1732" s="189"/>
      <c r="D1732" s="185"/>
      <c r="E1732" s="186"/>
      <c r="F1732" s="187"/>
    </row>
    <row r="1733" spans="1:6" x14ac:dyDescent="0.2">
      <c r="A1733" s="275"/>
      <c r="B1733" s="78"/>
      <c r="C1733" s="189"/>
      <c r="D1733" s="185"/>
      <c r="E1733" s="186"/>
      <c r="F1733" s="187"/>
    </row>
    <row r="1734" spans="1:6" x14ac:dyDescent="0.2">
      <c r="A1734" s="275"/>
      <c r="B1734" s="78"/>
      <c r="C1734" s="189"/>
      <c r="D1734" s="185"/>
      <c r="E1734" s="186"/>
      <c r="F1734" s="187"/>
    </row>
    <row r="1735" spans="1:6" x14ac:dyDescent="0.2">
      <c r="A1735" s="275"/>
      <c r="B1735" s="78"/>
      <c r="C1735" s="189"/>
      <c r="D1735" s="185"/>
      <c r="E1735" s="186"/>
      <c r="F1735" s="187"/>
    </row>
    <row r="1736" spans="1:6" x14ac:dyDescent="0.2">
      <c r="A1736" s="275"/>
      <c r="B1736" s="78"/>
      <c r="C1736" s="189"/>
      <c r="D1736" s="185"/>
      <c r="E1736" s="186"/>
      <c r="F1736" s="187"/>
    </row>
    <row r="1737" spans="1:6" x14ac:dyDescent="0.2">
      <c r="A1737" s="275"/>
      <c r="B1737" s="78"/>
      <c r="C1737" s="189"/>
      <c r="D1737" s="185"/>
      <c r="E1737" s="186"/>
      <c r="F1737" s="187"/>
    </row>
    <row r="1738" spans="1:6" x14ac:dyDescent="0.2">
      <c r="A1738" s="275"/>
      <c r="B1738" s="78"/>
      <c r="C1738" s="189"/>
      <c r="D1738" s="185"/>
      <c r="E1738" s="186"/>
      <c r="F1738" s="187"/>
    </row>
    <row r="1739" spans="1:6" x14ac:dyDescent="0.2">
      <c r="A1739" s="275"/>
      <c r="B1739" s="78"/>
      <c r="C1739" s="189"/>
      <c r="D1739" s="185"/>
      <c r="E1739" s="186"/>
      <c r="F1739" s="187"/>
    </row>
    <row r="1740" spans="1:6" x14ac:dyDescent="0.2">
      <c r="A1740" s="275"/>
      <c r="B1740" s="78"/>
      <c r="C1740" s="189"/>
      <c r="D1740" s="185"/>
      <c r="E1740" s="186"/>
      <c r="F1740" s="187"/>
    </row>
    <row r="1741" spans="1:6" x14ac:dyDescent="0.2">
      <c r="A1741" s="275"/>
      <c r="B1741" s="78"/>
      <c r="C1741" s="189"/>
      <c r="D1741" s="185"/>
      <c r="E1741" s="186"/>
      <c r="F1741" s="187"/>
    </row>
    <row r="1742" spans="1:6" x14ac:dyDescent="0.2">
      <c r="A1742" s="275"/>
      <c r="B1742" s="78"/>
      <c r="C1742" s="189"/>
      <c r="D1742" s="185"/>
      <c r="E1742" s="186"/>
      <c r="F1742" s="187"/>
    </row>
    <row r="1743" spans="1:6" x14ac:dyDescent="0.2">
      <c r="A1743" s="275"/>
      <c r="B1743" s="78"/>
      <c r="C1743" s="189"/>
      <c r="D1743" s="185"/>
      <c r="E1743" s="186"/>
      <c r="F1743" s="187"/>
    </row>
    <row r="1744" spans="1:6" x14ac:dyDescent="0.2">
      <c r="A1744" s="275"/>
      <c r="B1744" s="78"/>
      <c r="C1744" s="189"/>
      <c r="D1744" s="185"/>
      <c r="E1744" s="186"/>
      <c r="F1744" s="187"/>
    </row>
    <row r="1745" spans="1:6" x14ac:dyDescent="0.2">
      <c r="A1745" s="275"/>
      <c r="B1745" s="78"/>
      <c r="C1745" s="189"/>
      <c r="D1745" s="185"/>
      <c r="E1745" s="186"/>
      <c r="F1745" s="187"/>
    </row>
    <row r="1746" spans="1:6" x14ac:dyDescent="0.2">
      <c r="A1746" s="275"/>
      <c r="B1746" s="78"/>
      <c r="C1746" s="189"/>
      <c r="D1746" s="185"/>
      <c r="E1746" s="186"/>
      <c r="F1746" s="187"/>
    </row>
    <row r="1747" spans="1:6" x14ac:dyDescent="0.2">
      <c r="A1747" s="275"/>
      <c r="B1747" s="78"/>
      <c r="C1747" s="189"/>
      <c r="D1747" s="185"/>
      <c r="E1747" s="186"/>
      <c r="F1747" s="187"/>
    </row>
    <row r="1748" spans="1:6" x14ac:dyDescent="0.2">
      <c r="A1748" s="275"/>
      <c r="B1748" s="78"/>
      <c r="C1748" s="189"/>
      <c r="D1748" s="185"/>
      <c r="E1748" s="186"/>
      <c r="F1748" s="187"/>
    </row>
    <row r="1749" spans="1:6" x14ac:dyDescent="0.2">
      <c r="A1749" s="275"/>
      <c r="B1749" s="78"/>
      <c r="C1749" s="189"/>
      <c r="D1749" s="185"/>
      <c r="E1749" s="186"/>
      <c r="F1749" s="187"/>
    </row>
    <row r="1750" spans="1:6" x14ac:dyDescent="0.2">
      <c r="A1750" s="275"/>
      <c r="B1750" s="78"/>
      <c r="C1750" s="189"/>
      <c r="D1750" s="185"/>
      <c r="E1750" s="186"/>
      <c r="F1750" s="187"/>
    </row>
    <row r="1751" spans="1:6" x14ac:dyDescent="0.2">
      <c r="A1751" s="275"/>
      <c r="B1751" s="78"/>
      <c r="C1751" s="189"/>
      <c r="D1751" s="185"/>
      <c r="E1751" s="186"/>
      <c r="F1751" s="187"/>
    </row>
    <row r="1752" spans="1:6" x14ac:dyDescent="0.2">
      <c r="A1752" s="275"/>
      <c r="B1752" s="78"/>
      <c r="C1752" s="189"/>
      <c r="D1752" s="185"/>
      <c r="E1752" s="186"/>
      <c r="F1752" s="187"/>
    </row>
    <row r="1753" spans="1:6" x14ac:dyDescent="0.2">
      <c r="A1753" s="275"/>
      <c r="B1753" s="78"/>
      <c r="C1753" s="189"/>
      <c r="D1753" s="185"/>
      <c r="E1753" s="186"/>
      <c r="F1753" s="187"/>
    </row>
    <row r="1754" spans="1:6" x14ac:dyDescent="0.2">
      <c r="A1754" s="275"/>
      <c r="B1754" s="78"/>
      <c r="C1754" s="189"/>
      <c r="D1754" s="185"/>
      <c r="E1754" s="186"/>
      <c r="F1754" s="187"/>
    </row>
    <row r="1755" spans="1:6" x14ac:dyDescent="0.2">
      <c r="A1755" s="275"/>
      <c r="B1755" s="78"/>
      <c r="C1755" s="189"/>
      <c r="D1755" s="185"/>
      <c r="E1755" s="186"/>
      <c r="F1755" s="187"/>
    </row>
    <row r="1756" spans="1:6" x14ac:dyDescent="0.2">
      <c r="A1756" s="275"/>
      <c r="B1756" s="78"/>
      <c r="C1756" s="189"/>
      <c r="D1756" s="185"/>
      <c r="E1756" s="186"/>
      <c r="F1756" s="187"/>
    </row>
    <row r="1757" spans="1:6" x14ac:dyDescent="0.2">
      <c r="A1757" s="275"/>
      <c r="B1757" s="78"/>
      <c r="C1757" s="189"/>
      <c r="D1757" s="185"/>
      <c r="E1757" s="186"/>
      <c r="F1757" s="187"/>
    </row>
    <row r="1758" spans="1:6" x14ac:dyDescent="0.2">
      <c r="A1758" s="275"/>
      <c r="B1758" s="78"/>
      <c r="C1758" s="189"/>
      <c r="D1758" s="185"/>
      <c r="E1758" s="186"/>
      <c r="F1758" s="187"/>
    </row>
    <row r="1759" spans="1:6" x14ac:dyDescent="0.2">
      <c r="A1759" s="275"/>
      <c r="B1759" s="78"/>
      <c r="C1759" s="189"/>
      <c r="D1759" s="185"/>
      <c r="E1759" s="186"/>
      <c r="F1759" s="187"/>
    </row>
    <row r="1760" spans="1:6" x14ac:dyDescent="0.2">
      <c r="A1760" s="275"/>
      <c r="B1760" s="78"/>
      <c r="C1760" s="189"/>
      <c r="D1760" s="185"/>
      <c r="E1760" s="186"/>
      <c r="F1760" s="187"/>
    </row>
    <row r="1761" spans="1:6" x14ac:dyDescent="0.2">
      <c r="A1761" s="275"/>
      <c r="B1761" s="78"/>
      <c r="C1761" s="189"/>
      <c r="D1761" s="185"/>
      <c r="E1761" s="186"/>
      <c r="F1761" s="187"/>
    </row>
    <row r="1762" spans="1:6" x14ac:dyDescent="0.2">
      <c r="A1762" s="275"/>
      <c r="B1762" s="78"/>
      <c r="C1762" s="189"/>
      <c r="D1762" s="185"/>
      <c r="E1762" s="186"/>
      <c r="F1762" s="187"/>
    </row>
    <row r="1763" spans="1:6" x14ac:dyDescent="0.2">
      <c r="A1763" s="275"/>
      <c r="B1763" s="78"/>
      <c r="C1763" s="189"/>
      <c r="D1763" s="185"/>
      <c r="E1763" s="186"/>
      <c r="F1763" s="187"/>
    </row>
    <row r="1764" spans="1:6" x14ac:dyDescent="0.2">
      <c r="A1764" s="275"/>
      <c r="B1764" s="78"/>
      <c r="C1764" s="189"/>
      <c r="D1764" s="185"/>
      <c r="E1764" s="186"/>
      <c r="F1764" s="187"/>
    </row>
    <row r="1765" spans="1:6" x14ac:dyDescent="0.2">
      <c r="A1765" s="275"/>
      <c r="B1765" s="78"/>
      <c r="C1765" s="189"/>
      <c r="D1765" s="185"/>
      <c r="E1765" s="186"/>
      <c r="F1765" s="187"/>
    </row>
    <row r="1766" spans="1:6" x14ac:dyDescent="0.2">
      <c r="A1766" s="275"/>
      <c r="B1766" s="78"/>
      <c r="C1766" s="189"/>
      <c r="D1766" s="185"/>
      <c r="E1766" s="186"/>
      <c r="F1766" s="187"/>
    </row>
    <row r="1767" spans="1:6" x14ac:dyDescent="0.2">
      <c r="A1767" s="275"/>
      <c r="B1767" s="78"/>
      <c r="C1767" s="189"/>
      <c r="D1767" s="185"/>
      <c r="E1767" s="186"/>
      <c r="F1767" s="187"/>
    </row>
    <row r="1768" spans="1:6" x14ac:dyDescent="0.2">
      <c r="A1768" s="275"/>
      <c r="B1768" s="78"/>
      <c r="C1768" s="189"/>
      <c r="D1768" s="185"/>
      <c r="E1768" s="186"/>
      <c r="F1768" s="187"/>
    </row>
    <row r="1769" spans="1:6" x14ac:dyDescent="0.2">
      <c r="A1769" s="275"/>
      <c r="B1769" s="78"/>
      <c r="C1769" s="189"/>
      <c r="D1769" s="185"/>
      <c r="E1769" s="186"/>
      <c r="F1769" s="187"/>
    </row>
    <row r="1770" spans="1:6" x14ac:dyDescent="0.2">
      <c r="A1770" s="275"/>
      <c r="B1770" s="78"/>
      <c r="C1770" s="189"/>
      <c r="D1770" s="185"/>
      <c r="E1770" s="186"/>
      <c r="F1770" s="187"/>
    </row>
    <row r="1771" spans="1:6" x14ac:dyDescent="0.2">
      <c r="A1771" s="275"/>
      <c r="B1771" s="78"/>
      <c r="C1771" s="189"/>
      <c r="D1771" s="185"/>
      <c r="E1771" s="186"/>
      <c r="F1771" s="187"/>
    </row>
    <row r="1772" spans="1:6" x14ac:dyDescent="0.2">
      <c r="A1772" s="275"/>
      <c r="B1772" s="78"/>
      <c r="C1772" s="189"/>
      <c r="D1772" s="185"/>
      <c r="E1772" s="186"/>
      <c r="F1772" s="187"/>
    </row>
    <row r="1773" spans="1:6" x14ac:dyDescent="0.2">
      <c r="A1773" s="275"/>
      <c r="B1773" s="78"/>
      <c r="C1773" s="189"/>
      <c r="D1773" s="185"/>
      <c r="E1773" s="186"/>
      <c r="F1773" s="187"/>
    </row>
    <row r="1774" spans="1:6" x14ac:dyDescent="0.2">
      <c r="A1774" s="275"/>
      <c r="B1774" s="78"/>
      <c r="C1774" s="189"/>
      <c r="D1774" s="185"/>
      <c r="E1774" s="186"/>
      <c r="F1774" s="187"/>
    </row>
    <row r="1775" spans="1:6" x14ac:dyDescent="0.2">
      <c r="A1775" s="275"/>
      <c r="B1775" s="78"/>
      <c r="C1775" s="189"/>
      <c r="D1775" s="185"/>
      <c r="E1775" s="186"/>
      <c r="F1775" s="187"/>
    </row>
    <row r="1776" spans="1:6" x14ac:dyDescent="0.2">
      <c r="A1776" s="275"/>
      <c r="B1776" s="78"/>
      <c r="C1776" s="189"/>
      <c r="D1776" s="185"/>
      <c r="E1776" s="186"/>
      <c r="F1776" s="187"/>
    </row>
    <row r="1777" spans="1:6" x14ac:dyDescent="0.2">
      <c r="A1777" s="275"/>
      <c r="B1777" s="78"/>
      <c r="C1777" s="189"/>
      <c r="D1777" s="185"/>
      <c r="E1777" s="186"/>
      <c r="F1777" s="187"/>
    </row>
    <row r="1778" spans="1:6" x14ac:dyDescent="0.2">
      <c r="A1778" s="275"/>
      <c r="B1778" s="78"/>
      <c r="C1778" s="189"/>
      <c r="D1778" s="185"/>
      <c r="E1778" s="186"/>
      <c r="F1778" s="187"/>
    </row>
    <row r="1779" spans="1:6" x14ac:dyDescent="0.2">
      <c r="A1779" s="275"/>
      <c r="B1779" s="78"/>
      <c r="C1779" s="189"/>
      <c r="D1779" s="185"/>
      <c r="E1779" s="186"/>
      <c r="F1779" s="187"/>
    </row>
    <row r="1780" spans="1:6" x14ac:dyDescent="0.2">
      <c r="A1780" s="275"/>
      <c r="B1780" s="78"/>
      <c r="C1780" s="189"/>
      <c r="D1780" s="185"/>
      <c r="E1780" s="186"/>
      <c r="F1780" s="187"/>
    </row>
    <row r="1781" spans="1:6" x14ac:dyDescent="0.2">
      <c r="A1781" s="275"/>
      <c r="B1781" s="78"/>
      <c r="C1781" s="189"/>
      <c r="D1781" s="185"/>
      <c r="E1781" s="186"/>
      <c r="F1781" s="187"/>
    </row>
    <row r="1782" spans="1:6" x14ac:dyDescent="0.2">
      <c r="A1782" s="275"/>
      <c r="B1782" s="78"/>
      <c r="C1782" s="189"/>
      <c r="D1782" s="185"/>
      <c r="E1782" s="186"/>
      <c r="F1782" s="187"/>
    </row>
    <row r="1783" spans="1:6" x14ac:dyDescent="0.2">
      <c r="A1783" s="275"/>
      <c r="B1783" s="78"/>
      <c r="C1783" s="189"/>
      <c r="D1783" s="185"/>
      <c r="E1783" s="186"/>
      <c r="F1783" s="187"/>
    </row>
    <row r="1784" spans="1:6" x14ac:dyDescent="0.2">
      <c r="A1784" s="275"/>
      <c r="B1784" s="78"/>
      <c r="C1784" s="189"/>
      <c r="D1784" s="185"/>
      <c r="E1784" s="186"/>
      <c r="F1784" s="187"/>
    </row>
    <row r="1785" spans="1:6" x14ac:dyDescent="0.2">
      <c r="A1785" s="275"/>
      <c r="B1785" s="78"/>
      <c r="C1785" s="189"/>
      <c r="D1785" s="185"/>
      <c r="E1785" s="186"/>
      <c r="F1785" s="187"/>
    </row>
    <row r="1786" spans="1:6" x14ac:dyDescent="0.2">
      <c r="A1786" s="275"/>
      <c r="B1786" s="78"/>
      <c r="C1786" s="189"/>
      <c r="D1786" s="185"/>
      <c r="E1786" s="186"/>
      <c r="F1786" s="187"/>
    </row>
    <row r="1787" spans="1:6" x14ac:dyDescent="0.2">
      <c r="A1787" s="275"/>
      <c r="B1787" s="78"/>
      <c r="C1787" s="189"/>
      <c r="D1787" s="185"/>
      <c r="E1787" s="186"/>
      <c r="F1787" s="187"/>
    </row>
    <row r="1788" spans="1:6" x14ac:dyDescent="0.2">
      <c r="A1788" s="275"/>
      <c r="B1788" s="78"/>
      <c r="C1788" s="189"/>
      <c r="D1788" s="185"/>
      <c r="E1788" s="186"/>
      <c r="F1788" s="187"/>
    </row>
    <row r="1789" spans="1:6" x14ac:dyDescent="0.2">
      <c r="A1789" s="275"/>
      <c r="B1789" s="78"/>
      <c r="C1789" s="189"/>
      <c r="D1789" s="185"/>
      <c r="E1789" s="186"/>
      <c r="F1789" s="187"/>
    </row>
    <row r="1790" spans="1:6" x14ac:dyDescent="0.2">
      <c r="A1790" s="275"/>
      <c r="B1790" s="78"/>
      <c r="C1790" s="189"/>
      <c r="D1790" s="185"/>
      <c r="E1790" s="186"/>
      <c r="F1790" s="187"/>
    </row>
    <row r="1791" spans="1:6" x14ac:dyDescent="0.2">
      <c r="A1791" s="275"/>
      <c r="B1791" s="78"/>
      <c r="C1791" s="189"/>
      <c r="D1791" s="185"/>
      <c r="E1791" s="186"/>
      <c r="F1791" s="187"/>
    </row>
    <row r="1792" spans="1:6" x14ac:dyDescent="0.2">
      <c r="A1792" s="275"/>
      <c r="B1792" s="78"/>
      <c r="C1792" s="189"/>
      <c r="D1792" s="185"/>
      <c r="E1792" s="186"/>
      <c r="F1792" s="187"/>
    </row>
    <row r="1793" spans="1:6" x14ac:dyDescent="0.2">
      <c r="A1793" s="275"/>
      <c r="B1793" s="78"/>
      <c r="C1793" s="189"/>
      <c r="D1793" s="185"/>
      <c r="E1793" s="186"/>
      <c r="F1793" s="187"/>
    </row>
    <row r="1794" spans="1:6" x14ac:dyDescent="0.2">
      <c r="A1794" s="275"/>
      <c r="B1794" s="78"/>
      <c r="C1794" s="189"/>
      <c r="D1794" s="185"/>
      <c r="E1794" s="186"/>
      <c r="F1794" s="187"/>
    </row>
    <row r="1795" spans="1:6" x14ac:dyDescent="0.2">
      <c r="A1795" s="275"/>
      <c r="B1795" s="78"/>
      <c r="C1795" s="189"/>
      <c r="D1795" s="185"/>
      <c r="E1795" s="186"/>
      <c r="F1795" s="187"/>
    </row>
    <row r="1796" spans="1:6" x14ac:dyDescent="0.2">
      <c r="A1796" s="275"/>
      <c r="B1796" s="78"/>
      <c r="C1796" s="189"/>
      <c r="D1796" s="185"/>
      <c r="E1796" s="186"/>
      <c r="F1796" s="187"/>
    </row>
    <row r="1797" spans="1:6" x14ac:dyDescent="0.2">
      <c r="A1797" s="275"/>
      <c r="B1797" s="78"/>
      <c r="C1797" s="189"/>
      <c r="D1797" s="185"/>
      <c r="E1797" s="186"/>
      <c r="F1797" s="187"/>
    </row>
    <row r="1798" spans="1:6" x14ac:dyDescent="0.2">
      <c r="A1798" s="275"/>
      <c r="B1798" s="78"/>
      <c r="C1798" s="189"/>
      <c r="D1798" s="185"/>
      <c r="E1798" s="186"/>
      <c r="F1798" s="187"/>
    </row>
    <row r="1799" spans="1:6" x14ac:dyDescent="0.2">
      <c r="A1799" s="275"/>
      <c r="B1799" s="78"/>
      <c r="C1799" s="189"/>
      <c r="D1799" s="185"/>
      <c r="E1799" s="186"/>
      <c r="F1799" s="187"/>
    </row>
    <row r="1800" spans="1:6" x14ac:dyDescent="0.2">
      <c r="A1800" s="275"/>
      <c r="B1800" s="78"/>
      <c r="C1800" s="189"/>
      <c r="D1800" s="185"/>
      <c r="E1800" s="186"/>
      <c r="F1800" s="187"/>
    </row>
    <row r="1801" spans="1:6" x14ac:dyDescent="0.2">
      <c r="A1801" s="275"/>
      <c r="B1801" s="78"/>
      <c r="C1801" s="189"/>
      <c r="D1801" s="185"/>
      <c r="E1801" s="186"/>
      <c r="F1801" s="187"/>
    </row>
    <row r="1802" spans="1:6" x14ac:dyDescent="0.2">
      <c r="A1802" s="275"/>
      <c r="B1802" s="78"/>
      <c r="C1802" s="189"/>
      <c r="D1802" s="185"/>
      <c r="E1802" s="186"/>
      <c r="F1802" s="187"/>
    </row>
    <row r="1803" spans="1:6" x14ac:dyDescent="0.2">
      <c r="A1803" s="275"/>
      <c r="B1803" s="78"/>
      <c r="C1803" s="189"/>
      <c r="D1803" s="185"/>
      <c r="E1803" s="186"/>
      <c r="F1803" s="187"/>
    </row>
    <row r="1804" spans="1:6" x14ac:dyDescent="0.2">
      <c r="A1804" s="275"/>
      <c r="B1804" s="78"/>
      <c r="C1804" s="189"/>
      <c r="D1804" s="185"/>
      <c r="E1804" s="186"/>
      <c r="F1804" s="187"/>
    </row>
    <row r="1805" spans="1:6" x14ac:dyDescent="0.2">
      <c r="A1805" s="275"/>
      <c r="B1805" s="78"/>
      <c r="C1805" s="189"/>
      <c r="D1805" s="185"/>
      <c r="E1805" s="186"/>
      <c r="F1805" s="187"/>
    </row>
    <row r="1806" spans="1:6" x14ac:dyDescent="0.2">
      <c r="A1806" s="275"/>
      <c r="B1806" s="78"/>
      <c r="C1806" s="189"/>
      <c r="D1806" s="185"/>
      <c r="E1806" s="186"/>
      <c r="F1806" s="187"/>
    </row>
    <row r="1807" spans="1:6" x14ac:dyDescent="0.2">
      <c r="A1807" s="275"/>
      <c r="B1807" s="78"/>
      <c r="C1807" s="189"/>
      <c r="D1807" s="185"/>
      <c r="E1807" s="186"/>
      <c r="F1807" s="187"/>
    </row>
    <row r="1808" spans="1:6" x14ac:dyDescent="0.2">
      <c r="A1808" s="275"/>
      <c r="B1808" s="78"/>
      <c r="C1808" s="189"/>
      <c r="D1808" s="185"/>
      <c r="E1808" s="186"/>
      <c r="F1808" s="187"/>
    </row>
    <row r="1809" spans="1:6" x14ac:dyDescent="0.2">
      <c r="A1809" s="275"/>
      <c r="B1809" s="78"/>
      <c r="C1809" s="189"/>
      <c r="D1809" s="185"/>
      <c r="E1809" s="186"/>
      <c r="F1809" s="187"/>
    </row>
    <row r="1810" spans="1:6" x14ac:dyDescent="0.2">
      <c r="A1810" s="275"/>
      <c r="B1810" s="78"/>
      <c r="C1810" s="189"/>
      <c r="D1810" s="185"/>
      <c r="E1810" s="186"/>
      <c r="F1810" s="187"/>
    </row>
    <row r="1811" spans="1:6" x14ac:dyDescent="0.2">
      <c r="A1811" s="275"/>
      <c r="B1811" s="78"/>
      <c r="C1811" s="189"/>
      <c r="D1811" s="185"/>
      <c r="E1811" s="186"/>
      <c r="F1811" s="187"/>
    </row>
    <row r="1812" spans="1:6" x14ac:dyDescent="0.2">
      <c r="A1812" s="275"/>
      <c r="B1812" s="78"/>
      <c r="C1812" s="189"/>
      <c r="D1812" s="185"/>
      <c r="E1812" s="186"/>
      <c r="F1812" s="187"/>
    </row>
    <row r="1813" spans="1:6" x14ac:dyDescent="0.2">
      <c r="A1813" s="275"/>
      <c r="B1813" s="78"/>
      <c r="C1813" s="189"/>
      <c r="D1813" s="185"/>
      <c r="E1813" s="186"/>
      <c r="F1813" s="187"/>
    </row>
    <row r="1814" spans="1:6" x14ac:dyDescent="0.2">
      <c r="A1814" s="275"/>
      <c r="B1814" s="78"/>
      <c r="C1814" s="189"/>
      <c r="D1814" s="185"/>
      <c r="E1814" s="186"/>
      <c r="F1814" s="187"/>
    </row>
    <row r="1815" spans="1:6" x14ac:dyDescent="0.2">
      <c r="A1815" s="275"/>
      <c r="B1815" s="78"/>
      <c r="C1815" s="189"/>
      <c r="D1815" s="185"/>
      <c r="E1815" s="186"/>
      <c r="F1815" s="187"/>
    </row>
    <row r="1816" spans="1:6" x14ac:dyDescent="0.2">
      <c r="A1816" s="275"/>
      <c r="B1816" s="78"/>
      <c r="C1816" s="189"/>
      <c r="D1816" s="185"/>
      <c r="E1816" s="186"/>
      <c r="F1816" s="187"/>
    </row>
    <row r="1817" spans="1:6" x14ac:dyDescent="0.2">
      <c r="A1817" s="275"/>
      <c r="B1817" s="78"/>
      <c r="C1817" s="189"/>
      <c r="D1817" s="185"/>
      <c r="E1817" s="186"/>
      <c r="F1817" s="187"/>
    </row>
    <row r="1818" spans="1:6" x14ac:dyDescent="0.2">
      <c r="A1818" s="275"/>
      <c r="B1818" s="78"/>
      <c r="C1818" s="189"/>
      <c r="D1818" s="185"/>
      <c r="E1818" s="186"/>
      <c r="F1818" s="187"/>
    </row>
    <row r="1819" spans="1:6" x14ac:dyDescent="0.2">
      <c r="A1819" s="275"/>
      <c r="B1819" s="78"/>
      <c r="C1819" s="189"/>
      <c r="D1819" s="185"/>
      <c r="E1819" s="186"/>
      <c r="F1819" s="187"/>
    </row>
    <row r="1820" spans="1:6" x14ac:dyDescent="0.2">
      <c r="A1820" s="275"/>
      <c r="B1820" s="78"/>
      <c r="C1820" s="189"/>
      <c r="D1820" s="185"/>
      <c r="E1820" s="186"/>
      <c r="F1820" s="187"/>
    </row>
    <row r="1821" spans="1:6" x14ac:dyDescent="0.2">
      <c r="A1821" s="275"/>
      <c r="B1821" s="78"/>
      <c r="C1821" s="189"/>
      <c r="D1821" s="185"/>
      <c r="E1821" s="186"/>
      <c r="F1821" s="187"/>
    </row>
    <row r="1822" spans="1:6" x14ac:dyDescent="0.2">
      <c r="A1822" s="275"/>
      <c r="B1822" s="78"/>
      <c r="C1822" s="189"/>
      <c r="D1822" s="185"/>
      <c r="E1822" s="186"/>
      <c r="F1822" s="187"/>
    </row>
    <row r="1823" spans="1:6" x14ac:dyDescent="0.2">
      <c r="A1823" s="275"/>
      <c r="B1823" s="78"/>
      <c r="C1823" s="189"/>
      <c r="D1823" s="185"/>
      <c r="E1823" s="186"/>
      <c r="F1823" s="187"/>
    </row>
    <row r="1824" spans="1:6" x14ac:dyDescent="0.2">
      <c r="A1824" s="275"/>
      <c r="B1824" s="78"/>
      <c r="C1824" s="189"/>
      <c r="D1824" s="185"/>
      <c r="E1824" s="186"/>
      <c r="F1824" s="187"/>
    </row>
    <row r="1825" spans="1:6" x14ac:dyDescent="0.2">
      <c r="A1825" s="275"/>
      <c r="B1825" s="78"/>
      <c r="C1825" s="189"/>
      <c r="D1825" s="185"/>
      <c r="E1825" s="186"/>
      <c r="F1825" s="187"/>
    </row>
    <row r="1826" spans="1:6" x14ac:dyDescent="0.2">
      <c r="A1826" s="275"/>
      <c r="B1826" s="78"/>
      <c r="C1826" s="189"/>
      <c r="D1826" s="185"/>
      <c r="E1826" s="186"/>
      <c r="F1826" s="187"/>
    </row>
    <row r="1827" spans="1:6" x14ac:dyDescent="0.2">
      <c r="A1827" s="275"/>
      <c r="B1827" s="78"/>
      <c r="C1827" s="189"/>
      <c r="D1827" s="185"/>
      <c r="E1827" s="186"/>
      <c r="F1827" s="187"/>
    </row>
    <row r="1828" spans="1:6" x14ac:dyDescent="0.2">
      <c r="A1828" s="275"/>
      <c r="B1828" s="78"/>
      <c r="C1828" s="189"/>
      <c r="D1828" s="185"/>
      <c r="E1828" s="186"/>
      <c r="F1828" s="187"/>
    </row>
    <row r="1829" spans="1:6" x14ac:dyDescent="0.2">
      <c r="A1829" s="275"/>
      <c r="B1829" s="78"/>
      <c r="C1829" s="189"/>
      <c r="D1829" s="185"/>
      <c r="E1829" s="186"/>
      <c r="F1829" s="187"/>
    </row>
    <row r="1830" spans="1:6" x14ac:dyDescent="0.2">
      <c r="A1830" s="275"/>
      <c r="B1830" s="78"/>
      <c r="C1830" s="189"/>
      <c r="D1830" s="185"/>
      <c r="E1830" s="186"/>
      <c r="F1830" s="187"/>
    </row>
    <row r="1831" spans="1:6" x14ac:dyDescent="0.2">
      <c r="A1831" s="275"/>
      <c r="B1831" s="78"/>
      <c r="C1831" s="189"/>
      <c r="D1831" s="185"/>
      <c r="E1831" s="186"/>
      <c r="F1831" s="187"/>
    </row>
    <row r="1832" spans="1:6" x14ac:dyDescent="0.2">
      <c r="A1832" s="275"/>
      <c r="B1832" s="78"/>
      <c r="C1832" s="189"/>
      <c r="D1832" s="185"/>
      <c r="E1832" s="186"/>
      <c r="F1832" s="187"/>
    </row>
    <row r="1833" spans="1:6" x14ac:dyDescent="0.2">
      <c r="A1833" s="275"/>
      <c r="B1833" s="78"/>
      <c r="C1833" s="189"/>
      <c r="D1833" s="185"/>
      <c r="E1833" s="186"/>
      <c r="F1833" s="187"/>
    </row>
    <row r="1834" spans="1:6" x14ac:dyDescent="0.2">
      <c r="A1834" s="275"/>
      <c r="B1834" s="78"/>
      <c r="C1834" s="189"/>
      <c r="D1834" s="185"/>
      <c r="E1834" s="186"/>
      <c r="F1834" s="187"/>
    </row>
    <row r="1835" spans="1:6" x14ac:dyDescent="0.2">
      <c r="A1835" s="275"/>
      <c r="B1835" s="78"/>
      <c r="C1835" s="189"/>
      <c r="D1835" s="185"/>
      <c r="E1835" s="186"/>
      <c r="F1835" s="187"/>
    </row>
    <row r="1836" spans="1:6" x14ac:dyDescent="0.2">
      <c r="A1836" s="275"/>
      <c r="B1836" s="78"/>
      <c r="C1836" s="189"/>
      <c r="D1836" s="185"/>
      <c r="E1836" s="186"/>
      <c r="F1836" s="187"/>
    </row>
    <row r="1837" spans="1:6" x14ac:dyDescent="0.2">
      <c r="A1837" s="275"/>
      <c r="B1837" s="78"/>
      <c r="C1837" s="189"/>
      <c r="D1837" s="185"/>
      <c r="E1837" s="186"/>
      <c r="F1837" s="187"/>
    </row>
    <row r="1838" spans="1:6" x14ac:dyDescent="0.2">
      <c r="A1838" s="275"/>
      <c r="B1838" s="78"/>
      <c r="C1838" s="189"/>
      <c r="D1838" s="185"/>
      <c r="E1838" s="186"/>
      <c r="F1838" s="187"/>
    </row>
  </sheetData>
  <sheetProtection algorithmName="SHA-512" hashValue="UlnpYBLkKLoN24Vt3tPQtbSYY0kXCig6dk/b5SRewrhf3W5iJlBzJjqU1+jreCyfuMVs39cPnInKpgX5NyGZFg==" saltValue="TofrWeWjDp/A66EmNCcP9w==" spinCount="100000" sheet="1" objects="1" scenarios="1"/>
  <mergeCells count="2">
    <mergeCell ref="B1:F1"/>
    <mergeCell ref="C14:E14"/>
  </mergeCells>
  <dataValidations count="1">
    <dataValidation type="custom" showErrorMessage="1" errorTitle="Nepravilen vnos cene" error="Cena mora biti nenegativno število z največ dvema decimalkama!" sqref="E5:E13">
      <formula1>AND(ISNUMBER(E5),E5&gt;=0,ROUND(E5*100,6)-INT(E5*100)=0,NOT(ISBLANK(E5)))</formula1>
    </dataValidation>
  </dataValidations>
  <printOptions horizontalCentered="1"/>
  <pageMargins left="0.78740157480314965" right="0.39370078740157483" top="0.39370078740157483" bottom="0.98425196850393704" header="0.19685039370078741" footer="0.19685039370078741"/>
  <pageSetup paperSize="9" scale="88" fitToHeight="0" orientation="landscape" r:id="rId1"/>
  <headerFooter>
    <oddHeader>&amp;LRTP 110/20 kV Izola&amp;R&amp;G</oddHeader>
    <oddFooter>&amp;LDZR: Ponudbeni predračun
Datoteka: 4407.6G01.PP.rev1.xlsx&amp;R Stran: &amp;P od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L1838"/>
  <sheetViews>
    <sheetView view="pageBreakPreview" topLeftCell="A8" zoomScale="85" zoomScaleNormal="100" zoomScaleSheetLayoutView="85" workbookViewId="0">
      <selection activeCell="F20" sqref="F20 F28 F34 F41"/>
    </sheetView>
  </sheetViews>
  <sheetFormatPr defaultColWidth="6.7109375" defaultRowHeight="12.75" x14ac:dyDescent="0.2"/>
  <cols>
    <col min="1" max="1" width="7.85546875" style="190" customWidth="1"/>
    <col min="2" max="2" width="99.140625" style="179" customWidth="1"/>
    <col min="3" max="3" width="9" style="191" customWidth="1"/>
    <col min="4" max="4" width="11.42578125" style="192" customWidth="1"/>
    <col min="5" max="5" width="12.7109375" style="193" customWidth="1"/>
    <col min="6" max="6" width="13.5703125" style="194" customWidth="1"/>
    <col min="7" max="16384" width="6.7109375" style="78"/>
  </cols>
  <sheetData>
    <row r="1" spans="1:12" ht="15.95" customHeight="1" thickBot="1" x14ac:dyDescent="0.3">
      <c r="A1" s="7"/>
      <c r="B1" s="329"/>
      <c r="C1" s="329"/>
      <c r="D1" s="329"/>
      <c r="E1" s="329"/>
      <c r="F1" s="329"/>
    </row>
    <row r="2" spans="1:12" ht="32.450000000000003" customHeight="1" x14ac:dyDescent="0.2">
      <c r="A2" s="1" t="s">
        <v>1</v>
      </c>
      <c r="B2" s="2" t="s">
        <v>1741</v>
      </c>
      <c r="C2" s="3" t="s">
        <v>1742</v>
      </c>
      <c r="D2" s="4" t="s">
        <v>1743</v>
      </c>
      <c r="E2" s="5" t="s">
        <v>1744</v>
      </c>
      <c r="F2" s="6" t="s">
        <v>1745</v>
      </c>
    </row>
    <row r="3" spans="1:12" ht="15" x14ac:dyDescent="0.2">
      <c r="A3" s="21" t="s">
        <v>1969</v>
      </c>
      <c r="B3" s="22" t="s">
        <v>1970</v>
      </c>
      <c r="C3" s="23"/>
      <c r="D3" s="24"/>
      <c r="E3" s="25"/>
      <c r="F3" s="26"/>
    </row>
    <row r="4" spans="1:12" ht="44.25" customHeight="1" x14ac:dyDescent="0.2">
      <c r="A4" s="21"/>
      <c r="B4" s="17" t="s">
        <v>1747</v>
      </c>
      <c r="C4" s="23"/>
      <c r="D4" s="24"/>
      <c r="E4" s="25"/>
      <c r="F4" s="26"/>
    </row>
    <row r="5" spans="1:12" ht="57" x14ac:dyDescent="0.2">
      <c r="A5" s="21"/>
      <c r="B5" s="17" t="s">
        <v>1971</v>
      </c>
      <c r="C5" s="23"/>
      <c r="D5" s="24"/>
      <c r="E5" s="25"/>
      <c r="F5" s="26"/>
    </row>
    <row r="6" spans="1:12" ht="15" x14ac:dyDescent="0.2">
      <c r="A6" s="29" t="s">
        <v>1972</v>
      </c>
      <c r="B6" s="30" t="s">
        <v>1751</v>
      </c>
      <c r="C6" s="23"/>
      <c r="D6" s="24"/>
      <c r="E6" s="25"/>
      <c r="F6" s="26"/>
    </row>
    <row r="7" spans="1:12" ht="28.5" x14ac:dyDescent="0.2">
      <c r="A7" s="29"/>
      <c r="B7" s="17" t="s">
        <v>1973</v>
      </c>
      <c r="C7" s="23"/>
      <c r="D7" s="24"/>
      <c r="E7" s="25"/>
      <c r="F7" s="26"/>
    </row>
    <row r="8" spans="1:12" ht="28.5" x14ac:dyDescent="0.3">
      <c r="A8" s="29"/>
      <c r="B8" s="17" t="s">
        <v>1974</v>
      </c>
      <c r="C8" s="23"/>
      <c r="D8" s="24"/>
      <c r="E8" s="25"/>
      <c r="F8" s="26"/>
      <c r="I8" s="195"/>
      <c r="J8" s="196"/>
      <c r="K8" s="196"/>
      <c r="L8" s="196"/>
    </row>
    <row r="9" spans="1:12" ht="57" x14ac:dyDescent="0.2">
      <c r="A9" s="29"/>
      <c r="B9" s="17" t="s">
        <v>1975</v>
      </c>
      <c r="C9" s="23"/>
      <c r="D9" s="24"/>
      <c r="E9" s="25"/>
      <c r="F9" s="26"/>
    </row>
    <row r="10" spans="1:12" ht="33" customHeight="1" x14ac:dyDescent="0.2">
      <c r="A10" s="29" t="s">
        <v>1976</v>
      </c>
      <c r="B10" s="17" t="s">
        <v>1977</v>
      </c>
      <c r="C10" s="15" t="s">
        <v>1780</v>
      </c>
      <c r="D10" s="16">
        <f>950*1.2</f>
        <v>1140</v>
      </c>
      <c r="E10" s="31">
        <v>0</v>
      </c>
      <c r="F10" s="28">
        <f t="shared" ref="F10:F15" si="0">ROUND(D10*E10,2)</f>
        <v>0</v>
      </c>
    </row>
    <row r="11" spans="1:12" ht="28.5" x14ac:dyDescent="0.2">
      <c r="A11" s="29" t="s">
        <v>1978</v>
      </c>
      <c r="B11" s="37" t="s">
        <v>1979</v>
      </c>
      <c r="C11" s="15" t="s">
        <v>1756</v>
      </c>
      <c r="D11" s="16">
        <f>175*0.3*1.2</f>
        <v>63</v>
      </c>
      <c r="E11" s="31">
        <v>0</v>
      </c>
      <c r="F11" s="28">
        <f t="shared" si="0"/>
        <v>0</v>
      </c>
    </row>
    <row r="12" spans="1:12" ht="42.75" x14ac:dyDescent="0.2">
      <c r="A12" s="29" t="s">
        <v>1980</v>
      </c>
      <c r="B12" s="17" t="s">
        <v>1981</v>
      </c>
      <c r="C12" s="15" t="s">
        <v>1756</v>
      </c>
      <c r="D12" s="16">
        <f>D14*0.3*1.2</f>
        <v>410.4</v>
      </c>
      <c r="E12" s="31">
        <v>0</v>
      </c>
      <c r="F12" s="28">
        <f t="shared" si="0"/>
        <v>0</v>
      </c>
    </row>
    <row r="13" spans="1:12" ht="28.5" x14ac:dyDescent="0.2">
      <c r="A13" s="29" t="s">
        <v>1982</v>
      </c>
      <c r="B13" s="17" t="s">
        <v>1983</v>
      </c>
      <c r="C13" s="15" t="s">
        <v>1756</v>
      </c>
      <c r="D13" s="16">
        <f>300*0.3*1.2</f>
        <v>108</v>
      </c>
      <c r="E13" s="31">
        <v>0</v>
      </c>
      <c r="F13" s="28">
        <f t="shared" si="0"/>
        <v>0</v>
      </c>
    </row>
    <row r="14" spans="1:12" ht="28.5" x14ac:dyDescent="0.2">
      <c r="A14" s="29" t="s">
        <v>1984</v>
      </c>
      <c r="B14" s="17" t="s">
        <v>1985</v>
      </c>
      <c r="C14" s="15" t="s">
        <v>1780</v>
      </c>
      <c r="D14" s="16">
        <f>D10</f>
        <v>1140</v>
      </c>
      <c r="E14" s="31">
        <v>0</v>
      </c>
      <c r="F14" s="28">
        <f t="shared" si="0"/>
        <v>0</v>
      </c>
    </row>
    <row r="15" spans="1:12" ht="57" x14ac:dyDescent="0.2">
      <c r="A15" s="29" t="s">
        <v>1986</v>
      </c>
      <c r="B15" s="17" t="s">
        <v>1987</v>
      </c>
      <c r="C15" s="15" t="s">
        <v>1780</v>
      </c>
      <c r="D15" s="16">
        <f>D14*1.1</f>
        <v>1254</v>
      </c>
      <c r="E15" s="31">
        <v>0</v>
      </c>
      <c r="F15" s="28">
        <f t="shared" si="0"/>
        <v>0</v>
      </c>
    </row>
    <row r="16" spans="1:12" ht="99.75" x14ac:dyDescent="0.2">
      <c r="A16" s="29" t="s">
        <v>1988</v>
      </c>
      <c r="B16" s="17" t="s">
        <v>1989</v>
      </c>
      <c r="C16" s="15"/>
      <c r="D16" s="16"/>
      <c r="E16" s="25"/>
      <c r="F16" s="26"/>
    </row>
    <row r="17" spans="1:7" ht="42.75" x14ac:dyDescent="0.2">
      <c r="A17" s="29" t="s">
        <v>1761</v>
      </c>
      <c r="B17" s="17" t="s">
        <v>1990</v>
      </c>
      <c r="C17" s="15" t="s">
        <v>1756</v>
      </c>
      <c r="D17" s="16">
        <f>D10*0.3</f>
        <v>342</v>
      </c>
      <c r="E17" s="31">
        <v>0</v>
      </c>
      <c r="F17" s="28">
        <f>ROUND(D17*E17,2)</f>
        <v>0</v>
      </c>
    </row>
    <row r="18" spans="1:7" ht="28.5" x14ac:dyDescent="0.2">
      <c r="A18" s="29" t="s">
        <v>1774</v>
      </c>
      <c r="B18" s="17" t="s">
        <v>1991</v>
      </c>
      <c r="C18" s="15" t="s">
        <v>1756</v>
      </c>
      <c r="D18" s="16">
        <f>D10*0.1</f>
        <v>114</v>
      </c>
      <c r="E18" s="31">
        <v>0</v>
      </c>
      <c r="F18" s="28">
        <f>ROUND(D18*E18,2)</f>
        <v>0</v>
      </c>
    </row>
    <row r="19" spans="1:7" ht="15" thickBot="1" x14ac:dyDescent="0.25">
      <c r="A19" s="29" t="s">
        <v>1992</v>
      </c>
      <c r="B19" s="17" t="s">
        <v>1764</v>
      </c>
      <c r="C19" s="15" t="s">
        <v>1765</v>
      </c>
      <c r="D19" s="16">
        <v>15</v>
      </c>
      <c r="E19" s="31">
        <v>0</v>
      </c>
      <c r="F19" s="28">
        <f>ROUND(D19*E19,2)</f>
        <v>0</v>
      </c>
    </row>
    <row r="20" spans="1:7" ht="18.75" customHeight="1" thickBot="1" x14ac:dyDescent="0.3">
      <c r="A20" s="29"/>
      <c r="B20" s="30"/>
      <c r="C20" s="333" t="s">
        <v>1766</v>
      </c>
      <c r="D20" s="334"/>
      <c r="E20" s="335"/>
      <c r="F20" s="18">
        <f>SUM(F10:F19)</f>
        <v>0</v>
      </c>
      <c r="G20" s="8"/>
    </row>
    <row r="21" spans="1:7" ht="18" x14ac:dyDescent="0.25">
      <c r="A21" s="197" t="s">
        <v>1993</v>
      </c>
      <c r="B21" s="30" t="s">
        <v>1994</v>
      </c>
      <c r="C21" s="23"/>
      <c r="D21" s="24"/>
      <c r="E21" s="25"/>
      <c r="F21" s="26"/>
      <c r="G21" s="8"/>
    </row>
    <row r="22" spans="1:7" ht="57" x14ac:dyDescent="0.25">
      <c r="A22" s="29" t="s">
        <v>1995</v>
      </c>
      <c r="B22" s="17" t="s">
        <v>1996</v>
      </c>
      <c r="C22" s="23"/>
      <c r="D22" s="24"/>
      <c r="E22" s="25"/>
      <c r="F22" s="26"/>
      <c r="G22" s="8"/>
    </row>
    <row r="23" spans="1:7" ht="18" x14ac:dyDescent="0.25">
      <c r="A23" s="29" t="s">
        <v>1761</v>
      </c>
      <c r="B23" s="17" t="s">
        <v>1997</v>
      </c>
      <c r="C23" s="15" t="s">
        <v>1800</v>
      </c>
      <c r="D23" s="16">
        <v>80</v>
      </c>
      <c r="E23" s="31">
        <v>0</v>
      </c>
      <c r="F23" s="28">
        <f>ROUND(D23*E23,2)</f>
        <v>0</v>
      </c>
      <c r="G23" s="8"/>
    </row>
    <row r="24" spans="1:7" ht="14.25" x14ac:dyDescent="0.2">
      <c r="A24" s="29" t="s">
        <v>1774</v>
      </c>
      <c r="B24" s="17" t="s">
        <v>1998</v>
      </c>
      <c r="C24" s="15" t="s">
        <v>1800</v>
      </c>
      <c r="D24" s="16">
        <v>40</v>
      </c>
      <c r="E24" s="31">
        <v>0</v>
      </c>
      <c r="F24" s="28">
        <f>ROUND(D24*E24,2)</f>
        <v>0</v>
      </c>
    </row>
    <row r="25" spans="1:7" ht="71.25" x14ac:dyDescent="0.2">
      <c r="A25" s="29" t="s">
        <v>1999</v>
      </c>
      <c r="B25" s="17" t="s">
        <v>2000</v>
      </c>
      <c r="C25" s="15" t="s">
        <v>1780</v>
      </c>
      <c r="D25" s="16">
        <f>950*1.2</f>
        <v>1140</v>
      </c>
      <c r="E25" s="31">
        <v>0</v>
      </c>
      <c r="F25" s="28">
        <f>ROUND(D25*E25,2)</f>
        <v>0</v>
      </c>
    </row>
    <row r="26" spans="1:7" ht="14.25" x14ac:dyDescent="0.2">
      <c r="A26" s="29" t="s">
        <v>2001</v>
      </c>
      <c r="B26" s="17" t="s">
        <v>2002</v>
      </c>
      <c r="C26" s="15" t="s">
        <v>1800</v>
      </c>
      <c r="D26" s="16">
        <f>50*1.2</f>
        <v>60</v>
      </c>
      <c r="E26" s="31">
        <v>0</v>
      </c>
      <c r="F26" s="28">
        <f>ROUND(D26*E26,2)</f>
        <v>0</v>
      </c>
    </row>
    <row r="27" spans="1:7" ht="29.25" thickBot="1" x14ac:dyDescent="0.25">
      <c r="A27" s="29" t="s">
        <v>2003</v>
      </c>
      <c r="B27" s="17" t="s">
        <v>2004</v>
      </c>
      <c r="C27" s="15" t="s">
        <v>1800</v>
      </c>
      <c r="D27" s="16">
        <v>30</v>
      </c>
      <c r="E27" s="31">
        <v>0</v>
      </c>
      <c r="F27" s="28">
        <f>ROUND(D27*E27,2)</f>
        <v>0</v>
      </c>
    </row>
    <row r="28" spans="1:7" ht="18.75" customHeight="1" thickBot="1" x14ac:dyDescent="0.3">
      <c r="A28" s="29"/>
      <c r="B28" s="30"/>
      <c r="C28" s="333" t="s">
        <v>2005</v>
      </c>
      <c r="D28" s="334"/>
      <c r="E28" s="335"/>
      <c r="F28" s="18">
        <f>SUM(F23:F27)</f>
        <v>0</v>
      </c>
      <c r="G28" s="8"/>
    </row>
    <row r="29" spans="1:7" ht="15" x14ac:dyDescent="0.2">
      <c r="A29" s="29" t="s">
        <v>2006</v>
      </c>
      <c r="B29" s="30" t="s">
        <v>2007</v>
      </c>
      <c r="C29" s="23"/>
      <c r="D29" s="24"/>
      <c r="E29" s="25"/>
      <c r="F29" s="26"/>
    </row>
    <row r="30" spans="1:7" ht="15" x14ac:dyDescent="0.2">
      <c r="A30" s="29" t="s">
        <v>2008</v>
      </c>
      <c r="B30" s="17" t="s">
        <v>2009</v>
      </c>
      <c r="C30" s="23"/>
      <c r="D30" s="24"/>
      <c r="E30" s="25"/>
      <c r="F30" s="26"/>
    </row>
    <row r="31" spans="1:7" ht="14.25" x14ac:dyDescent="0.2">
      <c r="A31" s="29" t="s">
        <v>1761</v>
      </c>
      <c r="B31" s="17" t="s">
        <v>2010</v>
      </c>
      <c r="C31" s="15" t="s">
        <v>1780</v>
      </c>
      <c r="D31" s="16">
        <f>25*0.8*1.2+1</f>
        <v>25</v>
      </c>
      <c r="E31" s="31">
        <v>0</v>
      </c>
      <c r="F31" s="28">
        <f>ROUND(D31*E31,2)</f>
        <v>0</v>
      </c>
    </row>
    <row r="32" spans="1:7" ht="14.25" x14ac:dyDescent="0.2">
      <c r="A32" s="29" t="s">
        <v>1774</v>
      </c>
      <c r="B32" s="17" t="s">
        <v>2011</v>
      </c>
      <c r="C32" s="15" t="s">
        <v>1756</v>
      </c>
      <c r="D32" s="16">
        <f>D31*0.1+1</f>
        <v>3.5</v>
      </c>
      <c r="E32" s="31">
        <v>0</v>
      </c>
      <c r="F32" s="28">
        <f>ROUND(D32*E32,2)</f>
        <v>0</v>
      </c>
    </row>
    <row r="33" spans="1:7" ht="15" thickBot="1" x14ac:dyDescent="0.25">
      <c r="A33" s="29" t="s">
        <v>1873</v>
      </c>
      <c r="B33" s="17" t="s">
        <v>2012</v>
      </c>
      <c r="C33" s="15" t="s">
        <v>1756</v>
      </c>
      <c r="D33" s="16">
        <f>D31*0.3+1.5</f>
        <v>9</v>
      </c>
      <c r="E33" s="31">
        <v>0</v>
      </c>
      <c r="F33" s="28">
        <f>ROUND(D33*E33,2)</f>
        <v>0</v>
      </c>
    </row>
    <row r="34" spans="1:7" ht="18.75" customHeight="1" thickBot="1" x14ac:dyDescent="0.3">
      <c r="A34" s="29"/>
      <c r="B34" s="30"/>
      <c r="C34" s="333" t="s">
        <v>2013</v>
      </c>
      <c r="D34" s="334"/>
      <c r="E34" s="335"/>
      <c r="F34" s="18">
        <f>SUM(F31:F33)</f>
        <v>0</v>
      </c>
      <c r="G34" s="8"/>
    </row>
    <row r="35" spans="1:7" ht="15" x14ac:dyDescent="0.2">
      <c r="A35" s="29" t="s">
        <v>2014</v>
      </c>
      <c r="B35" s="30" t="s">
        <v>2015</v>
      </c>
      <c r="C35" s="23"/>
      <c r="D35" s="24"/>
      <c r="E35" s="25"/>
      <c r="F35" s="26"/>
    </row>
    <row r="36" spans="1:7" ht="28.5" x14ac:dyDescent="0.2">
      <c r="A36" s="29" t="s">
        <v>2016</v>
      </c>
      <c r="B36" s="17" t="s">
        <v>2017</v>
      </c>
      <c r="C36" s="15" t="s">
        <v>1780</v>
      </c>
      <c r="D36" s="16">
        <f>175*1.2</f>
        <v>210</v>
      </c>
      <c r="E36" s="31">
        <v>0</v>
      </c>
      <c r="F36" s="28">
        <f>ROUND(D36*E36,2)</f>
        <v>0</v>
      </c>
    </row>
    <row r="37" spans="1:7" ht="28.5" x14ac:dyDescent="0.2">
      <c r="A37" s="29" t="s">
        <v>2018</v>
      </c>
      <c r="B37" s="17" t="s">
        <v>2019</v>
      </c>
      <c r="C37" s="15" t="s">
        <v>1756</v>
      </c>
      <c r="D37" s="16">
        <f>D11</f>
        <v>63</v>
      </c>
      <c r="E37" s="31">
        <v>0</v>
      </c>
      <c r="F37" s="28">
        <f>ROUND(D37*E37,2)</f>
        <v>0</v>
      </c>
    </row>
    <row r="38" spans="1:7" ht="28.5" x14ac:dyDescent="0.2">
      <c r="A38" s="29" t="s">
        <v>2020</v>
      </c>
      <c r="B38" s="17" t="s">
        <v>2021</v>
      </c>
      <c r="C38" s="15" t="s">
        <v>1756</v>
      </c>
      <c r="D38" s="16">
        <f>100*0.3</f>
        <v>30</v>
      </c>
      <c r="E38" s="31">
        <v>0</v>
      </c>
      <c r="F38" s="28">
        <f>ROUND(D38*E38,2)</f>
        <v>0</v>
      </c>
    </row>
    <row r="39" spans="1:7" ht="28.5" x14ac:dyDescent="0.2">
      <c r="A39" s="29" t="s">
        <v>2022</v>
      </c>
      <c r="B39" s="17" t="s">
        <v>2023</v>
      </c>
      <c r="C39" s="15" t="s">
        <v>1756</v>
      </c>
      <c r="D39" s="16">
        <f>D37+D38</f>
        <v>93</v>
      </c>
      <c r="E39" s="31">
        <v>0</v>
      </c>
      <c r="F39" s="28">
        <f>ROUND(D39*E39,2)</f>
        <v>0</v>
      </c>
    </row>
    <row r="40" spans="1:7" ht="43.5" thickBot="1" x14ac:dyDescent="0.25">
      <c r="A40" s="29" t="s">
        <v>2024</v>
      </c>
      <c r="B40" s="17" t="s">
        <v>2025</v>
      </c>
      <c r="C40" s="15" t="s">
        <v>1780</v>
      </c>
      <c r="D40" s="16">
        <f>D36</f>
        <v>210</v>
      </c>
      <c r="E40" s="31">
        <v>0</v>
      </c>
      <c r="F40" s="28">
        <f>ROUND(D40*E40,2)</f>
        <v>0</v>
      </c>
    </row>
    <row r="41" spans="1:7" ht="35.25" customHeight="1" thickBot="1" x14ac:dyDescent="0.3">
      <c r="A41" s="29"/>
      <c r="B41" s="30"/>
      <c r="C41" s="336" t="s">
        <v>2026</v>
      </c>
      <c r="D41" s="337"/>
      <c r="E41" s="338"/>
      <c r="F41" s="18">
        <f>SUM(F36:F40)</f>
        <v>0</v>
      </c>
      <c r="G41" s="8"/>
    </row>
    <row r="42" spans="1:7" ht="18.75" customHeight="1" thickBot="1" x14ac:dyDescent="0.3">
      <c r="A42" s="27"/>
      <c r="B42" s="35"/>
      <c r="C42" s="198"/>
      <c r="D42" s="199"/>
      <c r="E42" s="200"/>
      <c r="F42" s="26"/>
      <c r="G42" s="8"/>
    </row>
    <row r="43" spans="1:7" ht="33" customHeight="1" thickBot="1" x14ac:dyDescent="0.3">
      <c r="A43" s="267"/>
      <c r="B43" s="268"/>
      <c r="C43" s="336" t="s">
        <v>2027</v>
      </c>
      <c r="D43" s="337"/>
      <c r="E43" s="338"/>
      <c r="F43" s="18">
        <f>F20+F28+F34+F41</f>
        <v>0</v>
      </c>
      <c r="G43" s="8"/>
    </row>
    <row r="44" spans="1:7" x14ac:dyDescent="0.2">
      <c r="A44" s="275"/>
      <c r="B44" s="78"/>
      <c r="C44" s="189"/>
      <c r="D44" s="185"/>
      <c r="E44" s="186"/>
      <c r="F44" s="187"/>
    </row>
    <row r="45" spans="1:7" x14ac:dyDescent="0.2">
      <c r="A45" s="275"/>
      <c r="B45" s="78"/>
      <c r="C45" s="189"/>
      <c r="D45" s="185"/>
      <c r="E45" s="186"/>
      <c r="F45" s="187"/>
    </row>
    <row r="46" spans="1:7" x14ac:dyDescent="0.2">
      <c r="A46" s="275"/>
      <c r="B46" s="78"/>
      <c r="C46" s="189"/>
      <c r="D46" s="185"/>
      <c r="E46" s="186"/>
      <c r="F46" s="187"/>
    </row>
    <row r="47" spans="1:7" x14ac:dyDescent="0.2">
      <c r="A47" s="275"/>
      <c r="B47" s="78"/>
      <c r="C47" s="189"/>
      <c r="D47" s="185"/>
      <c r="E47" s="186"/>
      <c r="F47" s="187"/>
    </row>
    <row r="48" spans="1:7" x14ac:dyDescent="0.2">
      <c r="A48" s="275"/>
      <c r="B48" s="78"/>
      <c r="C48" s="189"/>
      <c r="D48" s="185"/>
      <c r="E48" s="186"/>
      <c r="F48" s="187"/>
    </row>
    <row r="49" spans="1:6" x14ac:dyDescent="0.2">
      <c r="A49" s="275"/>
      <c r="B49" s="78"/>
      <c r="C49" s="189"/>
      <c r="D49" s="185"/>
      <c r="E49" s="186"/>
      <c r="F49" s="187"/>
    </row>
    <row r="50" spans="1:6" x14ac:dyDescent="0.2">
      <c r="A50" s="275"/>
      <c r="B50" s="78"/>
      <c r="C50" s="189"/>
      <c r="D50" s="185"/>
      <c r="E50" s="186"/>
      <c r="F50" s="187"/>
    </row>
    <row r="51" spans="1:6" x14ac:dyDescent="0.2">
      <c r="A51" s="275"/>
      <c r="B51" s="78"/>
      <c r="C51" s="189"/>
      <c r="D51" s="185"/>
      <c r="E51" s="186"/>
      <c r="F51" s="187"/>
    </row>
    <row r="52" spans="1:6" x14ac:dyDescent="0.2">
      <c r="A52" s="275"/>
      <c r="B52" s="78"/>
      <c r="C52" s="189"/>
      <c r="D52" s="185"/>
      <c r="E52" s="186"/>
      <c r="F52" s="187"/>
    </row>
    <row r="53" spans="1:6" x14ac:dyDescent="0.2">
      <c r="A53" s="275"/>
      <c r="B53" s="78"/>
      <c r="C53" s="189"/>
      <c r="D53" s="185"/>
      <c r="E53" s="186"/>
      <c r="F53" s="187"/>
    </row>
    <row r="54" spans="1:6" x14ac:dyDescent="0.2">
      <c r="A54" s="275"/>
      <c r="B54" s="78"/>
      <c r="C54" s="189"/>
      <c r="D54" s="185"/>
      <c r="E54" s="186"/>
      <c r="F54" s="187"/>
    </row>
    <row r="55" spans="1:6" x14ac:dyDescent="0.2">
      <c r="A55" s="275"/>
      <c r="B55" s="78"/>
      <c r="C55" s="189"/>
      <c r="D55" s="185"/>
      <c r="E55" s="186"/>
      <c r="F55" s="187"/>
    </row>
    <row r="56" spans="1:6" x14ac:dyDescent="0.2">
      <c r="A56" s="275"/>
      <c r="B56" s="78"/>
      <c r="C56" s="189"/>
      <c r="D56" s="185"/>
      <c r="E56" s="186"/>
      <c r="F56" s="187"/>
    </row>
    <row r="57" spans="1:6" x14ac:dyDescent="0.2">
      <c r="A57" s="275"/>
      <c r="B57" s="78"/>
      <c r="C57" s="189"/>
      <c r="D57" s="185"/>
      <c r="E57" s="186"/>
      <c r="F57" s="187"/>
    </row>
    <row r="58" spans="1:6" x14ac:dyDescent="0.2">
      <c r="A58" s="275"/>
      <c r="B58" s="78"/>
      <c r="C58" s="189"/>
      <c r="D58" s="185"/>
      <c r="E58" s="186"/>
      <c r="F58" s="187"/>
    </row>
    <row r="59" spans="1:6" x14ac:dyDescent="0.2">
      <c r="A59" s="275"/>
      <c r="B59" s="78"/>
      <c r="C59" s="189"/>
      <c r="D59" s="185"/>
      <c r="E59" s="186"/>
      <c r="F59" s="187"/>
    </row>
    <row r="60" spans="1:6" x14ac:dyDescent="0.2">
      <c r="A60" s="275"/>
      <c r="B60" s="78"/>
      <c r="C60" s="189"/>
      <c r="D60" s="185"/>
      <c r="E60" s="186"/>
      <c r="F60" s="187"/>
    </row>
    <row r="61" spans="1:6" x14ac:dyDescent="0.2">
      <c r="A61" s="275"/>
      <c r="B61" s="78"/>
      <c r="C61" s="189"/>
      <c r="D61" s="185"/>
      <c r="E61" s="186"/>
      <c r="F61" s="187"/>
    </row>
    <row r="62" spans="1:6" x14ac:dyDescent="0.2">
      <c r="A62" s="275"/>
      <c r="B62" s="78"/>
      <c r="C62" s="189"/>
      <c r="D62" s="185"/>
      <c r="E62" s="186"/>
      <c r="F62" s="187"/>
    </row>
    <row r="63" spans="1:6" x14ac:dyDescent="0.2">
      <c r="A63" s="275"/>
      <c r="B63" s="78"/>
      <c r="C63" s="189"/>
      <c r="D63" s="185"/>
      <c r="E63" s="186"/>
      <c r="F63" s="187"/>
    </row>
    <row r="64" spans="1:6" x14ac:dyDescent="0.2">
      <c r="A64" s="275"/>
      <c r="B64" s="78"/>
      <c r="C64" s="189"/>
      <c r="D64" s="185"/>
      <c r="E64" s="186"/>
      <c r="F64" s="187"/>
    </row>
    <row r="65" spans="1:6" x14ac:dyDescent="0.2">
      <c r="A65" s="275"/>
      <c r="B65" s="78"/>
      <c r="C65" s="189"/>
      <c r="D65" s="185"/>
      <c r="E65" s="186"/>
      <c r="F65" s="187"/>
    </row>
    <row r="66" spans="1:6" x14ac:dyDescent="0.2">
      <c r="A66" s="275"/>
      <c r="B66" s="78"/>
      <c r="C66" s="189"/>
      <c r="D66" s="185"/>
      <c r="E66" s="186"/>
      <c r="F66" s="187"/>
    </row>
    <row r="67" spans="1:6" x14ac:dyDescent="0.2">
      <c r="A67" s="275"/>
      <c r="B67" s="78"/>
      <c r="C67" s="189"/>
      <c r="D67" s="185"/>
      <c r="E67" s="186"/>
      <c r="F67" s="187"/>
    </row>
    <row r="68" spans="1:6" x14ac:dyDescent="0.2">
      <c r="A68" s="275"/>
      <c r="B68" s="78"/>
      <c r="C68" s="189"/>
      <c r="D68" s="185"/>
      <c r="E68" s="186"/>
      <c r="F68" s="187"/>
    </row>
    <row r="69" spans="1:6" x14ac:dyDescent="0.2">
      <c r="A69" s="275"/>
      <c r="B69" s="78"/>
      <c r="C69" s="189"/>
      <c r="D69" s="185"/>
      <c r="E69" s="186"/>
      <c r="F69" s="187"/>
    </row>
    <row r="70" spans="1:6" x14ac:dyDescent="0.2">
      <c r="A70" s="275"/>
      <c r="B70" s="78"/>
      <c r="C70" s="189"/>
      <c r="D70" s="185"/>
      <c r="E70" s="186"/>
      <c r="F70" s="187"/>
    </row>
    <row r="71" spans="1:6" x14ac:dyDescent="0.2">
      <c r="A71" s="275"/>
      <c r="B71" s="78"/>
      <c r="C71" s="189"/>
      <c r="D71" s="185"/>
      <c r="E71" s="186"/>
      <c r="F71" s="187"/>
    </row>
    <row r="72" spans="1:6" x14ac:dyDescent="0.2">
      <c r="A72" s="275"/>
      <c r="B72" s="78"/>
      <c r="C72" s="189"/>
      <c r="D72" s="185"/>
      <c r="E72" s="186"/>
      <c r="F72" s="187"/>
    </row>
    <row r="73" spans="1:6" x14ac:dyDescent="0.2">
      <c r="A73" s="275"/>
      <c r="B73" s="78"/>
      <c r="C73" s="189"/>
      <c r="D73" s="185"/>
      <c r="E73" s="186"/>
      <c r="F73" s="187"/>
    </row>
    <row r="74" spans="1:6" x14ac:dyDescent="0.2">
      <c r="A74" s="275"/>
      <c r="B74" s="78"/>
      <c r="C74" s="189"/>
      <c r="D74" s="185"/>
      <c r="E74" s="186"/>
      <c r="F74" s="187"/>
    </row>
    <row r="75" spans="1:6" x14ac:dyDescent="0.2">
      <c r="A75" s="275"/>
      <c r="B75" s="78"/>
      <c r="C75" s="189"/>
      <c r="D75" s="185"/>
      <c r="E75" s="186"/>
      <c r="F75" s="187"/>
    </row>
    <row r="76" spans="1:6" x14ac:dyDescent="0.2">
      <c r="A76" s="275"/>
      <c r="B76" s="78"/>
      <c r="C76" s="189"/>
      <c r="D76" s="185"/>
      <c r="E76" s="186"/>
      <c r="F76" s="187"/>
    </row>
    <row r="77" spans="1:6" x14ac:dyDescent="0.2">
      <c r="A77" s="275"/>
      <c r="B77" s="78"/>
      <c r="C77" s="189"/>
      <c r="D77" s="185"/>
      <c r="E77" s="186"/>
      <c r="F77" s="187"/>
    </row>
    <row r="78" spans="1:6" x14ac:dyDescent="0.2">
      <c r="A78" s="275"/>
      <c r="B78" s="78"/>
      <c r="C78" s="189"/>
      <c r="D78" s="185"/>
      <c r="E78" s="186"/>
      <c r="F78" s="187"/>
    </row>
    <row r="79" spans="1:6" x14ac:dyDescent="0.2">
      <c r="A79" s="275"/>
      <c r="B79" s="78"/>
      <c r="C79" s="189"/>
      <c r="D79" s="185"/>
      <c r="E79" s="186"/>
      <c r="F79" s="187"/>
    </row>
    <row r="80" spans="1:6" x14ac:dyDescent="0.2">
      <c r="A80" s="275"/>
      <c r="B80" s="78"/>
      <c r="C80" s="189"/>
      <c r="D80" s="185"/>
      <c r="E80" s="186"/>
      <c r="F80" s="187"/>
    </row>
    <row r="81" spans="1:6" x14ac:dyDescent="0.2">
      <c r="A81" s="275"/>
      <c r="B81" s="78"/>
      <c r="C81" s="189"/>
      <c r="D81" s="185"/>
      <c r="E81" s="186"/>
      <c r="F81" s="187"/>
    </row>
    <row r="82" spans="1:6" x14ac:dyDescent="0.2">
      <c r="A82" s="275"/>
      <c r="B82" s="78"/>
      <c r="C82" s="189"/>
      <c r="D82" s="185"/>
      <c r="E82" s="186"/>
      <c r="F82" s="187"/>
    </row>
    <row r="83" spans="1:6" x14ac:dyDescent="0.2">
      <c r="A83" s="275"/>
      <c r="B83" s="78"/>
      <c r="C83" s="189"/>
      <c r="D83" s="185"/>
      <c r="E83" s="186"/>
      <c r="F83" s="187"/>
    </row>
    <row r="84" spans="1:6" x14ac:dyDescent="0.2">
      <c r="A84" s="275"/>
      <c r="B84" s="78"/>
      <c r="C84" s="189"/>
      <c r="D84" s="185"/>
      <c r="E84" s="186"/>
      <c r="F84" s="187"/>
    </row>
    <row r="85" spans="1:6" x14ac:dyDescent="0.2">
      <c r="A85" s="275"/>
      <c r="B85" s="78"/>
      <c r="C85" s="189"/>
      <c r="D85" s="185"/>
      <c r="E85" s="186"/>
      <c r="F85" s="187"/>
    </row>
    <row r="86" spans="1:6" x14ac:dyDescent="0.2">
      <c r="A86" s="275"/>
      <c r="B86" s="78"/>
      <c r="C86" s="189"/>
      <c r="D86" s="185"/>
      <c r="E86" s="186"/>
      <c r="F86" s="187"/>
    </row>
    <row r="87" spans="1:6" x14ac:dyDescent="0.2">
      <c r="A87" s="275"/>
      <c r="B87" s="78"/>
      <c r="C87" s="189"/>
      <c r="D87" s="185"/>
      <c r="E87" s="186"/>
      <c r="F87" s="187"/>
    </row>
    <row r="88" spans="1:6" x14ac:dyDescent="0.2">
      <c r="A88" s="275"/>
      <c r="B88" s="78"/>
      <c r="C88" s="189"/>
      <c r="D88" s="185"/>
      <c r="E88" s="186"/>
      <c r="F88" s="187"/>
    </row>
    <row r="89" spans="1:6" x14ac:dyDescent="0.2">
      <c r="A89" s="275"/>
      <c r="B89" s="78"/>
      <c r="C89" s="189"/>
      <c r="D89" s="185"/>
      <c r="E89" s="186"/>
      <c r="F89" s="187"/>
    </row>
    <row r="90" spans="1:6" x14ac:dyDescent="0.2">
      <c r="A90" s="275"/>
      <c r="B90" s="78"/>
      <c r="C90" s="189"/>
      <c r="D90" s="185"/>
      <c r="E90" s="186"/>
      <c r="F90" s="187"/>
    </row>
    <row r="91" spans="1:6" x14ac:dyDescent="0.2">
      <c r="A91" s="275"/>
      <c r="B91" s="78"/>
      <c r="C91" s="189"/>
      <c r="D91" s="185"/>
      <c r="E91" s="186"/>
      <c r="F91" s="187"/>
    </row>
    <row r="92" spans="1:6" x14ac:dyDescent="0.2">
      <c r="A92" s="275"/>
      <c r="B92" s="78"/>
      <c r="C92" s="189"/>
      <c r="D92" s="185"/>
      <c r="E92" s="186"/>
      <c r="F92" s="187"/>
    </row>
    <row r="93" spans="1:6" x14ac:dyDescent="0.2">
      <c r="A93" s="275"/>
      <c r="B93" s="78"/>
      <c r="C93" s="189"/>
      <c r="D93" s="185"/>
      <c r="E93" s="186"/>
      <c r="F93" s="187"/>
    </row>
    <row r="94" spans="1:6" x14ac:dyDescent="0.2">
      <c r="A94" s="275"/>
      <c r="B94" s="78"/>
      <c r="C94" s="189"/>
      <c r="D94" s="185"/>
      <c r="E94" s="186"/>
      <c r="F94" s="187"/>
    </row>
    <row r="95" spans="1:6" x14ac:dyDescent="0.2">
      <c r="A95" s="275"/>
      <c r="B95" s="78"/>
      <c r="C95" s="189"/>
      <c r="D95" s="185"/>
      <c r="E95" s="186"/>
      <c r="F95" s="187"/>
    </row>
    <row r="96" spans="1:6" x14ac:dyDescent="0.2">
      <c r="A96" s="275"/>
      <c r="B96" s="78"/>
      <c r="C96" s="189"/>
      <c r="D96" s="185"/>
      <c r="E96" s="186"/>
      <c r="F96" s="187"/>
    </row>
    <row r="97" spans="1:6" x14ac:dyDescent="0.2">
      <c r="A97" s="275"/>
      <c r="B97" s="78"/>
      <c r="C97" s="189"/>
      <c r="D97" s="185"/>
      <c r="E97" s="186"/>
      <c r="F97" s="187"/>
    </row>
    <row r="98" spans="1:6" x14ac:dyDescent="0.2">
      <c r="A98" s="275"/>
      <c r="B98" s="78"/>
      <c r="C98" s="189"/>
      <c r="D98" s="185"/>
      <c r="E98" s="186"/>
      <c r="F98" s="187"/>
    </row>
    <row r="99" spans="1:6" x14ac:dyDescent="0.2">
      <c r="A99" s="275"/>
      <c r="B99" s="78"/>
      <c r="C99" s="189"/>
      <c r="D99" s="185"/>
      <c r="E99" s="186"/>
      <c r="F99" s="187"/>
    </row>
    <row r="100" spans="1:6" x14ac:dyDescent="0.2">
      <c r="A100" s="275"/>
      <c r="B100" s="78"/>
      <c r="C100" s="189"/>
      <c r="D100" s="185"/>
      <c r="E100" s="186"/>
      <c r="F100" s="187"/>
    </row>
    <row r="101" spans="1:6" x14ac:dyDescent="0.2">
      <c r="A101" s="275"/>
      <c r="B101" s="78"/>
      <c r="C101" s="189"/>
      <c r="D101" s="185"/>
      <c r="E101" s="186"/>
      <c r="F101" s="187"/>
    </row>
    <row r="102" spans="1:6" x14ac:dyDescent="0.2">
      <c r="A102" s="275"/>
      <c r="B102" s="78"/>
      <c r="C102" s="189"/>
      <c r="D102" s="185"/>
      <c r="E102" s="186"/>
      <c r="F102" s="187"/>
    </row>
    <row r="103" spans="1:6" x14ac:dyDescent="0.2">
      <c r="A103" s="275"/>
      <c r="B103" s="78"/>
      <c r="C103" s="189"/>
      <c r="D103" s="185"/>
      <c r="E103" s="186"/>
      <c r="F103" s="187"/>
    </row>
    <row r="104" spans="1:6" x14ac:dyDescent="0.2">
      <c r="A104" s="275"/>
      <c r="B104" s="78"/>
      <c r="C104" s="189"/>
      <c r="D104" s="185"/>
      <c r="E104" s="186"/>
      <c r="F104" s="187"/>
    </row>
    <row r="105" spans="1:6" x14ac:dyDescent="0.2">
      <c r="A105" s="275"/>
      <c r="B105" s="78"/>
      <c r="C105" s="189"/>
      <c r="D105" s="185"/>
      <c r="E105" s="186"/>
      <c r="F105" s="187"/>
    </row>
    <row r="106" spans="1:6" x14ac:dyDescent="0.2">
      <c r="A106" s="275"/>
      <c r="B106" s="78"/>
      <c r="C106" s="189"/>
      <c r="D106" s="185"/>
      <c r="E106" s="186"/>
      <c r="F106" s="187"/>
    </row>
    <row r="107" spans="1:6" x14ac:dyDescent="0.2">
      <c r="A107" s="275"/>
      <c r="B107" s="78"/>
      <c r="C107" s="189"/>
      <c r="D107" s="185"/>
      <c r="E107" s="186"/>
      <c r="F107" s="187"/>
    </row>
    <row r="108" spans="1:6" x14ac:dyDescent="0.2">
      <c r="A108" s="275"/>
      <c r="B108" s="78"/>
      <c r="C108" s="189"/>
      <c r="D108" s="185"/>
      <c r="E108" s="186"/>
      <c r="F108" s="187"/>
    </row>
    <row r="109" spans="1:6" x14ac:dyDescent="0.2">
      <c r="A109" s="275"/>
      <c r="B109" s="78"/>
      <c r="C109" s="189"/>
      <c r="D109" s="185"/>
      <c r="E109" s="186"/>
      <c r="F109" s="187"/>
    </row>
    <row r="110" spans="1:6" x14ac:dyDescent="0.2">
      <c r="A110" s="275"/>
      <c r="B110" s="78"/>
      <c r="C110" s="189"/>
      <c r="D110" s="185"/>
      <c r="E110" s="186"/>
      <c r="F110" s="187"/>
    </row>
    <row r="111" spans="1:6" x14ac:dyDescent="0.2">
      <c r="A111" s="275"/>
      <c r="B111" s="78"/>
      <c r="C111" s="189"/>
      <c r="D111" s="185"/>
      <c r="E111" s="186"/>
      <c r="F111" s="187"/>
    </row>
    <row r="112" spans="1:6" x14ac:dyDescent="0.2">
      <c r="A112" s="275"/>
      <c r="B112" s="78"/>
      <c r="C112" s="189"/>
      <c r="D112" s="185"/>
      <c r="E112" s="186"/>
      <c r="F112" s="187"/>
    </row>
    <row r="113" spans="1:6" x14ac:dyDescent="0.2">
      <c r="A113" s="275"/>
      <c r="B113" s="78"/>
      <c r="C113" s="189"/>
      <c r="D113" s="185"/>
      <c r="E113" s="186"/>
      <c r="F113" s="187"/>
    </row>
    <row r="114" spans="1:6" x14ac:dyDescent="0.2">
      <c r="A114" s="275"/>
      <c r="B114" s="78"/>
      <c r="C114" s="189"/>
      <c r="D114" s="185"/>
      <c r="E114" s="186"/>
      <c r="F114" s="187"/>
    </row>
    <row r="115" spans="1:6" x14ac:dyDescent="0.2">
      <c r="A115" s="275"/>
      <c r="B115" s="78"/>
      <c r="C115" s="189"/>
      <c r="D115" s="185"/>
      <c r="E115" s="186"/>
      <c r="F115" s="187"/>
    </row>
    <row r="116" spans="1:6" x14ac:dyDescent="0.2">
      <c r="A116" s="275"/>
      <c r="B116" s="78"/>
      <c r="C116" s="189"/>
      <c r="D116" s="185"/>
      <c r="E116" s="186"/>
      <c r="F116" s="187"/>
    </row>
    <row r="117" spans="1:6" x14ac:dyDescent="0.2">
      <c r="A117" s="275"/>
      <c r="B117" s="78"/>
      <c r="C117" s="189"/>
      <c r="D117" s="185"/>
      <c r="E117" s="186"/>
      <c r="F117" s="187"/>
    </row>
    <row r="118" spans="1:6" x14ac:dyDescent="0.2">
      <c r="A118" s="275"/>
      <c r="B118" s="78"/>
      <c r="C118" s="189"/>
      <c r="D118" s="185"/>
      <c r="E118" s="186"/>
      <c r="F118" s="187"/>
    </row>
    <row r="119" spans="1:6" x14ac:dyDescent="0.2">
      <c r="A119" s="275"/>
      <c r="B119" s="78"/>
      <c r="C119" s="189"/>
      <c r="D119" s="185"/>
      <c r="E119" s="186"/>
      <c r="F119" s="187"/>
    </row>
    <row r="120" spans="1:6" x14ac:dyDescent="0.2">
      <c r="A120" s="275"/>
      <c r="B120" s="78"/>
      <c r="C120" s="189"/>
      <c r="D120" s="185"/>
      <c r="E120" s="186"/>
      <c r="F120" s="187"/>
    </row>
    <row r="121" spans="1:6" x14ac:dyDescent="0.2">
      <c r="A121" s="275"/>
      <c r="B121" s="78"/>
      <c r="C121" s="189"/>
      <c r="D121" s="185"/>
      <c r="E121" s="186"/>
      <c r="F121" s="187"/>
    </row>
    <row r="122" spans="1:6" x14ac:dyDescent="0.2">
      <c r="A122" s="275"/>
      <c r="B122" s="78"/>
      <c r="C122" s="189"/>
      <c r="D122" s="185"/>
      <c r="E122" s="186"/>
      <c r="F122" s="187"/>
    </row>
    <row r="123" spans="1:6" x14ac:dyDescent="0.2">
      <c r="A123" s="275"/>
      <c r="B123" s="78"/>
      <c r="C123" s="189"/>
      <c r="D123" s="185"/>
      <c r="E123" s="186"/>
      <c r="F123" s="187"/>
    </row>
    <row r="124" spans="1:6" x14ac:dyDescent="0.2">
      <c r="A124" s="275"/>
      <c r="B124" s="78"/>
      <c r="C124" s="189"/>
      <c r="D124" s="185"/>
      <c r="E124" s="186"/>
      <c r="F124" s="187"/>
    </row>
    <row r="125" spans="1:6" x14ac:dyDescent="0.2">
      <c r="A125" s="275"/>
      <c r="B125" s="78"/>
      <c r="C125" s="189"/>
      <c r="D125" s="185"/>
      <c r="E125" s="186"/>
      <c r="F125" s="187"/>
    </row>
    <row r="126" spans="1:6" x14ac:dyDescent="0.2">
      <c r="A126" s="275"/>
      <c r="B126" s="78"/>
      <c r="C126" s="189"/>
      <c r="D126" s="185"/>
      <c r="E126" s="186"/>
      <c r="F126" s="187"/>
    </row>
    <row r="127" spans="1:6" x14ac:dyDescent="0.2">
      <c r="A127" s="275"/>
      <c r="B127" s="78"/>
      <c r="C127" s="189"/>
      <c r="D127" s="185"/>
      <c r="E127" s="186"/>
      <c r="F127" s="187"/>
    </row>
    <row r="128" spans="1:6" x14ac:dyDescent="0.2">
      <c r="A128" s="275"/>
      <c r="B128" s="78"/>
      <c r="C128" s="189"/>
      <c r="D128" s="185"/>
      <c r="E128" s="186"/>
      <c r="F128" s="187"/>
    </row>
    <row r="129" spans="1:6" x14ac:dyDescent="0.2">
      <c r="A129" s="275"/>
      <c r="B129" s="78"/>
      <c r="C129" s="189"/>
      <c r="D129" s="185"/>
      <c r="E129" s="186"/>
      <c r="F129" s="187"/>
    </row>
    <row r="130" spans="1:6" x14ac:dyDescent="0.2">
      <c r="A130" s="275"/>
      <c r="B130" s="78"/>
      <c r="C130" s="189"/>
      <c r="D130" s="185"/>
      <c r="E130" s="186"/>
      <c r="F130" s="187"/>
    </row>
    <row r="131" spans="1:6" x14ac:dyDescent="0.2">
      <c r="A131" s="275"/>
      <c r="B131" s="78"/>
      <c r="C131" s="189"/>
      <c r="D131" s="185"/>
      <c r="E131" s="186"/>
      <c r="F131" s="187"/>
    </row>
    <row r="132" spans="1:6" x14ac:dyDescent="0.2">
      <c r="A132" s="275"/>
      <c r="B132" s="78"/>
      <c r="C132" s="189"/>
      <c r="D132" s="185"/>
      <c r="E132" s="186"/>
      <c r="F132" s="187"/>
    </row>
    <row r="133" spans="1:6" x14ac:dyDescent="0.2">
      <c r="A133" s="275"/>
      <c r="B133" s="78"/>
      <c r="C133" s="189"/>
      <c r="D133" s="185"/>
      <c r="E133" s="186"/>
      <c r="F133" s="187"/>
    </row>
    <row r="134" spans="1:6" x14ac:dyDescent="0.2">
      <c r="A134" s="275"/>
      <c r="B134" s="78"/>
      <c r="C134" s="189"/>
      <c r="D134" s="185"/>
      <c r="E134" s="186"/>
      <c r="F134" s="187"/>
    </row>
    <row r="135" spans="1:6" x14ac:dyDescent="0.2">
      <c r="A135" s="275"/>
      <c r="B135" s="78"/>
      <c r="C135" s="189"/>
      <c r="D135" s="185"/>
      <c r="E135" s="186"/>
      <c r="F135" s="187"/>
    </row>
    <row r="136" spans="1:6" x14ac:dyDescent="0.2">
      <c r="A136" s="275"/>
      <c r="B136" s="78"/>
      <c r="C136" s="189"/>
      <c r="D136" s="185"/>
      <c r="E136" s="186"/>
      <c r="F136" s="187"/>
    </row>
    <row r="137" spans="1:6" x14ac:dyDescent="0.2">
      <c r="A137" s="275"/>
      <c r="B137" s="78"/>
      <c r="C137" s="189"/>
      <c r="D137" s="185"/>
      <c r="E137" s="186"/>
      <c r="F137" s="187"/>
    </row>
    <row r="138" spans="1:6" x14ac:dyDescent="0.2">
      <c r="A138" s="275"/>
      <c r="B138" s="78"/>
      <c r="C138" s="189"/>
      <c r="D138" s="185"/>
      <c r="E138" s="186"/>
      <c r="F138" s="187"/>
    </row>
    <row r="139" spans="1:6" x14ac:dyDescent="0.2">
      <c r="A139" s="275"/>
      <c r="B139" s="78"/>
      <c r="C139" s="189"/>
      <c r="D139" s="185"/>
      <c r="E139" s="186"/>
      <c r="F139" s="187"/>
    </row>
    <row r="140" spans="1:6" x14ac:dyDescent="0.2">
      <c r="A140" s="275"/>
      <c r="B140" s="78"/>
      <c r="C140" s="189"/>
      <c r="D140" s="185"/>
      <c r="E140" s="186"/>
      <c r="F140" s="187"/>
    </row>
    <row r="141" spans="1:6" x14ac:dyDescent="0.2">
      <c r="A141" s="275"/>
      <c r="B141" s="78"/>
      <c r="C141" s="189"/>
      <c r="D141" s="185"/>
      <c r="E141" s="186"/>
      <c r="F141" s="187"/>
    </row>
    <row r="142" spans="1:6" x14ac:dyDescent="0.2">
      <c r="A142" s="275"/>
      <c r="B142" s="78"/>
      <c r="C142" s="189"/>
      <c r="D142" s="185"/>
      <c r="E142" s="186"/>
      <c r="F142" s="187"/>
    </row>
    <row r="143" spans="1:6" x14ac:dyDescent="0.2">
      <c r="A143" s="275"/>
      <c r="B143" s="78"/>
      <c r="C143" s="189"/>
      <c r="D143" s="185"/>
      <c r="E143" s="186"/>
      <c r="F143" s="187"/>
    </row>
    <row r="144" spans="1:6" x14ac:dyDescent="0.2">
      <c r="A144" s="275"/>
      <c r="B144" s="78"/>
      <c r="C144" s="189"/>
      <c r="D144" s="185"/>
      <c r="E144" s="186"/>
      <c r="F144" s="187"/>
    </row>
    <row r="145" spans="1:6" x14ac:dyDescent="0.2">
      <c r="A145" s="275"/>
      <c r="B145" s="78"/>
      <c r="C145" s="189"/>
      <c r="D145" s="185"/>
      <c r="E145" s="186"/>
      <c r="F145" s="187"/>
    </row>
    <row r="146" spans="1:6" x14ac:dyDescent="0.2">
      <c r="A146" s="275"/>
      <c r="B146" s="78"/>
      <c r="C146" s="189"/>
      <c r="D146" s="185"/>
      <c r="E146" s="186"/>
      <c r="F146" s="187"/>
    </row>
    <row r="147" spans="1:6" x14ac:dyDescent="0.2">
      <c r="A147" s="275"/>
      <c r="B147" s="78"/>
      <c r="C147" s="189"/>
      <c r="D147" s="185"/>
      <c r="E147" s="186"/>
      <c r="F147" s="187"/>
    </row>
    <row r="148" spans="1:6" x14ac:dyDescent="0.2">
      <c r="A148" s="275"/>
      <c r="B148" s="78"/>
      <c r="C148" s="189"/>
      <c r="D148" s="185"/>
      <c r="E148" s="186"/>
      <c r="F148" s="187"/>
    </row>
    <row r="149" spans="1:6" x14ac:dyDescent="0.2">
      <c r="A149" s="275"/>
      <c r="B149" s="78"/>
      <c r="C149" s="189"/>
      <c r="D149" s="185"/>
      <c r="E149" s="186"/>
      <c r="F149" s="187"/>
    </row>
    <row r="150" spans="1:6" x14ac:dyDescent="0.2">
      <c r="A150" s="275"/>
      <c r="B150" s="78"/>
      <c r="C150" s="189"/>
      <c r="D150" s="185"/>
      <c r="E150" s="186"/>
      <c r="F150" s="187"/>
    </row>
    <row r="151" spans="1:6" x14ac:dyDescent="0.2">
      <c r="A151" s="275"/>
      <c r="B151" s="78"/>
      <c r="C151" s="189"/>
      <c r="D151" s="185"/>
      <c r="E151" s="186"/>
      <c r="F151" s="187"/>
    </row>
    <row r="152" spans="1:6" x14ac:dyDescent="0.2">
      <c r="A152" s="275"/>
      <c r="B152" s="78"/>
      <c r="C152" s="189"/>
      <c r="D152" s="185"/>
      <c r="E152" s="186"/>
      <c r="F152" s="187"/>
    </row>
    <row r="153" spans="1:6" x14ac:dyDescent="0.2">
      <c r="A153" s="275"/>
      <c r="B153" s="78"/>
      <c r="C153" s="189"/>
      <c r="D153" s="185"/>
      <c r="E153" s="186"/>
      <c r="F153" s="187"/>
    </row>
    <row r="154" spans="1:6" x14ac:dyDescent="0.2">
      <c r="A154" s="275"/>
      <c r="B154" s="78"/>
      <c r="C154" s="189"/>
      <c r="D154" s="185"/>
      <c r="E154" s="186"/>
      <c r="F154" s="187"/>
    </row>
    <row r="155" spans="1:6" x14ac:dyDescent="0.2">
      <c r="A155" s="275"/>
      <c r="B155" s="78"/>
      <c r="C155" s="189"/>
      <c r="D155" s="185"/>
      <c r="E155" s="186"/>
      <c r="F155" s="187"/>
    </row>
    <row r="156" spans="1:6" x14ac:dyDescent="0.2">
      <c r="A156" s="275"/>
      <c r="B156" s="78"/>
      <c r="C156" s="189"/>
      <c r="D156" s="185"/>
      <c r="E156" s="186"/>
      <c r="F156" s="187"/>
    </row>
    <row r="157" spans="1:6" x14ac:dyDescent="0.2">
      <c r="A157" s="275"/>
      <c r="B157" s="78"/>
      <c r="C157" s="189"/>
      <c r="D157" s="185"/>
      <c r="E157" s="186"/>
      <c r="F157" s="187"/>
    </row>
    <row r="158" spans="1:6" x14ac:dyDescent="0.2">
      <c r="A158" s="275"/>
      <c r="B158" s="78"/>
      <c r="C158" s="189"/>
      <c r="D158" s="185"/>
      <c r="E158" s="186"/>
      <c r="F158" s="187"/>
    </row>
    <row r="159" spans="1:6" x14ac:dyDescent="0.2">
      <c r="A159" s="275"/>
      <c r="B159" s="78"/>
      <c r="C159" s="189"/>
      <c r="D159" s="185"/>
      <c r="E159" s="186"/>
      <c r="F159" s="187"/>
    </row>
    <row r="160" spans="1:6" x14ac:dyDescent="0.2">
      <c r="A160" s="275"/>
      <c r="B160" s="78"/>
      <c r="C160" s="189"/>
      <c r="D160" s="185"/>
      <c r="E160" s="186"/>
      <c r="F160" s="187"/>
    </row>
    <row r="161" spans="1:6" x14ac:dyDescent="0.2">
      <c r="A161" s="275"/>
      <c r="B161" s="78"/>
      <c r="C161" s="189"/>
      <c r="D161" s="185"/>
      <c r="E161" s="186"/>
      <c r="F161" s="187"/>
    </row>
    <row r="162" spans="1:6" x14ac:dyDescent="0.2">
      <c r="A162" s="275"/>
      <c r="B162" s="78"/>
      <c r="C162" s="189"/>
      <c r="D162" s="185"/>
      <c r="E162" s="186"/>
      <c r="F162" s="187"/>
    </row>
    <row r="163" spans="1:6" x14ac:dyDescent="0.2">
      <c r="A163" s="275"/>
      <c r="B163" s="78"/>
      <c r="C163" s="189"/>
      <c r="D163" s="185"/>
      <c r="E163" s="186"/>
      <c r="F163" s="187"/>
    </row>
    <row r="164" spans="1:6" x14ac:dyDescent="0.2">
      <c r="A164" s="275"/>
      <c r="B164" s="78"/>
      <c r="C164" s="189"/>
      <c r="D164" s="185"/>
      <c r="E164" s="186"/>
      <c r="F164" s="187"/>
    </row>
    <row r="165" spans="1:6" x14ac:dyDescent="0.2">
      <c r="A165" s="275"/>
      <c r="B165" s="78"/>
      <c r="C165" s="189"/>
      <c r="D165" s="185"/>
      <c r="E165" s="186"/>
      <c r="F165" s="187"/>
    </row>
    <row r="166" spans="1:6" x14ac:dyDescent="0.2">
      <c r="A166" s="275"/>
      <c r="B166" s="78"/>
      <c r="C166" s="189"/>
      <c r="D166" s="185"/>
      <c r="E166" s="186"/>
      <c r="F166" s="187"/>
    </row>
    <row r="167" spans="1:6" x14ac:dyDescent="0.2">
      <c r="A167" s="275"/>
      <c r="B167" s="78"/>
      <c r="C167" s="189"/>
      <c r="D167" s="185"/>
      <c r="E167" s="186"/>
      <c r="F167" s="187"/>
    </row>
    <row r="168" spans="1:6" x14ac:dyDescent="0.2">
      <c r="A168" s="275"/>
      <c r="B168" s="78"/>
      <c r="C168" s="189"/>
      <c r="D168" s="185"/>
      <c r="E168" s="186"/>
      <c r="F168" s="187"/>
    </row>
    <row r="169" spans="1:6" x14ac:dyDescent="0.2">
      <c r="A169" s="275"/>
      <c r="B169" s="78"/>
      <c r="C169" s="189"/>
      <c r="D169" s="185"/>
      <c r="E169" s="186"/>
      <c r="F169" s="187"/>
    </row>
    <row r="170" spans="1:6" x14ac:dyDescent="0.2">
      <c r="A170" s="275"/>
      <c r="B170" s="78"/>
      <c r="C170" s="189"/>
      <c r="D170" s="185"/>
      <c r="E170" s="186"/>
      <c r="F170" s="187"/>
    </row>
    <row r="171" spans="1:6" x14ac:dyDescent="0.2">
      <c r="A171" s="275"/>
      <c r="B171" s="78"/>
      <c r="C171" s="189"/>
      <c r="D171" s="185"/>
      <c r="E171" s="186"/>
      <c r="F171" s="187"/>
    </row>
    <row r="172" spans="1:6" x14ac:dyDescent="0.2">
      <c r="A172" s="275"/>
      <c r="B172" s="78"/>
      <c r="C172" s="189"/>
      <c r="D172" s="185"/>
      <c r="E172" s="186"/>
      <c r="F172" s="187"/>
    </row>
    <row r="173" spans="1:6" x14ac:dyDescent="0.2">
      <c r="A173" s="275"/>
      <c r="B173" s="78"/>
      <c r="C173" s="189"/>
      <c r="D173" s="185"/>
      <c r="E173" s="186"/>
      <c r="F173" s="187"/>
    </row>
    <row r="174" spans="1:6" x14ac:dyDescent="0.2">
      <c r="A174" s="275"/>
      <c r="B174" s="78"/>
      <c r="C174" s="189"/>
      <c r="D174" s="185"/>
      <c r="E174" s="186"/>
      <c r="F174" s="187"/>
    </row>
    <row r="175" spans="1:6" x14ac:dyDescent="0.2">
      <c r="A175" s="275"/>
      <c r="B175" s="78"/>
      <c r="C175" s="189"/>
      <c r="D175" s="185"/>
      <c r="E175" s="186"/>
      <c r="F175" s="187"/>
    </row>
    <row r="176" spans="1:6" x14ac:dyDescent="0.2">
      <c r="A176" s="275"/>
      <c r="B176" s="78"/>
      <c r="C176" s="189"/>
      <c r="D176" s="185"/>
      <c r="E176" s="186"/>
      <c r="F176" s="187"/>
    </row>
    <row r="177" spans="1:6" x14ac:dyDescent="0.2">
      <c r="A177" s="275"/>
      <c r="B177" s="78"/>
      <c r="C177" s="189"/>
      <c r="D177" s="185"/>
      <c r="E177" s="186"/>
      <c r="F177" s="187"/>
    </row>
    <row r="178" spans="1:6" x14ac:dyDescent="0.2">
      <c r="A178" s="275"/>
      <c r="B178" s="78"/>
      <c r="C178" s="189"/>
      <c r="D178" s="185"/>
      <c r="E178" s="186"/>
      <c r="F178" s="187"/>
    </row>
    <row r="179" spans="1:6" x14ac:dyDescent="0.2">
      <c r="A179" s="275"/>
      <c r="B179" s="78"/>
      <c r="C179" s="189"/>
      <c r="D179" s="185"/>
      <c r="E179" s="186"/>
      <c r="F179" s="187"/>
    </row>
    <row r="180" spans="1:6" x14ac:dyDescent="0.2">
      <c r="A180" s="275"/>
      <c r="B180" s="78"/>
      <c r="C180" s="189"/>
      <c r="D180" s="185"/>
      <c r="E180" s="186"/>
      <c r="F180" s="187"/>
    </row>
    <row r="181" spans="1:6" x14ac:dyDescent="0.2">
      <c r="A181" s="275"/>
      <c r="B181" s="78"/>
      <c r="C181" s="189"/>
      <c r="D181" s="185"/>
      <c r="E181" s="186"/>
      <c r="F181" s="187"/>
    </row>
    <row r="182" spans="1:6" x14ac:dyDescent="0.2">
      <c r="A182" s="275"/>
      <c r="B182" s="78"/>
      <c r="C182" s="189"/>
      <c r="D182" s="185"/>
      <c r="E182" s="186"/>
      <c r="F182" s="187"/>
    </row>
    <row r="183" spans="1:6" x14ac:dyDescent="0.2">
      <c r="A183" s="275"/>
      <c r="B183" s="78"/>
      <c r="C183" s="189"/>
      <c r="D183" s="185"/>
      <c r="E183" s="186"/>
      <c r="F183" s="187"/>
    </row>
    <row r="184" spans="1:6" x14ac:dyDescent="0.2">
      <c r="A184" s="275"/>
      <c r="B184" s="78"/>
      <c r="C184" s="189"/>
      <c r="D184" s="185"/>
      <c r="E184" s="186"/>
      <c r="F184" s="187"/>
    </row>
    <row r="185" spans="1:6" x14ac:dyDescent="0.2">
      <c r="A185" s="275"/>
      <c r="B185" s="78"/>
      <c r="C185" s="189"/>
      <c r="D185" s="185"/>
      <c r="E185" s="186"/>
      <c r="F185" s="187"/>
    </row>
    <row r="186" spans="1:6" x14ac:dyDescent="0.2">
      <c r="A186" s="275"/>
      <c r="B186" s="78"/>
      <c r="C186" s="189"/>
      <c r="D186" s="185"/>
      <c r="E186" s="186"/>
      <c r="F186" s="187"/>
    </row>
    <row r="187" spans="1:6" x14ac:dyDescent="0.2">
      <c r="A187" s="275"/>
      <c r="B187" s="78"/>
      <c r="C187" s="189"/>
      <c r="D187" s="185"/>
      <c r="E187" s="186"/>
      <c r="F187" s="187"/>
    </row>
    <row r="188" spans="1:6" x14ac:dyDescent="0.2">
      <c r="A188" s="275"/>
      <c r="B188" s="78"/>
      <c r="C188" s="189"/>
      <c r="D188" s="185"/>
      <c r="E188" s="186"/>
      <c r="F188" s="187"/>
    </row>
    <row r="189" spans="1:6" x14ac:dyDescent="0.2">
      <c r="A189" s="275"/>
      <c r="B189" s="78"/>
      <c r="C189" s="189"/>
      <c r="D189" s="185"/>
      <c r="E189" s="186"/>
      <c r="F189" s="187"/>
    </row>
    <row r="190" spans="1:6" x14ac:dyDescent="0.2">
      <c r="A190" s="275"/>
      <c r="B190" s="78"/>
      <c r="C190" s="189"/>
      <c r="D190" s="185"/>
      <c r="E190" s="186"/>
      <c r="F190" s="187"/>
    </row>
    <row r="191" spans="1:6" x14ac:dyDescent="0.2">
      <c r="A191" s="275"/>
      <c r="B191" s="78"/>
      <c r="C191" s="189"/>
      <c r="D191" s="185"/>
      <c r="E191" s="186"/>
      <c r="F191" s="187"/>
    </row>
    <row r="192" spans="1:6" x14ac:dyDescent="0.2">
      <c r="A192" s="275"/>
      <c r="B192" s="78"/>
      <c r="C192" s="189"/>
      <c r="D192" s="185"/>
      <c r="E192" s="186"/>
      <c r="F192" s="187"/>
    </row>
    <row r="193" spans="1:6" x14ac:dyDescent="0.2">
      <c r="A193" s="275"/>
      <c r="B193" s="78"/>
      <c r="C193" s="189"/>
      <c r="D193" s="185"/>
      <c r="E193" s="186"/>
      <c r="F193" s="187"/>
    </row>
    <row r="194" spans="1:6" x14ac:dyDescent="0.2">
      <c r="A194" s="275"/>
      <c r="B194" s="78"/>
      <c r="C194" s="189"/>
      <c r="D194" s="185"/>
      <c r="E194" s="186"/>
      <c r="F194" s="187"/>
    </row>
    <row r="195" spans="1:6" x14ac:dyDescent="0.2">
      <c r="A195" s="275"/>
      <c r="B195" s="78"/>
      <c r="C195" s="189"/>
      <c r="D195" s="185"/>
      <c r="E195" s="186"/>
      <c r="F195" s="187"/>
    </row>
    <row r="196" spans="1:6" x14ac:dyDescent="0.2">
      <c r="A196" s="275"/>
      <c r="B196" s="78"/>
      <c r="C196" s="189"/>
      <c r="D196" s="185"/>
      <c r="E196" s="186"/>
      <c r="F196" s="187"/>
    </row>
    <row r="197" spans="1:6" x14ac:dyDescent="0.2">
      <c r="A197" s="275"/>
      <c r="B197" s="78"/>
      <c r="C197" s="189"/>
      <c r="D197" s="185"/>
      <c r="E197" s="186"/>
      <c r="F197" s="187"/>
    </row>
    <row r="198" spans="1:6" x14ac:dyDescent="0.2">
      <c r="A198" s="275"/>
      <c r="B198" s="78"/>
      <c r="C198" s="189"/>
      <c r="D198" s="185"/>
      <c r="E198" s="186"/>
      <c r="F198" s="187"/>
    </row>
    <row r="199" spans="1:6" x14ac:dyDescent="0.2">
      <c r="A199" s="275"/>
      <c r="B199" s="78"/>
      <c r="C199" s="189"/>
      <c r="D199" s="185"/>
      <c r="E199" s="186"/>
      <c r="F199" s="187"/>
    </row>
    <row r="200" spans="1:6" x14ac:dyDescent="0.2">
      <c r="A200" s="275"/>
      <c r="B200" s="78"/>
      <c r="C200" s="189"/>
      <c r="D200" s="185"/>
      <c r="E200" s="186"/>
      <c r="F200" s="187"/>
    </row>
    <row r="201" spans="1:6" x14ac:dyDescent="0.2">
      <c r="A201" s="275"/>
      <c r="B201" s="78"/>
      <c r="C201" s="189"/>
      <c r="D201" s="185"/>
      <c r="E201" s="186"/>
      <c r="F201" s="187"/>
    </row>
    <row r="202" spans="1:6" x14ac:dyDescent="0.2">
      <c r="A202" s="275"/>
      <c r="B202" s="78"/>
      <c r="C202" s="189"/>
      <c r="D202" s="185"/>
      <c r="E202" s="186"/>
      <c r="F202" s="187"/>
    </row>
    <row r="203" spans="1:6" x14ac:dyDescent="0.2">
      <c r="A203" s="275"/>
      <c r="B203" s="78"/>
      <c r="C203" s="189"/>
      <c r="D203" s="185"/>
      <c r="E203" s="186"/>
      <c r="F203" s="187"/>
    </row>
    <row r="204" spans="1:6" x14ac:dyDescent="0.2">
      <c r="A204" s="275"/>
      <c r="B204" s="78"/>
      <c r="C204" s="189"/>
      <c r="D204" s="185"/>
      <c r="E204" s="186"/>
      <c r="F204" s="187"/>
    </row>
    <row r="205" spans="1:6" x14ac:dyDescent="0.2">
      <c r="A205" s="275"/>
      <c r="B205" s="78"/>
      <c r="C205" s="189"/>
      <c r="D205" s="185"/>
      <c r="E205" s="186"/>
      <c r="F205" s="187"/>
    </row>
    <row r="206" spans="1:6" x14ac:dyDescent="0.2">
      <c r="A206" s="275"/>
      <c r="B206" s="78"/>
      <c r="C206" s="189"/>
      <c r="D206" s="185"/>
      <c r="E206" s="186"/>
      <c r="F206" s="187"/>
    </row>
    <row r="207" spans="1:6" x14ac:dyDescent="0.2">
      <c r="A207" s="275"/>
      <c r="B207" s="78"/>
      <c r="C207" s="189"/>
      <c r="D207" s="185"/>
      <c r="E207" s="186"/>
      <c r="F207" s="187"/>
    </row>
    <row r="208" spans="1:6" x14ac:dyDescent="0.2">
      <c r="A208" s="275"/>
      <c r="B208" s="78"/>
      <c r="C208" s="189"/>
      <c r="D208" s="185"/>
      <c r="E208" s="186"/>
      <c r="F208" s="187"/>
    </row>
    <row r="209" spans="1:6" x14ac:dyDescent="0.2">
      <c r="A209" s="275"/>
      <c r="B209" s="78"/>
      <c r="C209" s="189"/>
      <c r="D209" s="185"/>
      <c r="E209" s="186"/>
      <c r="F209" s="187"/>
    </row>
    <row r="210" spans="1:6" x14ac:dyDescent="0.2">
      <c r="A210" s="275"/>
      <c r="B210" s="78"/>
      <c r="C210" s="189"/>
      <c r="D210" s="185"/>
      <c r="E210" s="186"/>
      <c r="F210" s="187"/>
    </row>
    <row r="211" spans="1:6" x14ac:dyDescent="0.2">
      <c r="A211" s="275"/>
      <c r="B211" s="78"/>
      <c r="C211" s="189"/>
      <c r="D211" s="185"/>
      <c r="E211" s="186"/>
      <c r="F211" s="187"/>
    </row>
    <row r="212" spans="1:6" x14ac:dyDescent="0.2">
      <c r="A212" s="275"/>
      <c r="B212" s="78"/>
      <c r="C212" s="189"/>
      <c r="D212" s="185"/>
      <c r="E212" s="186"/>
      <c r="F212" s="187"/>
    </row>
    <row r="213" spans="1:6" x14ac:dyDescent="0.2">
      <c r="A213" s="275"/>
      <c r="B213" s="78"/>
      <c r="C213" s="189"/>
      <c r="D213" s="185"/>
      <c r="E213" s="186"/>
      <c r="F213" s="187"/>
    </row>
    <row r="214" spans="1:6" x14ac:dyDescent="0.2">
      <c r="A214" s="275"/>
      <c r="B214" s="78"/>
      <c r="C214" s="189"/>
      <c r="D214" s="185"/>
      <c r="E214" s="186"/>
      <c r="F214" s="187"/>
    </row>
    <row r="215" spans="1:6" x14ac:dyDescent="0.2">
      <c r="A215" s="275"/>
      <c r="B215" s="78"/>
      <c r="C215" s="189"/>
      <c r="D215" s="185"/>
      <c r="E215" s="186"/>
      <c r="F215" s="187"/>
    </row>
    <row r="216" spans="1:6" x14ac:dyDescent="0.2">
      <c r="A216" s="275"/>
      <c r="B216" s="78"/>
      <c r="C216" s="189"/>
      <c r="D216" s="185"/>
      <c r="E216" s="186"/>
      <c r="F216" s="187"/>
    </row>
    <row r="217" spans="1:6" x14ac:dyDescent="0.2">
      <c r="A217" s="275"/>
      <c r="B217" s="78"/>
      <c r="C217" s="189"/>
      <c r="D217" s="185"/>
      <c r="E217" s="186"/>
      <c r="F217" s="187"/>
    </row>
    <row r="218" spans="1:6" x14ac:dyDescent="0.2">
      <c r="A218" s="275"/>
      <c r="B218" s="78"/>
      <c r="C218" s="189"/>
      <c r="D218" s="185"/>
      <c r="E218" s="186"/>
      <c r="F218" s="187"/>
    </row>
    <row r="219" spans="1:6" x14ac:dyDescent="0.2">
      <c r="A219" s="275"/>
      <c r="B219" s="78"/>
      <c r="C219" s="189"/>
      <c r="D219" s="185"/>
      <c r="E219" s="186"/>
      <c r="F219" s="187"/>
    </row>
    <row r="220" spans="1:6" x14ac:dyDescent="0.2">
      <c r="A220" s="275"/>
      <c r="B220" s="78"/>
      <c r="C220" s="189"/>
      <c r="D220" s="185"/>
      <c r="E220" s="186"/>
      <c r="F220" s="187"/>
    </row>
    <row r="221" spans="1:6" x14ac:dyDescent="0.2">
      <c r="A221" s="275"/>
      <c r="B221" s="78"/>
      <c r="C221" s="189"/>
      <c r="D221" s="185"/>
      <c r="E221" s="186"/>
      <c r="F221" s="187"/>
    </row>
    <row r="222" spans="1:6" x14ac:dyDescent="0.2">
      <c r="A222" s="275"/>
      <c r="B222" s="78"/>
      <c r="C222" s="189"/>
      <c r="D222" s="185"/>
      <c r="E222" s="186"/>
      <c r="F222" s="187"/>
    </row>
    <row r="223" spans="1:6" x14ac:dyDescent="0.2">
      <c r="A223" s="275"/>
      <c r="B223" s="78"/>
      <c r="C223" s="189"/>
      <c r="D223" s="185"/>
      <c r="E223" s="186"/>
      <c r="F223" s="187"/>
    </row>
    <row r="224" spans="1:6" x14ac:dyDescent="0.2">
      <c r="A224" s="275"/>
      <c r="B224" s="78"/>
      <c r="C224" s="189"/>
      <c r="D224" s="185"/>
      <c r="E224" s="186"/>
      <c r="F224" s="187"/>
    </row>
    <row r="225" spans="1:6" x14ac:dyDescent="0.2">
      <c r="A225" s="275"/>
      <c r="B225" s="78"/>
      <c r="C225" s="189"/>
      <c r="D225" s="185"/>
      <c r="E225" s="186"/>
      <c r="F225" s="187"/>
    </row>
    <row r="226" spans="1:6" x14ac:dyDescent="0.2">
      <c r="A226" s="275"/>
      <c r="B226" s="78"/>
      <c r="C226" s="189"/>
      <c r="D226" s="185"/>
      <c r="E226" s="186"/>
      <c r="F226" s="187"/>
    </row>
    <row r="227" spans="1:6" x14ac:dyDescent="0.2">
      <c r="A227" s="275"/>
      <c r="B227" s="78"/>
      <c r="C227" s="189"/>
      <c r="D227" s="185"/>
      <c r="E227" s="186"/>
      <c r="F227" s="187"/>
    </row>
    <row r="228" spans="1:6" x14ac:dyDescent="0.2">
      <c r="A228" s="275"/>
      <c r="B228" s="78"/>
      <c r="C228" s="189"/>
      <c r="D228" s="185"/>
      <c r="E228" s="186"/>
      <c r="F228" s="187"/>
    </row>
    <row r="229" spans="1:6" x14ac:dyDescent="0.2">
      <c r="A229" s="275"/>
      <c r="B229" s="78"/>
      <c r="C229" s="189"/>
      <c r="D229" s="185"/>
      <c r="E229" s="186"/>
      <c r="F229" s="187"/>
    </row>
    <row r="230" spans="1:6" x14ac:dyDescent="0.2">
      <c r="A230" s="275"/>
      <c r="B230" s="78"/>
      <c r="C230" s="189"/>
      <c r="D230" s="185"/>
      <c r="E230" s="186"/>
      <c r="F230" s="187"/>
    </row>
    <row r="231" spans="1:6" x14ac:dyDescent="0.2">
      <c r="A231" s="275"/>
      <c r="B231" s="78"/>
      <c r="C231" s="189"/>
      <c r="D231" s="185"/>
      <c r="E231" s="186"/>
      <c r="F231" s="187"/>
    </row>
    <row r="232" spans="1:6" x14ac:dyDescent="0.2">
      <c r="A232" s="275"/>
      <c r="B232" s="78"/>
      <c r="C232" s="189"/>
      <c r="D232" s="185"/>
      <c r="E232" s="186"/>
      <c r="F232" s="187"/>
    </row>
    <row r="233" spans="1:6" x14ac:dyDescent="0.2">
      <c r="A233" s="275"/>
      <c r="B233" s="78"/>
      <c r="C233" s="189"/>
      <c r="D233" s="185"/>
      <c r="E233" s="186"/>
      <c r="F233" s="187"/>
    </row>
    <row r="234" spans="1:6" x14ac:dyDescent="0.2">
      <c r="A234" s="275"/>
      <c r="B234" s="78"/>
      <c r="C234" s="189"/>
      <c r="D234" s="185"/>
      <c r="E234" s="186"/>
      <c r="F234" s="187"/>
    </row>
    <row r="235" spans="1:6" x14ac:dyDescent="0.2">
      <c r="A235" s="275"/>
      <c r="B235" s="78"/>
      <c r="C235" s="189"/>
      <c r="D235" s="185"/>
      <c r="E235" s="186"/>
      <c r="F235" s="187"/>
    </row>
    <row r="236" spans="1:6" x14ac:dyDescent="0.2">
      <c r="A236" s="275"/>
      <c r="B236" s="78"/>
      <c r="C236" s="189"/>
      <c r="D236" s="185"/>
      <c r="E236" s="186"/>
      <c r="F236" s="187"/>
    </row>
    <row r="237" spans="1:6" x14ac:dyDescent="0.2">
      <c r="A237" s="275"/>
      <c r="B237" s="78"/>
      <c r="C237" s="189"/>
      <c r="D237" s="185"/>
      <c r="E237" s="186"/>
      <c r="F237" s="187"/>
    </row>
    <row r="238" spans="1:6" x14ac:dyDescent="0.2">
      <c r="A238" s="275"/>
      <c r="B238" s="78"/>
      <c r="C238" s="189"/>
      <c r="D238" s="185"/>
      <c r="E238" s="186"/>
      <c r="F238" s="187"/>
    </row>
    <row r="239" spans="1:6" x14ac:dyDescent="0.2">
      <c r="A239" s="275"/>
      <c r="B239" s="78"/>
      <c r="C239" s="189"/>
      <c r="D239" s="185"/>
      <c r="E239" s="186"/>
      <c r="F239" s="187"/>
    </row>
    <row r="240" spans="1:6" x14ac:dyDescent="0.2">
      <c r="A240" s="275"/>
      <c r="B240" s="78"/>
      <c r="C240" s="189"/>
      <c r="D240" s="185"/>
      <c r="E240" s="186"/>
      <c r="F240" s="187"/>
    </row>
    <row r="241" spans="1:6" x14ac:dyDescent="0.2">
      <c r="A241" s="275"/>
      <c r="B241" s="78"/>
      <c r="C241" s="189"/>
      <c r="D241" s="185"/>
      <c r="E241" s="186"/>
      <c r="F241" s="187"/>
    </row>
    <row r="242" spans="1:6" x14ac:dyDescent="0.2">
      <c r="A242" s="275"/>
      <c r="B242" s="78"/>
      <c r="C242" s="189"/>
      <c r="D242" s="185"/>
      <c r="E242" s="186"/>
      <c r="F242" s="187"/>
    </row>
    <row r="243" spans="1:6" x14ac:dyDescent="0.2">
      <c r="A243" s="275"/>
      <c r="B243" s="78"/>
      <c r="C243" s="189"/>
      <c r="D243" s="185"/>
      <c r="E243" s="186"/>
      <c r="F243" s="187"/>
    </row>
    <row r="244" spans="1:6" x14ac:dyDescent="0.2">
      <c r="A244" s="275"/>
      <c r="B244" s="78"/>
      <c r="C244" s="189"/>
      <c r="D244" s="185"/>
      <c r="E244" s="186"/>
      <c r="F244" s="187"/>
    </row>
    <row r="245" spans="1:6" x14ac:dyDescent="0.2">
      <c r="A245" s="275"/>
      <c r="B245" s="78"/>
      <c r="C245" s="189"/>
      <c r="D245" s="185"/>
      <c r="E245" s="186"/>
      <c r="F245" s="187"/>
    </row>
    <row r="246" spans="1:6" x14ac:dyDescent="0.2">
      <c r="A246" s="275"/>
      <c r="B246" s="78"/>
      <c r="C246" s="189"/>
      <c r="D246" s="185"/>
      <c r="E246" s="186"/>
      <c r="F246" s="187"/>
    </row>
    <row r="247" spans="1:6" x14ac:dyDescent="0.2">
      <c r="A247" s="275"/>
      <c r="B247" s="78"/>
      <c r="C247" s="189"/>
      <c r="D247" s="185"/>
      <c r="E247" s="186"/>
      <c r="F247" s="187"/>
    </row>
    <row r="248" spans="1:6" x14ac:dyDescent="0.2">
      <c r="A248" s="275"/>
      <c r="B248" s="78"/>
      <c r="C248" s="189"/>
      <c r="D248" s="185"/>
      <c r="E248" s="186"/>
      <c r="F248" s="187"/>
    </row>
    <row r="249" spans="1:6" x14ac:dyDescent="0.2">
      <c r="A249" s="275"/>
      <c r="B249" s="78"/>
      <c r="C249" s="189"/>
      <c r="D249" s="185"/>
      <c r="E249" s="186"/>
      <c r="F249" s="187"/>
    </row>
    <row r="250" spans="1:6" x14ac:dyDescent="0.2">
      <c r="A250" s="275"/>
      <c r="B250" s="78"/>
      <c r="C250" s="189"/>
      <c r="D250" s="185"/>
      <c r="E250" s="186"/>
      <c r="F250" s="187"/>
    </row>
    <row r="251" spans="1:6" x14ac:dyDescent="0.2">
      <c r="A251" s="275"/>
      <c r="B251" s="78"/>
      <c r="C251" s="189"/>
      <c r="D251" s="185"/>
      <c r="E251" s="186"/>
      <c r="F251" s="187"/>
    </row>
    <row r="252" spans="1:6" x14ac:dyDescent="0.2">
      <c r="A252" s="275"/>
      <c r="B252" s="78"/>
      <c r="C252" s="189"/>
      <c r="D252" s="185"/>
      <c r="E252" s="186"/>
      <c r="F252" s="187"/>
    </row>
    <row r="253" spans="1:6" x14ac:dyDescent="0.2">
      <c r="A253" s="275"/>
      <c r="B253" s="78"/>
      <c r="C253" s="189"/>
      <c r="D253" s="185"/>
      <c r="E253" s="186"/>
      <c r="F253" s="187"/>
    </row>
    <row r="254" spans="1:6" x14ac:dyDescent="0.2">
      <c r="A254" s="275"/>
      <c r="B254" s="78"/>
      <c r="C254" s="189"/>
      <c r="D254" s="185"/>
      <c r="E254" s="186"/>
      <c r="F254" s="187"/>
    </row>
    <row r="255" spans="1:6" x14ac:dyDescent="0.2">
      <c r="A255" s="275"/>
      <c r="B255" s="78"/>
      <c r="C255" s="189"/>
      <c r="D255" s="185"/>
      <c r="E255" s="186"/>
      <c r="F255" s="187"/>
    </row>
    <row r="256" spans="1:6" x14ac:dyDescent="0.2">
      <c r="A256" s="275"/>
      <c r="B256" s="78"/>
      <c r="C256" s="189"/>
      <c r="D256" s="185"/>
      <c r="E256" s="186"/>
      <c r="F256" s="187"/>
    </row>
    <row r="257" spans="1:6" x14ac:dyDescent="0.2">
      <c r="A257" s="275"/>
      <c r="B257" s="78"/>
      <c r="C257" s="189"/>
      <c r="D257" s="185"/>
      <c r="E257" s="186"/>
      <c r="F257" s="187"/>
    </row>
    <row r="258" spans="1:6" x14ac:dyDescent="0.2">
      <c r="A258" s="275"/>
      <c r="B258" s="78"/>
      <c r="C258" s="189"/>
      <c r="D258" s="185"/>
      <c r="E258" s="186"/>
      <c r="F258" s="187"/>
    </row>
    <row r="259" spans="1:6" x14ac:dyDescent="0.2">
      <c r="A259" s="275"/>
      <c r="B259" s="78"/>
      <c r="C259" s="189"/>
      <c r="D259" s="185"/>
      <c r="E259" s="186"/>
      <c r="F259" s="187"/>
    </row>
    <row r="260" spans="1:6" x14ac:dyDescent="0.2">
      <c r="A260" s="275"/>
      <c r="B260" s="78"/>
      <c r="C260" s="189"/>
      <c r="D260" s="185"/>
      <c r="E260" s="186"/>
      <c r="F260" s="187"/>
    </row>
    <row r="261" spans="1:6" x14ac:dyDescent="0.2">
      <c r="A261" s="275"/>
      <c r="B261" s="78"/>
      <c r="C261" s="189"/>
      <c r="D261" s="185"/>
      <c r="E261" s="186"/>
      <c r="F261" s="187"/>
    </row>
    <row r="262" spans="1:6" x14ac:dyDescent="0.2">
      <c r="A262" s="275"/>
      <c r="B262" s="78"/>
      <c r="C262" s="189"/>
      <c r="D262" s="185"/>
      <c r="E262" s="186"/>
      <c r="F262" s="187"/>
    </row>
    <row r="263" spans="1:6" x14ac:dyDescent="0.2">
      <c r="A263" s="275"/>
      <c r="B263" s="78"/>
      <c r="C263" s="189"/>
      <c r="D263" s="185"/>
      <c r="E263" s="186"/>
      <c r="F263" s="187"/>
    </row>
    <row r="264" spans="1:6" x14ac:dyDescent="0.2">
      <c r="A264" s="275"/>
      <c r="B264" s="78"/>
      <c r="C264" s="189"/>
      <c r="D264" s="185"/>
      <c r="E264" s="186"/>
      <c r="F264" s="187"/>
    </row>
    <row r="265" spans="1:6" x14ac:dyDescent="0.2">
      <c r="A265" s="275"/>
      <c r="B265" s="78"/>
      <c r="C265" s="189"/>
      <c r="D265" s="185"/>
      <c r="E265" s="186"/>
      <c r="F265" s="187"/>
    </row>
    <row r="266" spans="1:6" x14ac:dyDescent="0.2">
      <c r="A266" s="275"/>
      <c r="B266" s="78"/>
      <c r="C266" s="189"/>
      <c r="D266" s="185"/>
      <c r="E266" s="186"/>
      <c r="F266" s="187"/>
    </row>
    <row r="267" spans="1:6" x14ac:dyDescent="0.2">
      <c r="A267" s="275"/>
      <c r="B267" s="78"/>
      <c r="C267" s="189"/>
      <c r="D267" s="185"/>
      <c r="E267" s="186"/>
      <c r="F267" s="187"/>
    </row>
    <row r="268" spans="1:6" x14ac:dyDescent="0.2">
      <c r="A268" s="275"/>
      <c r="B268" s="78"/>
      <c r="C268" s="189"/>
      <c r="D268" s="185"/>
      <c r="E268" s="186"/>
      <c r="F268" s="187"/>
    </row>
    <row r="269" spans="1:6" x14ac:dyDescent="0.2">
      <c r="A269" s="275"/>
      <c r="B269" s="78"/>
      <c r="C269" s="189"/>
      <c r="D269" s="185"/>
      <c r="E269" s="186"/>
      <c r="F269" s="187"/>
    </row>
    <row r="270" spans="1:6" x14ac:dyDescent="0.2">
      <c r="A270" s="275"/>
      <c r="B270" s="78"/>
      <c r="C270" s="189"/>
      <c r="D270" s="185"/>
      <c r="E270" s="186"/>
      <c r="F270" s="187"/>
    </row>
    <row r="271" spans="1:6" x14ac:dyDescent="0.2">
      <c r="A271" s="275"/>
      <c r="B271" s="78"/>
      <c r="C271" s="189"/>
      <c r="D271" s="185"/>
      <c r="E271" s="186"/>
      <c r="F271" s="187"/>
    </row>
    <row r="272" spans="1:6" x14ac:dyDescent="0.2">
      <c r="A272" s="275"/>
      <c r="B272" s="78"/>
      <c r="C272" s="189"/>
      <c r="D272" s="185"/>
      <c r="E272" s="186"/>
      <c r="F272" s="187"/>
    </row>
    <row r="273" spans="1:6" x14ac:dyDescent="0.2">
      <c r="A273" s="275"/>
      <c r="B273" s="78"/>
      <c r="C273" s="189"/>
      <c r="D273" s="185"/>
      <c r="E273" s="186"/>
      <c r="F273" s="187"/>
    </row>
    <row r="274" spans="1:6" x14ac:dyDescent="0.2">
      <c r="A274" s="275"/>
      <c r="B274" s="78"/>
      <c r="C274" s="189"/>
      <c r="D274" s="185"/>
      <c r="E274" s="186"/>
      <c r="F274" s="187"/>
    </row>
    <row r="275" spans="1:6" x14ac:dyDescent="0.2">
      <c r="A275" s="275"/>
      <c r="B275" s="78"/>
      <c r="C275" s="189"/>
      <c r="D275" s="185"/>
      <c r="E275" s="186"/>
      <c r="F275" s="187"/>
    </row>
    <row r="276" spans="1:6" x14ac:dyDescent="0.2">
      <c r="A276" s="275"/>
      <c r="B276" s="78"/>
      <c r="C276" s="189"/>
      <c r="D276" s="185"/>
      <c r="E276" s="186"/>
      <c r="F276" s="187"/>
    </row>
    <row r="277" spans="1:6" x14ac:dyDescent="0.2">
      <c r="A277" s="275"/>
      <c r="B277" s="78"/>
      <c r="C277" s="189"/>
      <c r="D277" s="185"/>
      <c r="E277" s="186"/>
      <c r="F277" s="187"/>
    </row>
    <row r="278" spans="1:6" x14ac:dyDescent="0.2">
      <c r="A278" s="275"/>
      <c r="B278" s="78"/>
      <c r="C278" s="189"/>
      <c r="D278" s="185"/>
      <c r="E278" s="186"/>
      <c r="F278" s="187"/>
    </row>
    <row r="279" spans="1:6" x14ac:dyDescent="0.2">
      <c r="A279" s="275"/>
      <c r="B279" s="78"/>
      <c r="C279" s="189"/>
      <c r="D279" s="185"/>
      <c r="E279" s="186"/>
      <c r="F279" s="187"/>
    </row>
    <row r="280" spans="1:6" x14ac:dyDescent="0.2">
      <c r="A280" s="275"/>
      <c r="B280" s="78"/>
      <c r="C280" s="189"/>
      <c r="D280" s="185"/>
      <c r="E280" s="186"/>
      <c r="F280" s="187"/>
    </row>
    <row r="281" spans="1:6" x14ac:dyDescent="0.2">
      <c r="A281" s="275"/>
      <c r="B281" s="78"/>
      <c r="C281" s="189"/>
      <c r="D281" s="185"/>
      <c r="E281" s="186"/>
      <c r="F281" s="187"/>
    </row>
    <row r="282" spans="1:6" x14ac:dyDescent="0.2">
      <c r="A282" s="275"/>
      <c r="B282" s="78"/>
      <c r="C282" s="189"/>
      <c r="D282" s="185"/>
      <c r="E282" s="186"/>
      <c r="F282" s="187"/>
    </row>
    <row r="283" spans="1:6" x14ac:dyDescent="0.2">
      <c r="A283" s="275"/>
      <c r="B283" s="78"/>
      <c r="C283" s="189"/>
      <c r="D283" s="185"/>
      <c r="E283" s="186"/>
      <c r="F283" s="187"/>
    </row>
    <row r="284" spans="1:6" x14ac:dyDescent="0.2">
      <c r="A284" s="275"/>
      <c r="B284" s="78"/>
      <c r="C284" s="189"/>
      <c r="D284" s="185"/>
      <c r="E284" s="186"/>
      <c r="F284" s="187"/>
    </row>
    <row r="285" spans="1:6" x14ac:dyDescent="0.2">
      <c r="A285" s="275"/>
      <c r="B285" s="78"/>
      <c r="C285" s="189"/>
      <c r="D285" s="185"/>
      <c r="E285" s="186"/>
      <c r="F285" s="187"/>
    </row>
    <row r="286" spans="1:6" x14ac:dyDescent="0.2">
      <c r="A286" s="275"/>
      <c r="B286" s="78"/>
      <c r="C286" s="189"/>
      <c r="D286" s="185"/>
      <c r="E286" s="186"/>
      <c r="F286" s="187"/>
    </row>
    <row r="287" spans="1:6" x14ac:dyDescent="0.2">
      <c r="A287" s="275"/>
      <c r="B287" s="78"/>
      <c r="C287" s="189"/>
      <c r="D287" s="185"/>
      <c r="E287" s="186"/>
      <c r="F287" s="187"/>
    </row>
    <row r="288" spans="1:6" x14ac:dyDescent="0.2">
      <c r="A288" s="275"/>
      <c r="B288" s="78"/>
      <c r="C288" s="189"/>
      <c r="D288" s="185"/>
      <c r="E288" s="186"/>
      <c r="F288" s="187"/>
    </row>
    <row r="289" spans="1:6" x14ac:dyDescent="0.2">
      <c r="A289" s="275"/>
      <c r="B289" s="78"/>
      <c r="C289" s="189"/>
      <c r="D289" s="185"/>
      <c r="E289" s="186"/>
      <c r="F289" s="187"/>
    </row>
    <row r="290" spans="1:6" x14ac:dyDescent="0.2">
      <c r="A290" s="275"/>
      <c r="B290" s="78"/>
      <c r="C290" s="189"/>
      <c r="D290" s="185"/>
      <c r="E290" s="186"/>
      <c r="F290" s="187"/>
    </row>
    <row r="291" spans="1:6" x14ac:dyDescent="0.2">
      <c r="A291" s="275"/>
      <c r="B291" s="78"/>
      <c r="C291" s="189"/>
      <c r="D291" s="185"/>
      <c r="E291" s="186"/>
      <c r="F291" s="187"/>
    </row>
    <row r="292" spans="1:6" x14ac:dyDescent="0.2">
      <c r="A292" s="275"/>
      <c r="B292" s="78"/>
      <c r="C292" s="189"/>
      <c r="D292" s="185"/>
      <c r="E292" s="186"/>
      <c r="F292" s="187"/>
    </row>
    <row r="293" spans="1:6" x14ac:dyDescent="0.2">
      <c r="A293" s="275"/>
      <c r="B293" s="78"/>
      <c r="C293" s="189"/>
      <c r="D293" s="185"/>
      <c r="E293" s="186"/>
      <c r="F293" s="187"/>
    </row>
    <row r="294" spans="1:6" x14ac:dyDescent="0.2">
      <c r="A294" s="275"/>
      <c r="B294" s="78"/>
      <c r="C294" s="189"/>
      <c r="D294" s="185"/>
      <c r="E294" s="186"/>
      <c r="F294" s="187"/>
    </row>
    <row r="295" spans="1:6" x14ac:dyDescent="0.2">
      <c r="A295" s="275"/>
      <c r="B295" s="78"/>
      <c r="C295" s="189"/>
      <c r="D295" s="185"/>
      <c r="E295" s="186"/>
      <c r="F295" s="187"/>
    </row>
    <row r="296" spans="1:6" x14ac:dyDescent="0.2">
      <c r="A296" s="275"/>
      <c r="B296" s="78"/>
      <c r="C296" s="189"/>
      <c r="D296" s="185"/>
      <c r="E296" s="186"/>
      <c r="F296" s="187"/>
    </row>
    <row r="297" spans="1:6" x14ac:dyDescent="0.2">
      <c r="A297" s="275"/>
      <c r="B297" s="78"/>
      <c r="C297" s="189"/>
      <c r="D297" s="185"/>
      <c r="E297" s="186"/>
      <c r="F297" s="187"/>
    </row>
    <row r="298" spans="1:6" x14ac:dyDescent="0.2">
      <c r="A298" s="275"/>
      <c r="B298" s="78"/>
      <c r="C298" s="189"/>
      <c r="D298" s="185"/>
      <c r="E298" s="186"/>
      <c r="F298" s="187"/>
    </row>
    <row r="299" spans="1:6" x14ac:dyDescent="0.2">
      <c r="A299" s="275"/>
      <c r="B299" s="78"/>
      <c r="C299" s="189"/>
      <c r="D299" s="185"/>
      <c r="E299" s="186"/>
      <c r="F299" s="187"/>
    </row>
    <row r="300" spans="1:6" x14ac:dyDescent="0.2">
      <c r="A300" s="275"/>
      <c r="B300" s="78"/>
      <c r="C300" s="189"/>
      <c r="D300" s="185"/>
      <c r="E300" s="186"/>
      <c r="F300" s="187"/>
    </row>
    <row r="301" spans="1:6" x14ac:dyDescent="0.2">
      <c r="A301" s="275"/>
      <c r="B301" s="78"/>
      <c r="C301" s="189"/>
      <c r="D301" s="185"/>
      <c r="E301" s="186"/>
      <c r="F301" s="187"/>
    </row>
    <row r="302" spans="1:6" x14ac:dyDescent="0.2">
      <c r="A302" s="275"/>
      <c r="B302" s="78"/>
      <c r="C302" s="189"/>
      <c r="D302" s="185"/>
      <c r="E302" s="186"/>
      <c r="F302" s="187"/>
    </row>
    <row r="303" spans="1:6" x14ac:dyDescent="0.2">
      <c r="A303" s="275"/>
      <c r="B303" s="78"/>
      <c r="C303" s="189"/>
      <c r="D303" s="185"/>
      <c r="E303" s="186"/>
      <c r="F303" s="187"/>
    </row>
    <row r="304" spans="1:6" x14ac:dyDescent="0.2">
      <c r="A304" s="275"/>
      <c r="B304" s="78"/>
      <c r="C304" s="189"/>
      <c r="D304" s="185"/>
      <c r="E304" s="186"/>
      <c r="F304" s="187"/>
    </row>
    <row r="305" spans="1:6" x14ac:dyDescent="0.2">
      <c r="A305" s="275"/>
      <c r="B305" s="78"/>
      <c r="C305" s="189"/>
      <c r="D305" s="185"/>
      <c r="E305" s="186"/>
      <c r="F305" s="187"/>
    </row>
    <row r="306" spans="1:6" x14ac:dyDescent="0.2">
      <c r="A306" s="275"/>
      <c r="B306" s="78"/>
      <c r="C306" s="189"/>
      <c r="D306" s="185"/>
      <c r="E306" s="186"/>
      <c r="F306" s="187"/>
    </row>
    <row r="307" spans="1:6" x14ac:dyDescent="0.2">
      <c r="A307" s="275"/>
      <c r="B307" s="78"/>
      <c r="C307" s="189"/>
      <c r="D307" s="185"/>
      <c r="E307" s="186"/>
      <c r="F307" s="187"/>
    </row>
    <row r="308" spans="1:6" x14ac:dyDescent="0.2">
      <c r="A308" s="275"/>
      <c r="B308" s="78"/>
      <c r="C308" s="189"/>
      <c r="D308" s="185"/>
      <c r="E308" s="186"/>
      <c r="F308" s="187"/>
    </row>
    <row r="309" spans="1:6" x14ac:dyDescent="0.2">
      <c r="A309" s="275"/>
      <c r="B309" s="78"/>
      <c r="C309" s="189"/>
      <c r="D309" s="185"/>
      <c r="E309" s="186"/>
      <c r="F309" s="187"/>
    </row>
    <row r="310" spans="1:6" x14ac:dyDescent="0.2">
      <c r="A310" s="275"/>
      <c r="B310" s="78"/>
      <c r="C310" s="189"/>
      <c r="D310" s="185"/>
      <c r="E310" s="186"/>
      <c r="F310" s="187"/>
    </row>
    <row r="311" spans="1:6" x14ac:dyDescent="0.2">
      <c r="A311" s="275"/>
      <c r="B311" s="78"/>
      <c r="C311" s="189"/>
      <c r="D311" s="185"/>
      <c r="E311" s="186"/>
      <c r="F311" s="187"/>
    </row>
    <row r="312" spans="1:6" x14ac:dyDescent="0.2">
      <c r="A312" s="275"/>
      <c r="B312" s="78"/>
      <c r="C312" s="189"/>
      <c r="D312" s="185"/>
      <c r="E312" s="186"/>
      <c r="F312" s="187"/>
    </row>
    <row r="313" spans="1:6" x14ac:dyDescent="0.2">
      <c r="A313" s="275"/>
      <c r="B313" s="78"/>
      <c r="C313" s="189"/>
      <c r="D313" s="185"/>
      <c r="E313" s="186"/>
      <c r="F313" s="187"/>
    </row>
    <row r="314" spans="1:6" x14ac:dyDescent="0.2">
      <c r="A314" s="275"/>
      <c r="B314" s="78"/>
      <c r="C314" s="189"/>
      <c r="D314" s="185"/>
      <c r="E314" s="186"/>
      <c r="F314" s="187"/>
    </row>
    <row r="315" spans="1:6" x14ac:dyDescent="0.2">
      <c r="A315" s="275"/>
      <c r="B315" s="78"/>
      <c r="C315" s="189"/>
      <c r="D315" s="185"/>
      <c r="E315" s="186"/>
      <c r="F315" s="187"/>
    </row>
    <row r="316" spans="1:6" x14ac:dyDescent="0.2">
      <c r="A316" s="275"/>
      <c r="B316" s="78"/>
      <c r="C316" s="189"/>
      <c r="D316" s="185"/>
      <c r="E316" s="186"/>
      <c r="F316" s="187"/>
    </row>
    <row r="317" spans="1:6" x14ac:dyDescent="0.2">
      <c r="A317" s="275"/>
      <c r="B317" s="78"/>
      <c r="C317" s="189"/>
      <c r="D317" s="185"/>
      <c r="E317" s="186"/>
      <c r="F317" s="187"/>
    </row>
    <row r="318" spans="1:6" x14ac:dyDescent="0.2">
      <c r="A318" s="275"/>
      <c r="B318" s="78"/>
      <c r="C318" s="189"/>
      <c r="D318" s="185"/>
      <c r="E318" s="186"/>
      <c r="F318" s="187"/>
    </row>
    <row r="319" spans="1:6" x14ac:dyDescent="0.2">
      <c r="A319" s="275"/>
      <c r="B319" s="78"/>
      <c r="C319" s="189"/>
      <c r="D319" s="185"/>
      <c r="E319" s="186"/>
      <c r="F319" s="187"/>
    </row>
    <row r="320" spans="1:6" x14ac:dyDescent="0.2">
      <c r="A320" s="275"/>
      <c r="B320" s="78"/>
      <c r="C320" s="189"/>
      <c r="D320" s="185"/>
      <c r="E320" s="186"/>
      <c r="F320" s="187"/>
    </row>
    <row r="321" spans="1:6" x14ac:dyDescent="0.2">
      <c r="A321" s="275"/>
      <c r="B321" s="78"/>
      <c r="C321" s="189"/>
      <c r="D321" s="185"/>
      <c r="E321" s="186"/>
      <c r="F321" s="187"/>
    </row>
    <row r="322" spans="1:6" x14ac:dyDescent="0.2">
      <c r="A322" s="275"/>
      <c r="B322" s="78"/>
      <c r="C322" s="189"/>
      <c r="D322" s="185"/>
      <c r="E322" s="186"/>
      <c r="F322" s="187"/>
    </row>
    <row r="323" spans="1:6" x14ac:dyDescent="0.2">
      <c r="A323" s="275"/>
      <c r="B323" s="78"/>
      <c r="C323" s="189"/>
      <c r="D323" s="185"/>
      <c r="E323" s="186"/>
      <c r="F323" s="187"/>
    </row>
    <row r="324" spans="1:6" x14ac:dyDescent="0.2">
      <c r="A324" s="275"/>
      <c r="B324" s="78"/>
      <c r="C324" s="189"/>
      <c r="D324" s="185"/>
      <c r="E324" s="186"/>
      <c r="F324" s="187"/>
    </row>
    <row r="325" spans="1:6" x14ac:dyDescent="0.2">
      <c r="A325" s="275"/>
      <c r="B325" s="78"/>
      <c r="C325" s="189"/>
      <c r="D325" s="185"/>
      <c r="E325" s="186"/>
      <c r="F325" s="187"/>
    </row>
    <row r="326" spans="1:6" x14ac:dyDescent="0.2">
      <c r="A326" s="275"/>
      <c r="B326" s="78"/>
      <c r="C326" s="189"/>
      <c r="D326" s="185"/>
      <c r="E326" s="186"/>
      <c r="F326" s="187"/>
    </row>
    <row r="327" spans="1:6" x14ac:dyDescent="0.2">
      <c r="A327" s="275"/>
      <c r="B327" s="78"/>
      <c r="C327" s="189"/>
      <c r="D327" s="185"/>
      <c r="E327" s="186"/>
      <c r="F327" s="187"/>
    </row>
    <row r="328" spans="1:6" x14ac:dyDescent="0.2">
      <c r="A328" s="275"/>
      <c r="B328" s="78"/>
      <c r="C328" s="189"/>
      <c r="D328" s="185"/>
      <c r="E328" s="186"/>
      <c r="F328" s="187"/>
    </row>
    <row r="329" spans="1:6" x14ac:dyDescent="0.2">
      <c r="A329" s="275"/>
      <c r="B329" s="78"/>
      <c r="C329" s="189"/>
      <c r="D329" s="185"/>
      <c r="E329" s="186"/>
      <c r="F329" s="187"/>
    </row>
    <row r="330" spans="1:6" x14ac:dyDescent="0.2">
      <c r="A330" s="275"/>
      <c r="B330" s="78"/>
      <c r="C330" s="189"/>
      <c r="D330" s="185"/>
      <c r="E330" s="186"/>
      <c r="F330" s="187"/>
    </row>
    <row r="331" spans="1:6" x14ac:dyDescent="0.2">
      <c r="A331" s="275"/>
      <c r="B331" s="78"/>
      <c r="C331" s="189"/>
      <c r="D331" s="185"/>
      <c r="E331" s="186"/>
      <c r="F331" s="187"/>
    </row>
    <row r="332" spans="1:6" x14ac:dyDescent="0.2">
      <c r="A332" s="275"/>
      <c r="B332" s="78"/>
      <c r="C332" s="189"/>
      <c r="D332" s="185"/>
      <c r="E332" s="186"/>
      <c r="F332" s="187"/>
    </row>
    <row r="333" spans="1:6" x14ac:dyDescent="0.2">
      <c r="A333" s="275"/>
      <c r="B333" s="78"/>
      <c r="C333" s="189"/>
      <c r="D333" s="185"/>
      <c r="E333" s="186"/>
      <c r="F333" s="187"/>
    </row>
    <row r="334" spans="1:6" x14ac:dyDescent="0.2">
      <c r="A334" s="275"/>
      <c r="B334" s="78"/>
      <c r="C334" s="189"/>
      <c r="D334" s="185"/>
      <c r="E334" s="186"/>
      <c r="F334" s="187"/>
    </row>
    <row r="335" spans="1:6" x14ac:dyDescent="0.2">
      <c r="A335" s="275"/>
      <c r="B335" s="78"/>
      <c r="C335" s="189"/>
      <c r="D335" s="185"/>
      <c r="E335" s="186"/>
      <c r="F335" s="187"/>
    </row>
    <row r="336" spans="1:6" x14ac:dyDescent="0.2">
      <c r="A336" s="275"/>
      <c r="B336" s="78"/>
      <c r="C336" s="189"/>
      <c r="D336" s="185"/>
      <c r="E336" s="186"/>
      <c r="F336" s="187"/>
    </row>
    <row r="337" spans="1:6" x14ac:dyDescent="0.2">
      <c r="A337" s="275"/>
      <c r="B337" s="78"/>
      <c r="C337" s="189"/>
      <c r="D337" s="185"/>
      <c r="E337" s="186"/>
      <c r="F337" s="187"/>
    </row>
    <row r="338" spans="1:6" x14ac:dyDescent="0.2">
      <c r="A338" s="275"/>
      <c r="B338" s="78"/>
      <c r="C338" s="189"/>
      <c r="D338" s="185"/>
      <c r="E338" s="186"/>
      <c r="F338" s="187"/>
    </row>
    <row r="339" spans="1:6" x14ac:dyDescent="0.2">
      <c r="A339" s="275"/>
      <c r="B339" s="78"/>
      <c r="C339" s="189"/>
      <c r="D339" s="185"/>
      <c r="E339" s="186"/>
      <c r="F339" s="187"/>
    </row>
    <row r="340" spans="1:6" x14ac:dyDescent="0.2">
      <c r="A340" s="275"/>
      <c r="B340" s="78"/>
      <c r="C340" s="189"/>
      <c r="D340" s="185"/>
      <c r="E340" s="186"/>
      <c r="F340" s="187"/>
    </row>
    <row r="341" spans="1:6" x14ac:dyDescent="0.2">
      <c r="A341" s="275"/>
      <c r="B341" s="78"/>
      <c r="C341" s="189"/>
      <c r="D341" s="185"/>
      <c r="E341" s="186"/>
      <c r="F341" s="187"/>
    </row>
    <row r="342" spans="1:6" x14ac:dyDescent="0.2">
      <c r="A342" s="275"/>
      <c r="B342" s="78"/>
      <c r="C342" s="189"/>
      <c r="D342" s="185"/>
      <c r="E342" s="186"/>
      <c r="F342" s="187"/>
    </row>
    <row r="343" spans="1:6" x14ac:dyDescent="0.2">
      <c r="A343" s="275"/>
      <c r="B343" s="78"/>
      <c r="C343" s="189"/>
      <c r="D343" s="185"/>
      <c r="E343" s="186"/>
      <c r="F343" s="187"/>
    </row>
    <row r="344" spans="1:6" x14ac:dyDescent="0.2">
      <c r="A344" s="275"/>
      <c r="B344" s="78"/>
      <c r="C344" s="189"/>
      <c r="D344" s="185"/>
      <c r="E344" s="186"/>
      <c r="F344" s="187"/>
    </row>
    <row r="345" spans="1:6" x14ac:dyDescent="0.2">
      <c r="A345" s="275"/>
      <c r="B345" s="78"/>
      <c r="C345" s="189"/>
      <c r="D345" s="185"/>
      <c r="E345" s="186"/>
      <c r="F345" s="187"/>
    </row>
    <row r="346" spans="1:6" x14ac:dyDescent="0.2">
      <c r="A346" s="275"/>
      <c r="B346" s="78"/>
      <c r="C346" s="189"/>
      <c r="D346" s="185"/>
      <c r="E346" s="186"/>
      <c r="F346" s="187"/>
    </row>
    <row r="347" spans="1:6" x14ac:dyDescent="0.2">
      <c r="A347" s="275"/>
      <c r="B347" s="78"/>
      <c r="C347" s="189"/>
      <c r="D347" s="185"/>
      <c r="E347" s="186"/>
      <c r="F347" s="187"/>
    </row>
    <row r="348" spans="1:6" x14ac:dyDescent="0.2">
      <c r="A348" s="275"/>
      <c r="B348" s="78"/>
      <c r="C348" s="189"/>
      <c r="D348" s="185"/>
      <c r="E348" s="186"/>
      <c r="F348" s="187"/>
    </row>
    <row r="349" spans="1:6" x14ac:dyDescent="0.2">
      <c r="A349" s="275"/>
      <c r="B349" s="78"/>
      <c r="C349" s="189"/>
      <c r="D349" s="185"/>
      <c r="E349" s="186"/>
      <c r="F349" s="187"/>
    </row>
    <row r="350" spans="1:6" x14ac:dyDescent="0.2">
      <c r="A350" s="275"/>
      <c r="B350" s="78"/>
      <c r="C350" s="189"/>
      <c r="D350" s="185"/>
      <c r="E350" s="186"/>
      <c r="F350" s="187"/>
    </row>
    <row r="351" spans="1:6" x14ac:dyDescent="0.2">
      <c r="A351" s="275"/>
      <c r="B351" s="78"/>
      <c r="C351" s="189"/>
      <c r="D351" s="185"/>
      <c r="E351" s="186"/>
      <c r="F351" s="187"/>
    </row>
    <row r="352" spans="1:6" x14ac:dyDescent="0.2">
      <c r="A352" s="275"/>
      <c r="B352" s="78"/>
      <c r="C352" s="189"/>
      <c r="D352" s="185"/>
      <c r="E352" s="186"/>
      <c r="F352" s="187"/>
    </row>
    <row r="353" spans="1:6" x14ac:dyDescent="0.2">
      <c r="A353" s="275"/>
      <c r="B353" s="78"/>
      <c r="C353" s="189"/>
      <c r="D353" s="185"/>
      <c r="E353" s="186"/>
      <c r="F353" s="187"/>
    </row>
    <row r="354" spans="1:6" x14ac:dyDescent="0.2">
      <c r="A354" s="275"/>
      <c r="B354" s="78"/>
      <c r="C354" s="189"/>
      <c r="D354" s="185"/>
      <c r="E354" s="186"/>
      <c r="F354" s="187"/>
    </row>
    <row r="355" spans="1:6" x14ac:dyDescent="0.2">
      <c r="A355" s="275"/>
      <c r="B355" s="78"/>
      <c r="C355" s="189"/>
      <c r="D355" s="185"/>
      <c r="E355" s="186"/>
      <c r="F355" s="187"/>
    </row>
    <row r="356" spans="1:6" x14ac:dyDescent="0.2">
      <c r="A356" s="275"/>
      <c r="B356" s="78"/>
      <c r="C356" s="189"/>
      <c r="D356" s="185"/>
      <c r="E356" s="186"/>
      <c r="F356" s="187"/>
    </row>
    <row r="357" spans="1:6" x14ac:dyDescent="0.2">
      <c r="A357" s="275"/>
      <c r="B357" s="78"/>
      <c r="C357" s="189"/>
      <c r="D357" s="185"/>
      <c r="E357" s="186"/>
      <c r="F357" s="187"/>
    </row>
    <row r="358" spans="1:6" x14ac:dyDescent="0.2">
      <c r="A358" s="275"/>
      <c r="B358" s="78"/>
      <c r="C358" s="189"/>
      <c r="D358" s="185"/>
      <c r="E358" s="186"/>
      <c r="F358" s="187"/>
    </row>
    <row r="359" spans="1:6" x14ac:dyDescent="0.2">
      <c r="A359" s="275"/>
      <c r="B359" s="78"/>
      <c r="C359" s="189"/>
      <c r="D359" s="185"/>
      <c r="E359" s="186"/>
      <c r="F359" s="187"/>
    </row>
    <row r="360" spans="1:6" x14ac:dyDescent="0.2">
      <c r="A360" s="275"/>
      <c r="B360" s="78"/>
      <c r="C360" s="189"/>
      <c r="D360" s="185"/>
      <c r="E360" s="186"/>
      <c r="F360" s="187"/>
    </row>
    <row r="361" spans="1:6" x14ac:dyDescent="0.2">
      <c r="A361" s="275"/>
      <c r="B361" s="78"/>
      <c r="C361" s="189"/>
      <c r="D361" s="185"/>
      <c r="E361" s="186"/>
      <c r="F361" s="187"/>
    </row>
    <row r="362" spans="1:6" x14ac:dyDescent="0.2">
      <c r="A362" s="275"/>
      <c r="B362" s="78"/>
      <c r="C362" s="189"/>
      <c r="D362" s="185"/>
      <c r="E362" s="186"/>
      <c r="F362" s="187"/>
    </row>
    <row r="363" spans="1:6" x14ac:dyDescent="0.2">
      <c r="A363" s="275"/>
      <c r="B363" s="78"/>
      <c r="C363" s="189"/>
      <c r="D363" s="185"/>
      <c r="E363" s="186"/>
      <c r="F363" s="187"/>
    </row>
    <row r="364" spans="1:6" x14ac:dyDescent="0.2">
      <c r="A364" s="275"/>
      <c r="B364" s="78"/>
      <c r="C364" s="189"/>
      <c r="D364" s="185"/>
      <c r="E364" s="186"/>
      <c r="F364" s="187"/>
    </row>
    <row r="365" spans="1:6" x14ac:dyDescent="0.2">
      <c r="A365" s="275"/>
      <c r="B365" s="78"/>
      <c r="C365" s="189"/>
      <c r="D365" s="185"/>
      <c r="E365" s="186"/>
      <c r="F365" s="187"/>
    </row>
    <row r="366" spans="1:6" x14ac:dyDescent="0.2">
      <c r="A366" s="275"/>
      <c r="B366" s="78"/>
      <c r="C366" s="189"/>
      <c r="D366" s="185"/>
      <c r="E366" s="186"/>
      <c r="F366" s="187"/>
    </row>
    <row r="367" spans="1:6" x14ac:dyDescent="0.2">
      <c r="A367" s="275"/>
      <c r="B367" s="78"/>
      <c r="C367" s="189"/>
      <c r="D367" s="185"/>
      <c r="E367" s="186"/>
      <c r="F367" s="187"/>
    </row>
    <row r="368" spans="1:6" x14ac:dyDescent="0.2">
      <c r="A368" s="275"/>
      <c r="B368" s="78"/>
      <c r="C368" s="189"/>
      <c r="D368" s="185"/>
      <c r="E368" s="186"/>
      <c r="F368" s="187"/>
    </row>
    <row r="369" spans="1:6" x14ac:dyDescent="0.2">
      <c r="A369" s="275"/>
      <c r="B369" s="78"/>
      <c r="C369" s="189"/>
      <c r="D369" s="185"/>
      <c r="E369" s="186"/>
      <c r="F369" s="187"/>
    </row>
    <row r="370" spans="1:6" x14ac:dyDescent="0.2">
      <c r="A370" s="275"/>
      <c r="B370" s="78"/>
      <c r="C370" s="189"/>
      <c r="D370" s="185"/>
      <c r="E370" s="186"/>
      <c r="F370" s="187"/>
    </row>
    <row r="371" spans="1:6" x14ac:dyDescent="0.2">
      <c r="A371" s="275"/>
      <c r="B371" s="78"/>
      <c r="C371" s="189"/>
      <c r="D371" s="185"/>
      <c r="E371" s="186"/>
      <c r="F371" s="187"/>
    </row>
    <row r="372" spans="1:6" x14ac:dyDescent="0.2">
      <c r="A372" s="275"/>
      <c r="B372" s="78"/>
      <c r="C372" s="189"/>
      <c r="D372" s="185"/>
      <c r="E372" s="186"/>
      <c r="F372" s="187"/>
    </row>
    <row r="373" spans="1:6" x14ac:dyDescent="0.2">
      <c r="A373" s="275"/>
      <c r="B373" s="78"/>
      <c r="C373" s="189"/>
      <c r="D373" s="185"/>
      <c r="E373" s="186"/>
      <c r="F373" s="187"/>
    </row>
    <row r="374" spans="1:6" x14ac:dyDescent="0.2">
      <c r="A374" s="275"/>
      <c r="B374" s="78"/>
      <c r="C374" s="189"/>
      <c r="D374" s="185"/>
      <c r="E374" s="186"/>
      <c r="F374" s="187"/>
    </row>
    <row r="375" spans="1:6" x14ac:dyDescent="0.2">
      <c r="A375" s="275"/>
      <c r="B375" s="78"/>
      <c r="C375" s="189"/>
      <c r="D375" s="185"/>
      <c r="E375" s="186"/>
      <c r="F375" s="187"/>
    </row>
    <row r="376" spans="1:6" x14ac:dyDescent="0.2">
      <c r="A376" s="275"/>
      <c r="B376" s="78"/>
      <c r="C376" s="189"/>
      <c r="D376" s="185"/>
      <c r="E376" s="186"/>
      <c r="F376" s="187"/>
    </row>
    <row r="377" spans="1:6" x14ac:dyDescent="0.2">
      <c r="A377" s="275"/>
      <c r="B377" s="78"/>
      <c r="C377" s="189"/>
      <c r="D377" s="185"/>
      <c r="E377" s="186"/>
      <c r="F377" s="187"/>
    </row>
    <row r="378" spans="1:6" x14ac:dyDescent="0.2">
      <c r="A378" s="275"/>
      <c r="B378" s="78"/>
      <c r="C378" s="189"/>
      <c r="D378" s="185"/>
      <c r="E378" s="186"/>
      <c r="F378" s="187"/>
    </row>
    <row r="379" spans="1:6" x14ac:dyDescent="0.2">
      <c r="A379" s="275"/>
      <c r="B379" s="78"/>
      <c r="C379" s="189"/>
      <c r="D379" s="185"/>
      <c r="E379" s="186"/>
      <c r="F379" s="187"/>
    </row>
    <row r="380" spans="1:6" x14ac:dyDescent="0.2">
      <c r="A380" s="275"/>
      <c r="B380" s="78"/>
      <c r="C380" s="189"/>
      <c r="D380" s="185"/>
      <c r="E380" s="186"/>
      <c r="F380" s="187"/>
    </row>
    <row r="381" spans="1:6" x14ac:dyDescent="0.2">
      <c r="A381" s="275"/>
      <c r="B381" s="78"/>
      <c r="C381" s="189"/>
      <c r="D381" s="185"/>
      <c r="E381" s="186"/>
      <c r="F381" s="187"/>
    </row>
    <row r="382" spans="1:6" x14ac:dyDescent="0.2">
      <c r="A382" s="275"/>
      <c r="B382" s="78"/>
      <c r="C382" s="189"/>
      <c r="D382" s="185"/>
      <c r="E382" s="186"/>
      <c r="F382" s="187"/>
    </row>
    <row r="383" spans="1:6" x14ac:dyDescent="0.2">
      <c r="A383" s="275"/>
      <c r="B383" s="78"/>
      <c r="C383" s="189"/>
      <c r="D383" s="185"/>
      <c r="E383" s="186"/>
      <c r="F383" s="187"/>
    </row>
    <row r="384" spans="1:6" x14ac:dyDescent="0.2">
      <c r="A384" s="275"/>
      <c r="B384" s="78"/>
      <c r="C384" s="189"/>
      <c r="D384" s="185"/>
      <c r="E384" s="186"/>
      <c r="F384" s="187"/>
    </row>
    <row r="385" spans="1:6" x14ac:dyDescent="0.2">
      <c r="A385" s="275"/>
      <c r="B385" s="78"/>
      <c r="C385" s="189"/>
      <c r="D385" s="185"/>
      <c r="E385" s="186"/>
      <c r="F385" s="187"/>
    </row>
    <row r="386" spans="1:6" x14ac:dyDescent="0.2">
      <c r="A386" s="275"/>
      <c r="B386" s="78"/>
      <c r="C386" s="189"/>
      <c r="D386" s="185"/>
      <c r="E386" s="186"/>
      <c r="F386" s="187"/>
    </row>
    <row r="387" spans="1:6" x14ac:dyDescent="0.2">
      <c r="A387" s="275"/>
      <c r="B387" s="78"/>
      <c r="C387" s="189"/>
      <c r="D387" s="185"/>
      <c r="E387" s="186"/>
      <c r="F387" s="187"/>
    </row>
    <row r="388" spans="1:6" x14ac:dyDescent="0.2">
      <c r="A388" s="275"/>
      <c r="B388" s="78"/>
      <c r="C388" s="189"/>
      <c r="D388" s="185"/>
      <c r="E388" s="186"/>
      <c r="F388" s="187"/>
    </row>
    <row r="389" spans="1:6" x14ac:dyDescent="0.2">
      <c r="A389" s="275"/>
      <c r="B389" s="78"/>
      <c r="C389" s="189"/>
      <c r="D389" s="185"/>
      <c r="E389" s="186"/>
      <c r="F389" s="187"/>
    </row>
    <row r="390" spans="1:6" x14ac:dyDescent="0.2">
      <c r="A390" s="275"/>
      <c r="B390" s="78"/>
      <c r="C390" s="189"/>
      <c r="D390" s="185"/>
      <c r="E390" s="186"/>
      <c r="F390" s="187"/>
    </row>
    <row r="391" spans="1:6" x14ac:dyDescent="0.2">
      <c r="A391" s="275"/>
      <c r="B391" s="78"/>
      <c r="C391" s="189"/>
      <c r="D391" s="185"/>
      <c r="E391" s="186"/>
      <c r="F391" s="187"/>
    </row>
    <row r="392" spans="1:6" x14ac:dyDescent="0.2">
      <c r="A392" s="275"/>
      <c r="B392" s="78"/>
      <c r="C392" s="189"/>
      <c r="D392" s="185"/>
      <c r="E392" s="186"/>
      <c r="F392" s="187"/>
    </row>
    <row r="393" spans="1:6" x14ac:dyDescent="0.2">
      <c r="A393" s="275"/>
      <c r="B393" s="78"/>
      <c r="C393" s="189"/>
      <c r="D393" s="185"/>
      <c r="E393" s="186"/>
      <c r="F393" s="187"/>
    </row>
    <row r="394" spans="1:6" x14ac:dyDescent="0.2">
      <c r="A394" s="275"/>
      <c r="B394" s="78"/>
      <c r="C394" s="189"/>
      <c r="D394" s="185"/>
      <c r="E394" s="186"/>
      <c r="F394" s="187"/>
    </row>
    <row r="395" spans="1:6" x14ac:dyDescent="0.2">
      <c r="A395" s="275"/>
      <c r="B395" s="78"/>
      <c r="C395" s="189"/>
      <c r="D395" s="185"/>
      <c r="E395" s="186"/>
      <c r="F395" s="187"/>
    </row>
    <row r="396" spans="1:6" x14ac:dyDescent="0.2">
      <c r="A396" s="275"/>
      <c r="B396" s="78"/>
      <c r="C396" s="189"/>
      <c r="D396" s="185"/>
      <c r="E396" s="186"/>
      <c r="F396" s="187"/>
    </row>
    <row r="397" spans="1:6" x14ac:dyDescent="0.2">
      <c r="A397" s="275"/>
      <c r="B397" s="78"/>
      <c r="C397" s="189"/>
      <c r="D397" s="185"/>
      <c r="E397" s="186"/>
      <c r="F397" s="187"/>
    </row>
    <row r="398" spans="1:6" x14ac:dyDescent="0.2">
      <c r="A398" s="275"/>
      <c r="B398" s="78"/>
      <c r="C398" s="189"/>
      <c r="D398" s="185"/>
      <c r="E398" s="186"/>
      <c r="F398" s="187"/>
    </row>
    <row r="399" spans="1:6" x14ac:dyDescent="0.2">
      <c r="A399" s="275"/>
      <c r="B399" s="78"/>
      <c r="C399" s="189"/>
      <c r="D399" s="185"/>
      <c r="E399" s="186"/>
      <c r="F399" s="187"/>
    </row>
    <row r="400" spans="1:6" x14ac:dyDescent="0.2">
      <c r="A400" s="275"/>
      <c r="B400" s="78"/>
      <c r="C400" s="189"/>
      <c r="D400" s="185"/>
      <c r="E400" s="186"/>
      <c r="F400" s="187"/>
    </row>
    <row r="401" spans="1:6" x14ac:dyDescent="0.2">
      <c r="A401" s="275"/>
      <c r="B401" s="78"/>
      <c r="C401" s="189"/>
      <c r="D401" s="185"/>
      <c r="E401" s="186"/>
      <c r="F401" s="187"/>
    </row>
    <row r="402" spans="1:6" x14ac:dyDescent="0.2">
      <c r="A402" s="275"/>
      <c r="B402" s="78"/>
      <c r="C402" s="189"/>
      <c r="D402" s="185"/>
      <c r="E402" s="186"/>
      <c r="F402" s="187"/>
    </row>
    <row r="403" spans="1:6" x14ac:dyDescent="0.2">
      <c r="A403" s="275"/>
      <c r="B403" s="78"/>
      <c r="C403" s="189"/>
      <c r="D403" s="185"/>
      <c r="E403" s="186"/>
      <c r="F403" s="187"/>
    </row>
    <row r="404" spans="1:6" x14ac:dyDescent="0.2">
      <c r="A404" s="275"/>
      <c r="B404" s="78"/>
      <c r="C404" s="189"/>
      <c r="D404" s="185"/>
      <c r="E404" s="186"/>
      <c r="F404" s="187"/>
    </row>
    <row r="405" spans="1:6" x14ac:dyDescent="0.2">
      <c r="A405" s="275"/>
      <c r="B405" s="78"/>
      <c r="C405" s="189"/>
      <c r="D405" s="185"/>
      <c r="E405" s="186"/>
      <c r="F405" s="187"/>
    </row>
    <row r="406" spans="1:6" x14ac:dyDescent="0.2">
      <c r="A406" s="275"/>
      <c r="B406" s="78"/>
      <c r="C406" s="189"/>
      <c r="D406" s="185"/>
      <c r="E406" s="186"/>
      <c r="F406" s="187"/>
    </row>
    <row r="407" spans="1:6" x14ac:dyDescent="0.2">
      <c r="A407" s="275"/>
      <c r="B407" s="78"/>
      <c r="C407" s="189"/>
      <c r="D407" s="185"/>
      <c r="E407" s="186"/>
      <c r="F407" s="187"/>
    </row>
    <row r="408" spans="1:6" x14ac:dyDescent="0.2">
      <c r="A408" s="275"/>
      <c r="B408" s="78"/>
      <c r="C408" s="189"/>
      <c r="D408" s="185"/>
      <c r="E408" s="186"/>
      <c r="F408" s="187"/>
    </row>
    <row r="409" spans="1:6" x14ac:dyDescent="0.2">
      <c r="A409" s="275"/>
      <c r="B409" s="78"/>
      <c r="C409" s="189"/>
      <c r="D409" s="185"/>
      <c r="E409" s="186"/>
      <c r="F409" s="187"/>
    </row>
    <row r="410" spans="1:6" x14ac:dyDescent="0.2">
      <c r="A410" s="275"/>
      <c r="B410" s="78"/>
      <c r="C410" s="189"/>
      <c r="D410" s="185"/>
      <c r="E410" s="186"/>
      <c r="F410" s="187"/>
    </row>
    <row r="411" spans="1:6" x14ac:dyDescent="0.2">
      <c r="A411" s="275"/>
      <c r="B411" s="78"/>
      <c r="C411" s="189"/>
      <c r="D411" s="185"/>
      <c r="E411" s="186"/>
      <c r="F411" s="187"/>
    </row>
    <row r="412" spans="1:6" x14ac:dyDescent="0.2">
      <c r="A412" s="275"/>
      <c r="B412" s="78"/>
      <c r="C412" s="189"/>
      <c r="D412" s="185"/>
      <c r="E412" s="186"/>
      <c r="F412" s="187"/>
    </row>
    <row r="413" spans="1:6" x14ac:dyDescent="0.2">
      <c r="A413" s="275"/>
      <c r="B413" s="78"/>
      <c r="C413" s="189"/>
      <c r="D413" s="185"/>
      <c r="E413" s="186"/>
      <c r="F413" s="187"/>
    </row>
    <row r="414" spans="1:6" x14ac:dyDescent="0.2">
      <c r="A414" s="275"/>
      <c r="B414" s="78"/>
      <c r="C414" s="189"/>
      <c r="D414" s="185"/>
      <c r="E414" s="186"/>
      <c r="F414" s="187"/>
    </row>
    <row r="415" spans="1:6" x14ac:dyDescent="0.2">
      <c r="A415" s="275"/>
      <c r="B415" s="78"/>
      <c r="C415" s="189"/>
      <c r="D415" s="185"/>
      <c r="E415" s="186"/>
      <c r="F415" s="187"/>
    </row>
    <row r="416" spans="1:6" x14ac:dyDescent="0.2">
      <c r="A416" s="275"/>
      <c r="B416" s="78"/>
      <c r="C416" s="189"/>
      <c r="D416" s="185"/>
      <c r="E416" s="186"/>
      <c r="F416" s="187"/>
    </row>
    <row r="417" spans="1:6" x14ac:dyDescent="0.2">
      <c r="A417" s="275"/>
      <c r="B417" s="78"/>
      <c r="C417" s="189"/>
      <c r="D417" s="185"/>
      <c r="E417" s="186"/>
      <c r="F417" s="187"/>
    </row>
    <row r="418" spans="1:6" x14ac:dyDescent="0.2">
      <c r="A418" s="275"/>
      <c r="B418" s="78"/>
      <c r="C418" s="189"/>
      <c r="D418" s="185"/>
      <c r="E418" s="186"/>
      <c r="F418" s="187"/>
    </row>
    <row r="419" spans="1:6" x14ac:dyDescent="0.2">
      <c r="A419" s="275"/>
      <c r="B419" s="78"/>
      <c r="C419" s="189"/>
      <c r="D419" s="185"/>
      <c r="E419" s="186"/>
      <c r="F419" s="187"/>
    </row>
    <row r="420" spans="1:6" x14ac:dyDescent="0.2">
      <c r="A420" s="275"/>
      <c r="B420" s="78"/>
      <c r="C420" s="189"/>
      <c r="D420" s="185"/>
      <c r="E420" s="186"/>
      <c r="F420" s="187"/>
    </row>
    <row r="421" spans="1:6" x14ac:dyDescent="0.2">
      <c r="A421" s="275"/>
      <c r="B421" s="78"/>
      <c r="C421" s="189"/>
      <c r="D421" s="185"/>
      <c r="E421" s="186"/>
      <c r="F421" s="187"/>
    </row>
    <row r="422" spans="1:6" x14ac:dyDescent="0.2">
      <c r="A422" s="275"/>
      <c r="B422" s="78"/>
      <c r="C422" s="189"/>
      <c r="D422" s="185"/>
      <c r="E422" s="186"/>
      <c r="F422" s="187"/>
    </row>
    <row r="423" spans="1:6" x14ac:dyDescent="0.2">
      <c r="A423" s="275"/>
      <c r="B423" s="78"/>
      <c r="C423" s="189"/>
      <c r="D423" s="185"/>
      <c r="E423" s="186"/>
      <c r="F423" s="187"/>
    </row>
    <row r="424" spans="1:6" x14ac:dyDescent="0.2">
      <c r="A424" s="275"/>
      <c r="B424" s="78"/>
      <c r="C424" s="189"/>
      <c r="D424" s="185"/>
      <c r="E424" s="186"/>
      <c r="F424" s="187"/>
    </row>
    <row r="425" spans="1:6" x14ac:dyDescent="0.2">
      <c r="A425" s="275"/>
      <c r="B425" s="78"/>
      <c r="C425" s="189"/>
      <c r="D425" s="185"/>
      <c r="E425" s="186"/>
      <c r="F425" s="187"/>
    </row>
    <row r="426" spans="1:6" x14ac:dyDescent="0.2">
      <c r="A426" s="275"/>
      <c r="B426" s="78"/>
      <c r="C426" s="189"/>
      <c r="D426" s="185"/>
      <c r="E426" s="186"/>
      <c r="F426" s="187"/>
    </row>
    <row r="427" spans="1:6" x14ac:dyDescent="0.2">
      <c r="A427" s="275"/>
      <c r="B427" s="78"/>
      <c r="C427" s="189"/>
      <c r="D427" s="185"/>
      <c r="E427" s="186"/>
      <c r="F427" s="187"/>
    </row>
    <row r="428" spans="1:6" x14ac:dyDescent="0.2">
      <c r="A428" s="275"/>
      <c r="B428" s="78"/>
      <c r="C428" s="189"/>
      <c r="D428" s="185"/>
      <c r="E428" s="186"/>
      <c r="F428" s="187"/>
    </row>
    <row r="429" spans="1:6" x14ac:dyDescent="0.2">
      <c r="A429" s="275"/>
      <c r="B429" s="78"/>
      <c r="C429" s="189"/>
      <c r="D429" s="185"/>
      <c r="E429" s="186"/>
      <c r="F429" s="187"/>
    </row>
    <row r="430" spans="1:6" x14ac:dyDescent="0.2">
      <c r="A430" s="275"/>
      <c r="B430" s="78"/>
      <c r="C430" s="189"/>
      <c r="D430" s="185"/>
      <c r="E430" s="186"/>
      <c r="F430" s="187"/>
    </row>
    <row r="431" spans="1:6" x14ac:dyDescent="0.2">
      <c r="A431" s="275"/>
      <c r="B431" s="78"/>
      <c r="C431" s="189"/>
      <c r="D431" s="185"/>
      <c r="E431" s="186"/>
      <c r="F431" s="187"/>
    </row>
    <row r="432" spans="1:6" x14ac:dyDescent="0.2">
      <c r="A432" s="275"/>
      <c r="B432" s="78"/>
      <c r="C432" s="189"/>
      <c r="D432" s="185"/>
      <c r="E432" s="186"/>
      <c r="F432" s="187"/>
    </row>
    <row r="433" spans="1:6" x14ac:dyDescent="0.2">
      <c r="A433" s="275"/>
      <c r="B433" s="78"/>
      <c r="C433" s="189"/>
      <c r="D433" s="185"/>
      <c r="E433" s="186"/>
      <c r="F433" s="187"/>
    </row>
    <row r="434" spans="1:6" x14ac:dyDescent="0.2">
      <c r="A434" s="275"/>
      <c r="B434" s="78"/>
      <c r="C434" s="189"/>
      <c r="D434" s="185"/>
      <c r="E434" s="186"/>
      <c r="F434" s="187"/>
    </row>
    <row r="435" spans="1:6" x14ac:dyDescent="0.2">
      <c r="A435" s="275"/>
      <c r="B435" s="78"/>
      <c r="C435" s="189"/>
      <c r="D435" s="185"/>
      <c r="E435" s="186"/>
      <c r="F435" s="187"/>
    </row>
    <row r="436" spans="1:6" x14ac:dyDescent="0.2">
      <c r="A436" s="275"/>
      <c r="B436" s="78"/>
      <c r="C436" s="189"/>
      <c r="D436" s="185"/>
      <c r="E436" s="186"/>
      <c r="F436" s="187"/>
    </row>
    <row r="437" spans="1:6" x14ac:dyDescent="0.2">
      <c r="A437" s="275"/>
      <c r="B437" s="78"/>
      <c r="C437" s="189"/>
      <c r="D437" s="185"/>
      <c r="E437" s="186"/>
      <c r="F437" s="187"/>
    </row>
    <row r="438" spans="1:6" x14ac:dyDescent="0.2">
      <c r="A438" s="275"/>
      <c r="B438" s="78"/>
      <c r="C438" s="189"/>
      <c r="D438" s="185"/>
      <c r="E438" s="186"/>
      <c r="F438" s="187"/>
    </row>
    <row r="439" spans="1:6" x14ac:dyDescent="0.2">
      <c r="A439" s="275"/>
      <c r="B439" s="78"/>
      <c r="C439" s="189"/>
      <c r="D439" s="185"/>
      <c r="E439" s="186"/>
      <c r="F439" s="187"/>
    </row>
    <row r="440" spans="1:6" x14ac:dyDescent="0.2">
      <c r="A440" s="275"/>
      <c r="B440" s="78"/>
      <c r="C440" s="189"/>
      <c r="D440" s="185"/>
      <c r="E440" s="186"/>
      <c r="F440" s="187"/>
    </row>
    <row r="441" spans="1:6" x14ac:dyDescent="0.2">
      <c r="A441" s="275"/>
      <c r="B441" s="78"/>
      <c r="C441" s="189"/>
      <c r="D441" s="185"/>
      <c r="E441" s="186"/>
      <c r="F441" s="187"/>
    </row>
    <row r="442" spans="1:6" x14ac:dyDescent="0.2">
      <c r="A442" s="275"/>
      <c r="B442" s="78"/>
      <c r="C442" s="189"/>
      <c r="D442" s="185"/>
      <c r="E442" s="186"/>
      <c r="F442" s="187"/>
    </row>
    <row r="443" spans="1:6" x14ac:dyDescent="0.2">
      <c r="A443" s="275"/>
      <c r="B443" s="78"/>
      <c r="C443" s="189"/>
      <c r="D443" s="185"/>
      <c r="E443" s="186"/>
      <c r="F443" s="187"/>
    </row>
    <row r="444" spans="1:6" x14ac:dyDescent="0.2">
      <c r="A444" s="275"/>
      <c r="B444" s="78"/>
      <c r="C444" s="189"/>
      <c r="D444" s="185"/>
      <c r="E444" s="186"/>
      <c r="F444" s="187"/>
    </row>
    <row r="445" spans="1:6" x14ac:dyDescent="0.2">
      <c r="A445" s="275"/>
      <c r="B445" s="78"/>
      <c r="C445" s="189"/>
      <c r="D445" s="185"/>
      <c r="E445" s="186"/>
      <c r="F445" s="187"/>
    </row>
    <row r="446" spans="1:6" x14ac:dyDescent="0.2">
      <c r="A446" s="275"/>
      <c r="B446" s="78"/>
      <c r="C446" s="189"/>
      <c r="D446" s="185"/>
      <c r="E446" s="186"/>
      <c r="F446" s="187"/>
    </row>
    <row r="447" spans="1:6" x14ac:dyDescent="0.2">
      <c r="A447" s="275"/>
      <c r="B447" s="78"/>
      <c r="C447" s="189"/>
      <c r="D447" s="185"/>
      <c r="E447" s="186"/>
      <c r="F447" s="187"/>
    </row>
    <row r="448" spans="1:6" x14ac:dyDescent="0.2">
      <c r="A448" s="275"/>
      <c r="B448" s="78"/>
      <c r="C448" s="189"/>
      <c r="D448" s="185"/>
      <c r="E448" s="186"/>
      <c r="F448" s="187"/>
    </row>
    <row r="449" spans="1:6" x14ac:dyDescent="0.2">
      <c r="A449" s="275"/>
      <c r="B449" s="78"/>
      <c r="C449" s="189"/>
      <c r="D449" s="185"/>
      <c r="E449" s="186"/>
      <c r="F449" s="187"/>
    </row>
    <row r="450" spans="1:6" x14ac:dyDescent="0.2">
      <c r="A450" s="275"/>
      <c r="B450" s="78"/>
      <c r="C450" s="189"/>
      <c r="D450" s="185"/>
      <c r="E450" s="186"/>
      <c r="F450" s="187"/>
    </row>
    <row r="451" spans="1:6" x14ac:dyDescent="0.2">
      <c r="A451" s="275"/>
      <c r="B451" s="78"/>
      <c r="C451" s="189"/>
      <c r="D451" s="185"/>
      <c r="E451" s="186"/>
      <c r="F451" s="187"/>
    </row>
    <row r="452" spans="1:6" x14ac:dyDescent="0.2">
      <c r="A452" s="275"/>
      <c r="B452" s="78"/>
      <c r="C452" s="189"/>
      <c r="D452" s="185"/>
      <c r="E452" s="186"/>
      <c r="F452" s="187"/>
    </row>
    <row r="453" spans="1:6" x14ac:dyDescent="0.2">
      <c r="A453" s="275"/>
      <c r="B453" s="78"/>
      <c r="C453" s="189"/>
      <c r="D453" s="185"/>
      <c r="E453" s="186"/>
      <c r="F453" s="187"/>
    </row>
    <row r="454" spans="1:6" x14ac:dyDescent="0.2">
      <c r="A454" s="275"/>
      <c r="B454" s="78"/>
      <c r="C454" s="189"/>
      <c r="D454" s="185"/>
      <c r="E454" s="186"/>
      <c r="F454" s="187"/>
    </row>
    <row r="455" spans="1:6" x14ac:dyDescent="0.2">
      <c r="A455" s="275"/>
      <c r="B455" s="78"/>
      <c r="C455" s="189"/>
      <c r="D455" s="185"/>
      <c r="E455" s="186"/>
      <c r="F455" s="187"/>
    </row>
    <row r="456" spans="1:6" x14ac:dyDescent="0.2">
      <c r="A456" s="275"/>
      <c r="B456" s="78"/>
      <c r="C456" s="189"/>
      <c r="D456" s="185"/>
      <c r="E456" s="186"/>
      <c r="F456" s="187"/>
    </row>
    <row r="457" spans="1:6" x14ac:dyDescent="0.2">
      <c r="A457" s="275"/>
      <c r="B457" s="78"/>
      <c r="C457" s="189"/>
      <c r="D457" s="185"/>
      <c r="E457" s="186"/>
      <c r="F457" s="187"/>
    </row>
    <row r="458" spans="1:6" x14ac:dyDescent="0.2">
      <c r="A458" s="275"/>
      <c r="B458" s="78"/>
      <c r="C458" s="189"/>
      <c r="D458" s="185"/>
      <c r="E458" s="186"/>
      <c r="F458" s="187"/>
    </row>
    <row r="459" spans="1:6" x14ac:dyDescent="0.2">
      <c r="A459" s="275"/>
      <c r="B459" s="78"/>
      <c r="C459" s="189"/>
      <c r="D459" s="185"/>
      <c r="E459" s="186"/>
      <c r="F459" s="187"/>
    </row>
    <row r="460" spans="1:6" x14ac:dyDescent="0.2">
      <c r="A460" s="275"/>
      <c r="B460" s="78"/>
      <c r="C460" s="189"/>
      <c r="D460" s="185"/>
      <c r="E460" s="186"/>
      <c r="F460" s="187"/>
    </row>
    <row r="461" spans="1:6" x14ac:dyDescent="0.2">
      <c r="A461" s="275"/>
      <c r="B461" s="78"/>
      <c r="C461" s="189"/>
      <c r="D461" s="185"/>
      <c r="E461" s="186"/>
      <c r="F461" s="187"/>
    </row>
    <row r="462" spans="1:6" x14ac:dyDescent="0.2">
      <c r="A462" s="275"/>
      <c r="B462" s="78"/>
      <c r="C462" s="189"/>
      <c r="D462" s="185"/>
      <c r="E462" s="186"/>
      <c r="F462" s="187"/>
    </row>
    <row r="463" spans="1:6" x14ac:dyDescent="0.2">
      <c r="A463" s="275"/>
      <c r="B463" s="78"/>
      <c r="C463" s="189"/>
      <c r="D463" s="185"/>
      <c r="E463" s="186"/>
      <c r="F463" s="187"/>
    </row>
    <row r="464" spans="1:6" x14ac:dyDescent="0.2">
      <c r="A464" s="275"/>
      <c r="B464" s="78"/>
      <c r="C464" s="189"/>
      <c r="D464" s="185"/>
      <c r="E464" s="186"/>
      <c r="F464" s="187"/>
    </row>
    <row r="465" spans="1:6" x14ac:dyDescent="0.2">
      <c r="A465" s="275"/>
      <c r="B465" s="78"/>
      <c r="C465" s="189"/>
      <c r="D465" s="185"/>
      <c r="E465" s="186"/>
      <c r="F465" s="187"/>
    </row>
    <row r="466" spans="1:6" x14ac:dyDescent="0.2">
      <c r="A466" s="275"/>
      <c r="B466" s="78"/>
      <c r="C466" s="189"/>
      <c r="D466" s="185"/>
      <c r="E466" s="186"/>
      <c r="F466" s="187"/>
    </row>
    <row r="467" spans="1:6" x14ac:dyDescent="0.2">
      <c r="A467" s="275"/>
      <c r="B467" s="78"/>
      <c r="C467" s="189"/>
      <c r="D467" s="185"/>
      <c r="E467" s="186"/>
      <c r="F467" s="187"/>
    </row>
    <row r="468" spans="1:6" x14ac:dyDescent="0.2">
      <c r="A468" s="275"/>
      <c r="B468" s="78"/>
      <c r="C468" s="189"/>
      <c r="D468" s="185"/>
      <c r="E468" s="186"/>
      <c r="F468" s="187"/>
    </row>
    <row r="469" spans="1:6" x14ac:dyDescent="0.2">
      <c r="A469" s="275"/>
      <c r="B469" s="78"/>
      <c r="C469" s="189"/>
      <c r="D469" s="185"/>
      <c r="E469" s="186"/>
      <c r="F469" s="187"/>
    </row>
    <row r="470" spans="1:6" x14ac:dyDescent="0.2">
      <c r="A470" s="275"/>
      <c r="B470" s="78"/>
      <c r="C470" s="189"/>
      <c r="D470" s="185"/>
      <c r="E470" s="186"/>
      <c r="F470" s="187"/>
    </row>
    <row r="471" spans="1:6" x14ac:dyDescent="0.2">
      <c r="A471" s="275"/>
      <c r="B471" s="78"/>
      <c r="C471" s="189"/>
      <c r="D471" s="185"/>
      <c r="E471" s="186"/>
      <c r="F471" s="187"/>
    </row>
    <row r="472" spans="1:6" x14ac:dyDescent="0.2">
      <c r="A472" s="275"/>
      <c r="B472" s="78"/>
      <c r="C472" s="189"/>
      <c r="D472" s="185"/>
      <c r="E472" s="186"/>
      <c r="F472" s="187"/>
    </row>
    <row r="473" spans="1:6" x14ac:dyDescent="0.2">
      <c r="A473" s="275"/>
      <c r="B473" s="78"/>
      <c r="C473" s="189"/>
      <c r="D473" s="185"/>
      <c r="E473" s="186"/>
      <c r="F473" s="187"/>
    </row>
    <row r="474" spans="1:6" x14ac:dyDescent="0.2">
      <c r="A474" s="275"/>
      <c r="B474" s="78"/>
      <c r="C474" s="189"/>
      <c r="D474" s="185"/>
      <c r="E474" s="186"/>
      <c r="F474" s="187"/>
    </row>
    <row r="475" spans="1:6" x14ac:dyDescent="0.2">
      <c r="A475" s="275"/>
      <c r="B475" s="78"/>
      <c r="C475" s="189"/>
      <c r="D475" s="185"/>
      <c r="E475" s="186"/>
      <c r="F475" s="187"/>
    </row>
    <row r="476" spans="1:6" x14ac:dyDescent="0.2">
      <c r="A476" s="275"/>
      <c r="B476" s="78"/>
      <c r="C476" s="189"/>
      <c r="D476" s="185"/>
      <c r="E476" s="186"/>
      <c r="F476" s="187"/>
    </row>
    <row r="477" spans="1:6" x14ac:dyDescent="0.2">
      <c r="A477" s="275"/>
      <c r="B477" s="78"/>
      <c r="C477" s="189"/>
      <c r="D477" s="185"/>
      <c r="E477" s="186"/>
      <c r="F477" s="187"/>
    </row>
    <row r="478" spans="1:6" x14ac:dyDescent="0.2">
      <c r="A478" s="275"/>
      <c r="B478" s="78"/>
      <c r="C478" s="189"/>
      <c r="D478" s="185"/>
      <c r="E478" s="186"/>
      <c r="F478" s="187"/>
    </row>
    <row r="479" spans="1:6" x14ac:dyDescent="0.2">
      <c r="A479" s="275"/>
      <c r="B479" s="78"/>
      <c r="C479" s="189"/>
      <c r="D479" s="185"/>
      <c r="E479" s="186"/>
      <c r="F479" s="187"/>
    </row>
    <row r="480" spans="1:6" x14ac:dyDescent="0.2">
      <c r="A480" s="275"/>
      <c r="B480" s="78"/>
      <c r="C480" s="189"/>
      <c r="D480" s="185"/>
      <c r="E480" s="186"/>
      <c r="F480" s="187"/>
    </row>
    <row r="481" spans="1:6" x14ac:dyDescent="0.2">
      <c r="A481" s="275"/>
      <c r="B481" s="78"/>
      <c r="C481" s="189"/>
      <c r="D481" s="185"/>
      <c r="E481" s="186"/>
      <c r="F481" s="187"/>
    </row>
    <row r="482" spans="1:6" x14ac:dyDescent="0.2">
      <c r="A482" s="275"/>
      <c r="B482" s="78"/>
      <c r="C482" s="189"/>
      <c r="D482" s="185"/>
      <c r="E482" s="186"/>
      <c r="F482" s="187"/>
    </row>
    <row r="483" spans="1:6" x14ac:dyDescent="0.2">
      <c r="A483" s="275"/>
      <c r="B483" s="78"/>
      <c r="C483" s="189"/>
      <c r="D483" s="185"/>
      <c r="E483" s="186"/>
      <c r="F483" s="187"/>
    </row>
    <row r="484" spans="1:6" x14ac:dyDescent="0.2">
      <c r="A484" s="275"/>
      <c r="B484" s="78"/>
      <c r="C484" s="189"/>
      <c r="D484" s="185"/>
      <c r="E484" s="186"/>
      <c r="F484" s="187"/>
    </row>
    <row r="485" spans="1:6" x14ac:dyDescent="0.2">
      <c r="A485" s="275"/>
      <c r="B485" s="78"/>
      <c r="C485" s="189"/>
      <c r="D485" s="185"/>
      <c r="E485" s="186"/>
      <c r="F485" s="187"/>
    </row>
    <row r="486" spans="1:6" x14ac:dyDescent="0.2">
      <c r="A486" s="275"/>
      <c r="B486" s="78"/>
      <c r="C486" s="189"/>
      <c r="D486" s="185"/>
      <c r="E486" s="186"/>
      <c r="F486" s="187"/>
    </row>
    <row r="487" spans="1:6" x14ac:dyDescent="0.2">
      <c r="A487" s="275"/>
      <c r="B487" s="78"/>
      <c r="C487" s="189"/>
      <c r="D487" s="185"/>
      <c r="E487" s="186"/>
      <c r="F487" s="187"/>
    </row>
    <row r="488" spans="1:6" x14ac:dyDescent="0.2">
      <c r="A488" s="275"/>
      <c r="B488" s="78"/>
      <c r="C488" s="189"/>
      <c r="D488" s="185"/>
      <c r="E488" s="186"/>
      <c r="F488" s="187"/>
    </row>
    <row r="489" spans="1:6" x14ac:dyDescent="0.2">
      <c r="A489" s="275"/>
      <c r="B489" s="78"/>
      <c r="C489" s="189"/>
      <c r="D489" s="185"/>
      <c r="E489" s="186"/>
      <c r="F489" s="187"/>
    </row>
    <row r="490" spans="1:6" x14ac:dyDescent="0.2">
      <c r="A490" s="275"/>
      <c r="B490" s="78"/>
      <c r="C490" s="189"/>
      <c r="D490" s="185"/>
      <c r="E490" s="186"/>
      <c r="F490" s="187"/>
    </row>
    <row r="491" spans="1:6" x14ac:dyDescent="0.2">
      <c r="A491" s="275"/>
      <c r="B491" s="78"/>
      <c r="C491" s="189"/>
      <c r="D491" s="185"/>
      <c r="E491" s="186"/>
      <c r="F491" s="187"/>
    </row>
    <row r="492" spans="1:6" x14ac:dyDescent="0.2">
      <c r="A492" s="275"/>
      <c r="B492" s="78"/>
      <c r="C492" s="189"/>
      <c r="D492" s="185"/>
      <c r="E492" s="186"/>
      <c r="F492" s="187"/>
    </row>
    <row r="493" spans="1:6" x14ac:dyDescent="0.2">
      <c r="A493" s="275"/>
      <c r="B493" s="78"/>
      <c r="C493" s="189"/>
      <c r="D493" s="185"/>
      <c r="E493" s="186"/>
      <c r="F493" s="187"/>
    </row>
    <row r="494" spans="1:6" x14ac:dyDescent="0.2">
      <c r="A494" s="275"/>
      <c r="B494" s="78"/>
      <c r="C494" s="189"/>
      <c r="D494" s="185"/>
      <c r="E494" s="186"/>
      <c r="F494" s="187"/>
    </row>
    <row r="495" spans="1:6" x14ac:dyDescent="0.2">
      <c r="A495" s="275"/>
      <c r="B495" s="78"/>
      <c r="C495" s="189"/>
      <c r="D495" s="185"/>
      <c r="E495" s="186"/>
      <c r="F495" s="187"/>
    </row>
    <row r="496" spans="1:6" x14ac:dyDescent="0.2">
      <c r="A496" s="275"/>
      <c r="B496" s="78"/>
      <c r="C496" s="189"/>
      <c r="D496" s="185"/>
      <c r="E496" s="186"/>
      <c r="F496" s="187"/>
    </row>
    <row r="497" spans="1:6" x14ac:dyDescent="0.2">
      <c r="A497" s="275"/>
      <c r="B497" s="78"/>
      <c r="C497" s="189"/>
      <c r="D497" s="185"/>
      <c r="E497" s="186"/>
      <c r="F497" s="187"/>
    </row>
    <row r="498" spans="1:6" x14ac:dyDescent="0.2">
      <c r="A498" s="275"/>
      <c r="B498" s="78"/>
      <c r="C498" s="189"/>
      <c r="D498" s="185"/>
      <c r="E498" s="186"/>
      <c r="F498" s="187"/>
    </row>
    <row r="499" spans="1:6" x14ac:dyDescent="0.2">
      <c r="A499" s="275"/>
      <c r="B499" s="78"/>
      <c r="C499" s="189"/>
      <c r="D499" s="185"/>
      <c r="E499" s="186"/>
      <c r="F499" s="187"/>
    </row>
    <row r="500" spans="1:6" x14ac:dyDescent="0.2">
      <c r="A500" s="275"/>
      <c r="B500" s="78"/>
      <c r="C500" s="189"/>
      <c r="D500" s="185"/>
      <c r="E500" s="186"/>
      <c r="F500" s="187"/>
    </row>
    <row r="501" spans="1:6" x14ac:dyDescent="0.2">
      <c r="A501" s="275"/>
      <c r="B501" s="78"/>
      <c r="C501" s="189"/>
      <c r="D501" s="185"/>
      <c r="E501" s="186"/>
      <c r="F501" s="187"/>
    </row>
    <row r="502" spans="1:6" x14ac:dyDescent="0.2">
      <c r="A502" s="275"/>
      <c r="B502" s="78"/>
      <c r="C502" s="189"/>
      <c r="D502" s="185"/>
      <c r="E502" s="186"/>
      <c r="F502" s="187"/>
    </row>
    <row r="503" spans="1:6" x14ac:dyDescent="0.2">
      <c r="A503" s="275"/>
      <c r="B503" s="78"/>
      <c r="C503" s="189"/>
      <c r="D503" s="185"/>
      <c r="E503" s="186"/>
      <c r="F503" s="187"/>
    </row>
    <row r="504" spans="1:6" x14ac:dyDescent="0.2">
      <c r="A504" s="275"/>
      <c r="B504" s="78"/>
      <c r="C504" s="189"/>
      <c r="D504" s="185"/>
      <c r="E504" s="186"/>
      <c r="F504" s="187"/>
    </row>
    <row r="505" spans="1:6" x14ac:dyDescent="0.2">
      <c r="A505" s="275"/>
      <c r="B505" s="78"/>
      <c r="C505" s="189"/>
      <c r="D505" s="185"/>
      <c r="E505" s="186"/>
      <c r="F505" s="187"/>
    </row>
    <row r="506" spans="1:6" x14ac:dyDescent="0.2">
      <c r="A506" s="275"/>
      <c r="B506" s="78"/>
      <c r="C506" s="189"/>
      <c r="D506" s="185"/>
      <c r="E506" s="186"/>
      <c r="F506" s="187"/>
    </row>
    <row r="507" spans="1:6" x14ac:dyDescent="0.2">
      <c r="A507" s="275"/>
      <c r="B507" s="78"/>
      <c r="C507" s="189"/>
      <c r="D507" s="185"/>
      <c r="E507" s="186"/>
      <c r="F507" s="187"/>
    </row>
    <row r="508" spans="1:6" x14ac:dyDescent="0.2">
      <c r="A508" s="275"/>
      <c r="B508" s="78"/>
      <c r="C508" s="189"/>
      <c r="D508" s="185"/>
      <c r="E508" s="186"/>
      <c r="F508" s="187"/>
    </row>
    <row r="509" spans="1:6" x14ac:dyDescent="0.2">
      <c r="A509" s="275"/>
      <c r="B509" s="78"/>
      <c r="C509" s="189"/>
      <c r="D509" s="185"/>
      <c r="E509" s="186"/>
      <c r="F509" s="187"/>
    </row>
    <row r="510" spans="1:6" x14ac:dyDescent="0.2">
      <c r="A510" s="275"/>
      <c r="B510" s="78"/>
      <c r="C510" s="189"/>
      <c r="D510" s="185"/>
      <c r="E510" s="186"/>
      <c r="F510" s="187"/>
    </row>
    <row r="511" spans="1:6" x14ac:dyDescent="0.2">
      <c r="A511" s="275"/>
      <c r="B511" s="78"/>
      <c r="C511" s="189"/>
      <c r="D511" s="185"/>
      <c r="E511" s="186"/>
      <c r="F511" s="187"/>
    </row>
    <row r="512" spans="1:6" x14ac:dyDescent="0.2">
      <c r="A512" s="275"/>
      <c r="B512" s="78"/>
      <c r="C512" s="189"/>
      <c r="D512" s="185"/>
      <c r="E512" s="186"/>
      <c r="F512" s="187"/>
    </row>
    <row r="513" spans="1:6" x14ac:dyDescent="0.2">
      <c r="A513" s="275"/>
      <c r="B513" s="78"/>
      <c r="C513" s="189"/>
      <c r="D513" s="185"/>
      <c r="E513" s="186"/>
      <c r="F513" s="187"/>
    </row>
    <row r="514" spans="1:6" x14ac:dyDescent="0.2">
      <c r="A514" s="275"/>
      <c r="B514" s="78"/>
      <c r="C514" s="189"/>
      <c r="D514" s="185"/>
      <c r="E514" s="186"/>
      <c r="F514" s="187"/>
    </row>
    <row r="515" spans="1:6" x14ac:dyDescent="0.2">
      <c r="A515" s="275"/>
      <c r="B515" s="78"/>
      <c r="C515" s="189"/>
      <c r="D515" s="185"/>
      <c r="E515" s="186"/>
      <c r="F515" s="187"/>
    </row>
    <row r="516" spans="1:6" x14ac:dyDescent="0.2">
      <c r="A516" s="275"/>
      <c r="B516" s="78"/>
      <c r="C516" s="189"/>
      <c r="D516" s="185"/>
      <c r="E516" s="186"/>
      <c r="F516" s="187"/>
    </row>
    <row r="517" spans="1:6" x14ac:dyDescent="0.2">
      <c r="A517" s="275"/>
      <c r="B517" s="78"/>
      <c r="C517" s="189"/>
      <c r="D517" s="185"/>
      <c r="E517" s="186"/>
      <c r="F517" s="187"/>
    </row>
    <row r="518" spans="1:6" x14ac:dyDescent="0.2">
      <c r="A518" s="275"/>
      <c r="B518" s="78"/>
      <c r="C518" s="189"/>
      <c r="D518" s="185"/>
      <c r="E518" s="186"/>
      <c r="F518" s="187"/>
    </row>
    <row r="519" spans="1:6" x14ac:dyDescent="0.2">
      <c r="A519" s="275"/>
      <c r="B519" s="78"/>
      <c r="C519" s="189"/>
      <c r="D519" s="185"/>
      <c r="E519" s="186"/>
      <c r="F519" s="187"/>
    </row>
    <row r="520" spans="1:6" x14ac:dyDescent="0.2">
      <c r="A520" s="275"/>
      <c r="B520" s="78"/>
      <c r="C520" s="189"/>
      <c r="D520" s="185"/>
      <c r="E520" s="186"/>
      <c r="F520" s="187"/>
    </row>
    <row r="521" spans="1:6" x14ac:dyDescent="0.2">
      <c r="A521" s="275"/>
      <c r="B521" s="78"/>
      <c r="C521" s="189"/>
      <c r="D521" s="185"/>
      <c r="E521" s="186"/>
      <c r="F521" s="187"/>
    </row>
    <row r="522" spans="1:6" x14ac:dyDescent="0.2">
      <c r="A522" s="275"/>
      <c r="B522" s="78"/>
      <c r="C522" s="189"/>
      <c r="D522" s="185"/>
      <c r="E522" s="186"/>
      <c r="F522" s="187"/>
    </row>
    <row r="523" spans="1:6" x14ac:dyDescent="0.2">
      <c r="A523" s="275"/>
      <c r="B523" s="78"/>
      <c r="C523" s="189"/>
      <c r="D523" s="185"/>
      <c r="E523" s="186"/>
      <c r="F523" s="187"/>
    </row>
    <row r="524" spans="1:6" x14ac:dyDescent="0.2">
      <c r="A524" s="275"/>
      <c r="B524" s="78"/>
      <c r="C524" s="189"/>
      <c r="D524" s="185"/>
      <c r="E524" s="186"/>
      <c r="F524" s="187"/>
    </row>
    <row r="525" spans="1:6" x14ac:dyDescent="0.2">
      <c r="A525" s="275"/>
      <c r="B525" s="78"/>
      <c r="C525" s="189"/>
      <c r="D525" s="185"/>
      <c r="E525" s="186"/>
      <c r="F525" s="187"/>
    </row>
    <row r="526" spans="1:6" x14ac:dyDescent="0.2">
      <c r="A526" s="275"/>
      <c r="B526" s="78"/>
      <c r="C526" s="189"/>
      <c r="D526" s="185"/>
      <c r="E526" s="186"/>
      <c r="F526" s="187"/>
    </row>
    <row r="527" spans="1:6" x14ac:dyDescent="0.2">
      <c r="A527" s="275"/>
      <c r="B527" s="78"/>
      <c r="C527" s="189"/>
      <c r="D527" s="185"/>
      <c r="E527" s="186"/>
      <c r="F527" s="187"/>
    </row>
    <row r="528" spans="1:6" x14ac:dyDescent="0.2">
      <c r="A528" s="275"/>
      <c r="B528" s="78"/>
      <c r="C528" s="189"/>
      <c r="D528" s="185"/>
      <c r="E528" s="186"/>
      <c r="F528" s="187"/>
    </row>
    <row r="529" spans="1:6" x14ac:dyDescent="0.2">
      <c r="A529" s="275"/>
      <c r="B529" s="78"/>
      <c r="C529" s="189"/>
      <c r="D529" s="185"/>
      <c r="E529" s="186"/>
      <c r="F529" s="187"/>
    </row>
    <row r="530" spans="1:6" x14ac:dyDescent="0.2">
      <c r="A530" s="275"/>
      <c r="B530" s="78"/>
      <c r="C530" s="189"/>
      <c r="D530" s="185"/>
      <c r="E530" s="186"/>
      <c r="F530" s="187"/>
    </row>
    <row r="531" spans="1:6" x14ac:dyDescent="0.2">
      <c r="A531" s="275"/>
      <c r="B531" s="78"/>
      <c r="C531" s="189"/>
      <c r="D531" s="185"/>
      <c r="E531" s="186"/>
      <c r="F531" s="187"/>
    </row>
    <row r="532" spans="1:6" x14ac:dyDescent="0.2">
      <c r="A532" s="275"/>
      <c r="B532" s="78"/>
      <c r="C532" s="189"/>
      <c r="D532" s="185"/>
      <c r="E532" s="186"/>
      <c r="F532" s="187"/>
    </row>
    <row r="533" spans="1:6" x14ac:dyDescent="0.2">
      <c r="A533" s="275"/>
      <c r="B533" s="78"/>
      <c r="C533" s="189"/>
      <c r="D533" s="185"/>
      <c r="E533" s="186"/>
      <c r="F533" s="187"/>
    </row>
    <row r="534" spans="1:6" x14ac:dyDescent="0.2">
      <c r="A534" s="275"/>
      <c r="B534" s="78"/>
      <c r="C534" s="189"/>
      <c r="D534" s="185"/>
      <c r="E534" s="186"/>
      <c r="F534" s="187"/>
    </row>
    <row r="535" spans="1:6" x14ac:dyDescent="0.2">
      <c r="A535" s="275"/>
      <c r="B535" s="78"/>
      <c r="C535" s="189"/>
      <c r="D535" s="185"/>
      <c r="E535" s="186"/>
      <c r="F535" s="187"/>
    </row>
    <row r="536" spans="1:6" x14ac:dyDescent="0.2">
      <c r="A536" s="275"/>
      <c r="B536" s="78"/>
      <c r="C536" s="189"/>
      <c r="D536" s="185"/>
      <c r="E536" s="186"/>
      <c r="F536" s="187"/>
    </row>
    <row r="537" spans="1:6" x14ac:dyDescent="0.2">
      <c r="A537" s="275"/>
      <c r="B537" s="78"/>
      <c r="C537" s="189"/>
      <c r="D537" s="185"/>
      <c r="E537" s="186"/>
      <c r="F537" s="187"/>
    </row>
    <row r="538" spans="1:6" x14ac:dyDescent="0.2">
      <c r="A538" s="275"/>
      <c r="B538" s="78"/>
      <c r="C538" s="189"/>
      <c r="D538" s="185"/>
      <c r="E538" s="186"/>
      <c r="F538" s="187"/>
    </row>
    <row r="539" spans="1:6" x14ac:dyDescent="0.2">
      <c r="A539" s="275"/>
      <c r="B539" s="78"/>
      <c r="C539" s="189"/>
      <c r="D539" s="185"/>
      <c r="E539" s="186"/>
      <c r="F539" s="187"/>
    </row>
    <row r="540" spans="1:6" x14ac:dyDescent="0.2">
      <c r="A540" s="275"/>
      <c r="B540" s="78"/>
      <c r="C540" s="189"/>
      <c r="D540" s="185"/>
      <c r="E540" s="186"/>
      <c r="F540" s="187"/>
    </row>
    <row r="541" spans="1:6" x14ac:dyDescent="0.2">
      <c r="A541" s="275"/>
      <c r="B541" s="78"/>
      <c r="C541" s="189"/>
      <c r="D541" s="185"/>
      <c r="E541" s="186"/>
      <c r="F541" s="187"/>
    </row>
    <row r="542" spans="1:6" x14ac:dyDescent="0.2">
      <c r="A542" s="275"/>
      <c r="B542" s="78"/>
      <c r="C542" s="189"/>
      <c r="D542" s="185"/>
      <c r="E542" s="186"/>
      <c r="F542" s="187"/>
    </row>
    <row r="543" spans="1:6" x14ac:dyDescent="0.2">
      <c r="A543" s="275"/>
      <c r="B543" s="78"/>
      <c r="C543" s="189"/>
      <c r="D543" s="185"/>
      <c r="E543" s="186"/>
      <c r="F543" s="187"/>
    </row>
    <row r="544" spans="1:6" x14ac:dyDescent="0.2">
      <c r="A544" s="275"/>
      <c r="B544" s="78"/>
      <c r="C544" s="189"/>
      <c r="D544" s="185"/>
      <c r="E544" s="186"/>
      <c r="F544" s="187"/>
    </row>
    <row r="545" spans="1:6" x14ac:dyDescent="0.2">
      <c r="A545" s="275"/>
      <c r="B545" s="78"/>
      <c r="C545" s="189"/>
      <c r="D545" s="185"/>
      <c r="E545" s="186"/>
      <c r="F545" s="187"/>
    </row>
    <row r="546" spans="1:6" x14ac:dyDescent="0.2">
      <c r="A546" s="275"/>
      <c r="B546" s="78"/>
      <c r="C546" s="189"/>
      <c r="D546" s="185"/>
      <c r="E546" s="186"/>
      <c r="F546" s="187"/>
    </row>
    <row r="547" spans="1:6" x14ac:dyDescent="0.2">
      <c r="A547" s="275"/>
      <c r="B547" s="78"/>
      <c r="C547" s="189"/>
      <c r="D547" s="185"/>
      <c r="E547" s="186"/>
      <c r="F547" s="187"/>
    </row>
    <row r="548" spans="1:6" x14ac:dyDescent="0.2">
      <c r="A548" s="275"/>
      <c r="B548" s="78"/>
      <c r="C548" s="189"/>
      <c r="D548" s="185"/>
      <c r="E548" s="186"/>
      <c r="F548" s="187"/>
    </row>
    <row r="549" spans="1:6" x14ac:dyDescent="0.2">
      <c r="A549" s="275"/>
      <c r="B549" s="78"/>
      <c r="C549" s="189"/>
      <c r="D549" s="185"/>
      <c r="E549" s="186"/>
      <c r="F549" s="187"/>
    </row>
    <row r="550" spans="1:6" x14ac:dyDescent="0.2">
      <c r="A550" s="275"/>
      <c r="B550" s="78"/>
      <c r="C550" s="189"/>
      <c r="D550" s="185"/>
      <c r="E550" s="186"/>
      <c r="F550" s="187"/>
    </row>
    <row r="551" spans="1:6" x14ac:dyDescent="0.2">
      <c r="A551" s="275"/>
      <c r="B551" s="78"/>
      <c r="C551" s="189"/>
      <c r="D551" s="185"/>
      <c r="E551" s="186"/>
      <c r="F551" s="187"/>
    </row>
    <row r="552" spans="1:6" x14ac:dyDescent="0.2">
      <c r="A552" s="275"/>
      <c r="B552" s="78"/>
      <c r="C552" s="189"/>
      <c r="D552" s="185"/>
      <c r="E552" s="186"/>
      <c r="F552" s="187"/>
    </row>
    <row r="553" spans="1:6" x14ac:dyDescent="0.2">
      <c r="A553" s="275"/>
      <c r="B553" s="78"/>
      <c r="C553" s="189"/>
      <c r="D553" s="185"/>
      <c r="E553" s="186"/>
      <c r="F553" s="187"/>
    </row>
    <row r="554" spans="1:6" x14ac:dyDescent="0.2">
      <c r="A554" s="275"/>
      <c r="B554" s="78"/>
      <c r="C554" s="189"/>
      <c r="D554" s="185"/>
      <c r="E554" s="186"/>
      <c r="F554" s="187"/>
    </row>
    <row r="555" spans="1:6" x14ac:dyDescent="0.2">
      <c r="A555" s="275"/>
      <c r="B555" s="78"/>
      <c r="C555" s="189"/>
      <c r="D555" s="185"/>
      <c r="E555" s="186"/>
      <c r="F555" s="187"/>
    </row>
    <row r="556" spans="1:6" x14ac:dyDescent="0.2">
      <c r="A556" s="275"/>
      <c r="B556" s="78"/>
      <c r="C556" s="189"/>
      <c r="D556" s="185"/>
      <c r="E556" s="186"/>
      <c r="F556" s="187"/>
    </row>
    <row r="557" spans="1:6" x14ac:dyDescent="0.2">
      <c r="A557" s="275"/>
      <c r="B557" s="78"/>
      <c r="C557" s="189"/>
      <c r="D557" s="185"/>
      <c r="E557" s="186"/>
      <c r="F557" s="187"/>
    </row>
    <row r="558" spans="1:6" x14ac:dyDescent="0.2">
      <c r="A558" s="275"/>
      <c r="B558" s="78"/>
      <c r="C558" s="189"/>
      <c r="D558" s="185"/>
      <c r="E558" s="186"/>
      <c r="F558" s="187"/>
    </row>
    <row r="559" spans="1:6" x14ac:dyDescent="0.2">
      <c r="A559" s="275"/>
      <c r="B559" s="78"/>
      <c r="C559" s="189"/>
      <c r="D559" s="185"/>
      <c r="E559" s="186"/>
      <c r="F559" s="187"/>
    </row>
    <row r="560" spans="1:6" x14ac:dyDescent="0.2">
      <c r="A560" s="275"/>
      <c r="B560" s="78"/>
      <c r="C560" s="189"/>
      <c r="D560" s="185"/>
      <c r="E560" s="186"/>
      <c r="F560" s="187"/>
    </row>
    <row r="561" spans="1:6" x14ac:dyDescent="0.2">
      <c r="A561" s="275"/>
      <c r="B561" s="78"/>
      <c r="C561" s="189"/>
      <c r="D561" s="185"/>
      <c r="E561" s="186"/>
      <c r="F561" s="187"/>
    </row>
    <row r="562" spans="1:6" x14ac:dyDescent="0.2">
      <c r="A562" s="275"/>
      <c r="B562" s="78"/>
      <c r="C562" s="189"/>
      <c r="D562" s="185"/>
      <c r="E562" s="186"/>
      <c r="F562" s="187"/>
    </row>
    <row r="563" spans="1:6" x14ac:dyDescent="0.2">
      <c r="A563" s="275"/>
      <c r="B563" s="78"/>
      <c r="C563" s="189"/>
      <c r="D563" s="185"/>
      <c r="E563" s="186"/>
      <c r="F563" s="187"/>
    </row>
    <row r="564" spans="1:6" x14ac:dyDescent="0.2">
      <c r="A564" s="275"/>
      <c r="B564" s="78"/>
      <c r="C564" s="189"/>
      <c r="D564" s="185"/>
      <c r="E564" s="186"/>
      <c r="F564" s="187"/>
    </row>
    <row r="565" spans="1:6" x14ac:dyDescent="0.2">
      <c r="A565" s="275"/>
      <c r="B565" s="78"/>
      <c r="C565" s="189"/>
      <c r="D565" s="185"/>
      <c r="E565" s="186"/>
      <c r="F565" s="187"/>
    </row>
    <row r="566" spans="1:6" x14ac:dyDescent="0.2">
      <c r="A566" s="275"/>
      <c r="B566" s="78"/>
      <c r="C566" s="189"/>
      <c r="D566" s="185"/>
      <c r="E566" s="186"/>
      <c r="F566" s="187"/>
    </row>
    <row r="567" spans="1:6" x14ac:dyDescent="0.2">
      <c r="A567" s="275"/>
      <c r="B567" s="78"/>
      <c r="C567" s="189"/>
      <c r="D567" s="185"/>
      <c r="E567" s="186"/>
      <c r="F567" s="187"/>
    </row>
    <row r="568" spans="1:6" x14ac:dyDescent="0.2">
      <c r="A568" s="275"/>
      <c r="B568" s="78"/>
      <c r="C568" s="189"/>
      <c r="D568" s="185"/>
      <c r="E568" s="186"/>
      <c r="F568" s="187"/>
    </row>
    <row r="569" spans="1:6" x14ac:dyDescent="0.2">
      <c r="A569" s="275"/>
      <c r="B569" s="78"/>
      <c r="C569" s="189"/>
      <c r="D569" s="185"/>
      <c r="E569" s="186"/>
      <c r="F569" s="187"/>
    </row>
    <row r="570" spans="1:6" x14ac:dyDescent="0.2">
      <c r="A570" s="275"/>
      <c r="B570" s="78"/>
      <c r="C570" s="189"/>
      <c r="D570" s="185"/>
      <c r="E570" s="186"/>
      <c r="F570" s="187"/>
    </row>
    <row r="571" spans="1:6" x14ac:dyDescent="0.2">
      <c r="A571" s="275"/>
      <c r="B571" s="78"/>
      <c r="C571" s="189"/>
      <c r="D571" s="185"/>
      <c r="E571" s="186"/>
      <c r="F571" s="187"/>
    </row>
    <row r="572" spans="1:6" x14ac:dyDescent="0.2">
      <c r="A572" s="275"/>
      <c r="B572" s="78"/>
      <c r="C572" s="189"/>
      <c r="D572" s="185"/>
      <c r="E572" s="186"/>
      <c r="F572" s="187"/>
    </row>
    <row r="573" spans="1:6" x14ac:dyDescent="0.2">
      <c r="A573" s="275"/>
      <c r="B573" s="78"/>
      <c r="C573" s="189"/>
      <c r="D573" s="185"/>
      <c r="E573" s="186"/>
      <c r="F573" s="187"/>
    </row>
    <row r="574" spans="1:6" x14ac:dyDescent="0.2">
      <c r="A574" s="275"/>
      <c r="B574" s="78"/>
      <c r="C574" s="189"/>
      <c r="D574" s="185"/>
      <c r="E574" s="186"/>
      <c r="F574" s="187"/>
    </row>
    <row r="575" spans="1:6" x14ac:dyDescent="0.2">
      <c r="A575" s="275"/>
      <c r="B575" s="78"/>
      <c r="C575" s="189"/>
      <c r="D575" s="185"/>
      <c r="E575" s="186"/>
      <c r="F575" s="187"/>
    </row>
    <row r="576" spans="1:6" x14ac:dyDescent="0.2">
      <c r="A576" s="275"/>
      <c r="B576" s="78"/>
      <c r="C576" s="189"/>
      <c r="D576" s="185"/>
      <c r="E576" s="186"/>
      <c r="F576" s="187"/>
    </row>
    <row r="577" spans="1:6" x14ac:dyDescent="0.2">
      <c r="A577" s="275"/>
      <c r="B577" s="78"/>
      <c r="C577" s="189"/>
      <c r="D577" s="185"/>
      <c r="E577" s="186"/>
      <c r="F577" s="187"/>
    </row>
    <row r="578" spans="1:6" x14ac:dyDescent="0.2">
      <c r="A578" s="275"/>
      <c r="B578" s="78"/>
      <c r="C578" s="189"/>
      <c r="D578" s="185"/>
      <c r="E578" s="186"/>
      <c r="F578" s="187"/>
    </row>
    <row r="579" spans="1:6" x14ac:dyDescent="0.2">
      <c r="A579" s="275"/>
      <c r="B579" s="78"/>
      <c r="C579" s="189"/>
      <c r="D579" s="185"/>
      <c r="E579" s="186"/>
      <c r="F579" s="187"/>
    </row>
    <row r="580" spans="1:6" x14ac:dyDescent="0.2">
      <c r="A580" s="275"/>
      <c r="B580" s="78"/>
      <c r="C580" s="189"/>
      <c r="D580" s="185"/>
      <c r="E580" s="186"/>
      <c r="F580" s="187"/>
    </row>
    <row r="581" spans="1:6" x14ac:dyDescent="0.2">
      <c r="A581" s="275"/>
      <c r="B581" s="78"/>
      <c r="C581" s="189"/>
      <c r="D581" s="185"/>
      <c r="E581" s="186"/>
      <c r="F581" s="187"/>
    </row>
    <row r="582" spans="1:6" x14ac:dyDescent="0.2">
      <c r="A582" s="275"/>
      <c r="B582" s="78"/>
      <c r="C582" s="189"/>
      <c r="D582" s="185"/>
      <c r="E582" s="186"/>
      <c r="F582" s="187"/>
    </row>
    <row r="583" spans="1:6" x14ac:dyDescent="0.2">
      <c r="A583" s="275"/>
      <c r="B583" s="78"/>
      <c r="C583" s="189"/>
      <c r="D583" s="185"/>
      <c r="E583" s="186"/>
      <c r="F583" s="187"/>
    </row>
    <row r="584" spans="1:6" x14ac:dyDescent="0.2">
      <c r="A584" s="275"/>
      <c r="B584" s="78"/>
      <c r="C584" s="189"/>
      <c r="D584" s="185"/>
      <c r="E584" s="186"/>
      <c r="F584" s="187"/>
    </row>
    <row r="585" spans="1:6" x14ac:dyDescent="0.2">
      <c r="A585" s="275"/>
      <c r="B585" s="78"/>
      <c r="C585" s="189"/>
      <c r="D585" s="185"/>
      <c r="E585" s="186"/>
      <c r="F585" s="187"/>
    </row>
    <row r="586" spans="1:6" x14ac:dyDescent="0.2">
      <c r="A586" s="275"/>
      <c r="B586" s="78"/>
      <c r="C586" s="189"/>
      <c r="D586" s="185"/>
      <c r="E586" s="186"/>
      <c r="F586" s="187"/>
    </row>
    <row r="587" spans="1:6" x14ac:dyDescent="0.2">
      <c r="A587" s="275"/>
      <c r="B587" s="78"/>
      <c r="C587" s="189"/>
      <c r="D587" s="185"/>
      <c r="E587" s="186"/>
      <c r="F587" s="187"/>
    </row>
    <row r="588" spans="1:6" x14ac:dyDescent="0.2">
      <c r="A588" s="275"/>
      <c r="B588" s="78"/>
      <c r="C588" s="189"/>
      <c r="D588" s="185"/>
      <c r="E588" s="186"/>
      <c r="F588" s="187"/>
    </row>
    <row r="589" spans="1:6" x14ac:dyDescent="0.2">
      <c r="A589" s="275"/>
      <c r="B589" s="78"/>
      <c r="C589" s="189"/>
      <c r="D589" s="185"/>
      <c r="E589" s="186"/>
      <c r="F589" s="187"/>
    </row>
    <row r="590" spans="1:6" x14ac:dyDescent="0.2">
      <c r="A590" s="275"/>
      <c r="B590" s="78"/>
      <c r="C590" s="189"/>
      <c r="D590" s="185"/>
      <c r="E590" s="186"/>
      <c r="F590" s="187"/>
    </row>
    <row r="591" spans="1:6" x14ac:dyDescent="0.2">
      <c r="A591" s="275"/>
      <c r="B591" s="78"/>
      <c r="C591" s="189"/>
      <c r="D591" s="185"/>
      <c r="E591" s="186"/>
      <c r="F591" s="187"/>
    </row>
    <row r="592" spans="1:6" x14ac:dyDescent="0.2">
      <c r="A592" s="275"/>
      <c r="B592" s="78"/>
      <c r="C592" s="189"/>
      <c r="D592" s="185"/>
      <c r="E592" s="186"/>
      <c r="F592" s="187"/>
    </row>
    <row r="593" spans="1:6" x14ac:dyDescent="0.2">
      <c r="A593" s="275"/>
      <c r="B593" s="78"/>
      <c r="C593" s="189"/>
      <c r="D593" s="185"/>
      <c r="E593" s="186"/>
      <c r="F593" s="187"/>
    </row>
    <row r="594" spans="1:6" x14ac:dyDescent="0.2">
      <c r="A594" s="275"/>
      <c r="B594" s="78"/>
      <c r="C594" s="189"/>
      <c r="D594" s="185"/>
      <c r="E594" s="186"/>
      <c r="F594" s="187"/>
    </row>
    <row r="595" spans="1:6" x14ac:dyDescent="0.2">
      <c r="A595" s="275"/>
      <c r="B595" s="78"/>
      <c r="C595" s="189"/>
      <c r="D595" s="185"/>
      <c r="E595" s="186"/>
      <c r="F595" s="187"/>
    </row>
    <row r="596" spans="1:6" x14ac:dyDescent="0.2">
      <c r="A596" s="275"/>
      <c r="B596" s="78"/>
      <c r="C596" s="189"/>
      <c r="D596" s="185"/>
      <c r="E596" s="186"/>
      <c r="F596" s="187"/>
    </row>
    <row r="597" spans="1:6" x14ac:dyDescent="0.2">
      <c r="A597" s="275"/>
      <c r="B597" s="78"/>
      <c r="C597" s="189"/>
      <c r="D597" s="185"/>
      <c r="E597" s="186"/>
      <c r="F597" s="187"/>
    </row>
    <row r="598" spans="1:6" x14ac:dyDescent="0.2">
      <c r="A598" s="275"/>
      <c r="B598" s="78"/>
      <c r="C598" s="189"/>
      <c r="D598" s="185"/>
      <c r="E598" s="186"/>
      <c r="F598" s="187"/>
    </row>
    <row r="599" spans="1:6" x14ac:dyDescent="0.2">
      <c r="A599" s="275"/>
      <c r="B599" s="78"/>
      <c r="C599" s="189"/>
      <c r="D599" s="185"/>
      <c r="E599" s="186"/>
      <c r="F599" s="187"/>
    </row>
    <row r="600" spans="1:6" x14ac:dyDescent="0.2">
      <c r="A600" s="275"/>
      <c r="B600" s="78"/>
      <c r="C600" s="189"/>
      <c r="D600" s="185"/>
      <c r="E600" s="186"/>
      <c r="F600" s="187"/>
    </row>
    <row r="601" spans="1:6" x14ac:dyDescent="0.2">
      <c r="A601" s="275"/>
      <c r="B601" s="78"/>
      <c r="C601" s="189"/>
      <c r="D601" s="185"/>
      <c r="E601" s="186"/>
      <c r="F601" s="187"/>
    </row>
    <row r="602" spans="1:6" x14ac:dyDescent="0.2">
      <c r="A602" s="275"/>
      <c r="B602" s="78"/>
      <c r="C602" s="189"/>
      <c r="D602" s="185"/>
      <c r="E602" s="186"/>
      <c r="F602" s="187"/>
    </row>
    <row r="603" spans="1:6" x14ac:dyDescent="0.2">
      <c r="A603" s="275"/>
      <c r="B603" s="78"/>
      <c r="C603" s="189"/>
      <c r="D603" s="185"/>
      <c r="E603" s="186"/>
      <c r="F603" s="187"/>
    </row>
    <row r="604" spans="1:6" x14ac:dyDescent="0.2">
      <c r="A604" s="275"/>
      <c r="B604" s="78"/>
      <c r="C604" s="189"/>
      <c r="D604" s="185"/>
      <c r="E604" s="186"/>
      <c r="F604" s="187"/>
    </row>
    <row r="605" spans="1:6" x14ac:dyDescent="0.2">
      <c r="A605" s="275"/>
      <c r="B605" s="78"/>
      <c r="C605" s="189"/>
      <c r="D605" s="185"/>
      <c r="E605" s="186"/>
      <c r="F605" s="187"/>
    </row>
    <row r="606" spans="1:6" x14ac:dyDescent="0.2">
      <c r="A606" s="275"/>
      <c r="B606" s="78"/>
      <c r="C606" s="189"/>
      <c r="D606" s="185"/>
      <c r="E606" s="186"/>
      <c r="F606" s="187"/>
    </row>
    <row r="607" spans="1:6" x14ac:dyDescent="0.2">
      <c r="A607" s="275"/>
      <c r="B607" s="78"/>
      <c r="C607" s="189"/>
      <c r="D607" s="185"/>
      <c r="E607" s="186"/>
      <c r="F607" s="187"/>
    </row>
    <row r="608" spans="1:6" x14ac:dyDescent="0.2">
      <c r="A608" s="275"/>
      <c r="B608" s="78"/>
      <c r="C608" s="189"/>
      <c r="D608" s="185"/>
      <c r="E608" s="186"/>
      <c r="F608" s="187"/>
    </row>
    <row r="609" spans="1:6" x14ac:dyDescent="0.2">
      <c r="A609" s="275"/>
      <c r="B609" s="78"/>
      <c r="C609" s="189"/>
      <c r="D609" s="185"/>
      <c r="E609" s="186"/>
      <c r="F609" s="187"/>
    </row>
    <row r="610" spans="1:6" x14ac:dyDescent="0.2">
      <c r="A610" s="275"/>
      <c r="B610" s="78"/>
      <c r="C610" s="189"/>
      <c r="D610" s="185"/>
      <c r="E610" s="186"/>
      <c r="F610" s="187"/>
    </row>
    <row r="611" spans="1:6" x14ac:dyDescent="0.2">
      <c r="A611" s="275"/>
      <c r="B611" s="78"/>
      <c r="C611" s="189"/>
      <c r="D611" s="185"/>
      <c r="E611" s="186"/>
      <c r="F611" s="187"/>
    </row>
    <row r="612" spans="1:6" x14ac:dyDescent="0.2">
      <c r="A612" s="275"/>
      <c r="B612" s="78"/>
      <c r="C612" s="189"/>
      <c r="D612" s="185"/>
      <c r="E612" s="186"/>
      <c r="F612" s="187"/>
    </row>
    <row r="613" spans="1:6" x14ac:dyDescent="0.2">
      <c r="A613" s="275"/>
      <c r="B613" s="78"/>
      <c r="C613" s="189"/>
      <c r="D613" s="185"/>
      <c r="E613" s="186"/>
      <c r="F613" s="187"/>
    </row>
    <row r="614" spans="1:6" x14ac:dyDescent="0.2">
      <c r="A614" s="275"/>
      <c r="B614" s="78"/>
      <c r="C614" s="189"/>
      <c r="D614" s="185"/>
      <c r="E614" s="186"/>
      <c r="F614" s="187"/>
    </row>
    <row r="615" spans="1:6" x14ac:dyDescent="0.2">
      <c r="A615" s="275"/>
      <c r="B615" s="78"/>
      <c r="C615" s="189"/>
      <c r="D615" s="185"/>
      <c r="E615" s="186"/>
      <c r="F615" s="187"/>
    </row>
    <row r="616" spans="1:6" x14ac:dyDescent="0.2">
      <c r="A616" s="275"/>
      <c r="B616" s="78"/>
      <c r="C616" s="189"/>
      <c r="D616" s="185"/>
      <c r="E616" s="186"/>
      <c r="F616" s="187"/>
    </row>
    <row r="617" spans="1:6" x14ac:dyDescent="0.2">
      <c r="A617" s="275"/>
      <c r="B617" s="78"/>
      <c r="C617" s="189"/>
      <c r="D617" s="185"/>
      <c r="E617" s="186"/>
      <c r="F617" s="187"/>
    </row>
    <row r="618" spans="1:6" x14ac:dyDescent="0.2">
      <c r="A618" s="275"/>
      <c r="B618" s="78"/>
      <c r="C618" s="189"/>
      <c r="D618" s="185"/>
      <c r="E618" s="186"/>
      <c r="F618" s="187"/>
    </row>
    <row r="619" spans="1:6" x14ac:dyDescent="0.2">
      <c r="A619" s="275"/>
      <c r="B619" s="78"/>
      <c r="C619" s="189"/>
      <c r="D619" s="185"/>
      <c r="E619" s="186"/>
      <c r="F619" s="187"/>
    </row>
    <row r="620" spans="1:6" x14ac:dyDescent="0.2">
      <c r="A620" s="275"/>
      <c r="B620" s="78"/>
      <c r="C620" s="189"/>
      <c r="D620" s="185"/>
      <c r="E620" s="186"/>
      <c r="F620" s="187"/>
    </row>
    <row r="621" spans="1:6" x14ac:dyDescent="0.2">
      <c r="A621" s="275"/>
      <c r="B621" s="78"/>
      <c r="C621" s="189"/>
      <c r="D621" s="185"/>
      <c r="E621" s="186"/>
      <c r="F621" s="187"/>
    </row>
    <row r="622" spans="1:6" x14ac:dyDescent="0.2">
      <c r="A622" s="275"/>
      <c r="B622" s="78"/>
      <c r="C622" s="189"/>
      <c r="D622" s="185"/>
      <c r="E622" s="186"/>
      <c r="F622" s="187"/>
    </row>
    <row r="623" spans="1:6" x14ac:dyDescent="0.2">
      <c r="A623" s="275"/>
      <c r="B623" s="78"/>
      <c r="C623" s="189"/>
      <c r="D623" s="185"/>
      <c r="E623" s="186"/>
      <c r="F623" s="187"/>
    </row>
    <row r="624" spans="1:6" x14ac:dyDescent="0.2">
      <c r="A624" s="275"/>
      <c r="B624" s="78"/>
      <c r="C624" s="189"/>
      <c r="D624" s="185"/>
      <c r="E624" s="186"/>
      <c r="F624" s="187"/>
    </row>
    <row r="625" spans="1:6" x14ac:dyDescent="0.2">
      <c r="A625" s="275"/>
      <c r="B625" s="78"/>
      <c r="C625" s="189"/>
      <c r="D625" s="185"/>
      <c r="E625" s="186"/>
      <c r="F625" s="187"/>
    </row>
    <row r="626" spans="1:6" x14ac:dyDescent="0.2">
      <c r="A626" s="275"/>
      <c r="B626" s="78"/>
      <c r="C626" s="189"/>
      <c r="D626" s="185"/>
      <c r="E626" s="186"/>
      <c r="F626" s="187"/>
    </row>
    <row r="627" spans="1:6" x14ac:dyDescent="0.2">
      <c r="A627" s="275"/>
      <c r="B627" s="78"/>
      <c r="C627" s="189"/>
      <c r="D627" s="185"/>
      <c r="E627" s="186"/>
      <c r="F627" s="187"/>
    </row>
    <row r="628" spans="1:6" x14ac:dyDescent="0.2">
      <c r="A628" s="275"/>
      <c r="B628" s="78"/>
      <c r="C628" s="189"/>
      <c r="D628" s="185"/>
      <c r="E628" s="186"/>
      <c r="F628" s="187"/>
    </row>
    <row r="629" spans="1:6" x14ac:dyDescent="0.2">
      <c r="A629" s="275"/>
      <c r="B629" s="78"/>
      <c r="C629" s="189"/>
      <c r="D629" s="185"/>
      <c r="E629" s="186"/>
      <c r="F629" s="187"/>
    </row>
    <row r="630" spans="1:6" x14ac:dyDescent="0.2">
      <c r="A630" s="275"/>
      <c r="B630" s="78"/>
      <c r="C630" s="189"/>
      <c r="D630" s="185"/>
      <c r="E630" s="186"/>
      <c r="F630" s="187"/>
    </row>
    <row r="631" spans="1:6" x14ac:dyDescent="0.2">
      <c r="A631" s="275"/>
      <c r="B631" s="78"/>
      <c r="C631" s="189"/>
      <c r="D631" s="185"/>
      <c r="E631" s="186"/>
      <c r="F631" s="187"/>
    </row>
    <row r="632" spans="1:6" x14ac:dyDescent="0.2">
      <c r="A632" s="275"/>
      <c r="B632" s="78"/>
      <c r="C632" s="189"/>
      <c r="D632" s="185"/>
      <c r="E632" s="186"/>
      <c r="F632" s="187"/>
    </row>
    <row r="633" spans="1:6" x14ac:dyDescent="0.2">
      <c r="A633" s="275"/>
      <c r="B633" s="78"/>
      <c r="C633" s="189"/>
      <c r="D633" s="185"/>
      <c r="E633" s="186"/>
      <c r="F633" s="187"/>
    </row>
    <row r="634" spans="1:6" x14ac:dyDescent="0.2">
      <c r="A634" s="275"/>
      <c r="B634" s="78"/>
      <c r="C634" s="189"/>
      <c r="D634" s="185"/>
      <c r="E634" s="186"/>
      <c r="F634" s="187"/>
    </row>
    <row r="635" spans="1:6" x14ac:dyDescent="0.2">
      <c r="A635" s="275"/>
      <c r="B635" s="78"/>
      <c r="C635" s="189"/>
      <c r="D635" s="185"/>
      <c r="E635" s="186"/>
      <c r="F635" s="187"/>
    </row>
    <row r="636" spans="1:6" x14ac:dyDescent="0.2">
      <c r="A636" s="275"/>
      <c r="B636" s="78"/>
      <c r="C636" s="189"/>
      <c r="D636" s="185"/>
      <c r="E636" s="186"/>
      <c r="F636" s="187"/>
    </row>
    <row r="637" spans="1:6" x14ac:dyDescent="0.2">
      <c r="A637" s="275"/>
      <c r="B637" s="78"/>
      <c r="C637" s="189"/>
      <c r="D637" s="185"/>
      <c r="E637" s="186"/>
      <c r="F637" s="187"/>
    </row>
    <row r="638" spans="1:6" x14ac:dyDescent="0.2">
      <c r="A638" s="275"/>
      <c r="B638" s="78"/>
      <c r="C638" s="189"/>
      <c r="D638" s="185"/>
      <c r="E638" s="186"/>
      <c r="F638" s="187"/>
    </row>
    <row r="639" spans="1:6" x14ac:dyDescent="0.2">
      <c r="A639" s="275"/>
      <c r="B639" s="78"/>
      <c r="C639" s="189"/>
      <c r="D639" s="185"/>
      <c r="E639" s="186"/>
      <c r="F639" s="187"/>
    </row>
    <row r="640" spans="1:6" x14ac:dyDescent="0.2">
      <c r="A640" s="275"/>
      <c r="B640" s="78"/>
      <c r="C640" s="189"/>
      <c r="D640" s="185"/>
      <c r="E640" s="186"/>
      <c r="F640" s="187"/>
    </row>
    <row r="641" spans="1:6" x14ac:dyDescent="0.2">
      <c r="A641" s="275"/>
      <c r="B641" s="78"/>
      <c r="C641" s="189"/>
      <c r="D641" s="185"/>
      <c r="E641" s="186"/>
      <c r="F641" s="187"/>
    </row>
    <row r="642" spans="1:6" x14ac:dyDescent="0.2">
      <c r="A642" s="275"/>
      <c r="B642" s="78"/>
      <c r="C642" s="189"/>
      <c r="D642" s="185"/>
      <c r="E642" s="186"/>
      <c r="F642" s="187"/>
    </row>
    <row r="643" spans="1:6" x14ac:dyDescent="0.2">
      <c r="A643" s="275"/>
      <c r="B643" s="78"/>
      <c r="C643" s="189"/>
      <c r="D643" s="185"/>
      <c r="E643" s="186"/>
      <c r="F643" s="187"/>
    </row>
    <row r="644" spans="1:6" x14ac:dyDescent="0.2">
      <c r="A644" s="275"/>
      <c r="B644" s="78"/>
      <c r="C644" s="189"/>
      <c r="D644" s="185"/>
      <c r="E644" s="186"/>
      <c r="F644" s="187"/>
    </row>
    <row r="645" spans="1:6" x14ac:dyDescent="0.2">
      <c r="A645" s="275"/>
      <c r="B645" s="78"/>
      <c r="C645" s="189"/>
      <c r="D645" s="185"/>
      <c r="E645" s="186"/>
      <c r="F645" s="187"/>
    </row>
    <row r="646" spans="1:6" x14ac:dyDescent="0.2">
      <c r="A646" s="275"/>
      <c r="B646" s="78"/>
      <c r="C646" s="189"/>
      <c r="D646" s="185"/>
      <c r="E646" s="186"/>
      <c r="F646" s="187"/>
    </row>
    <row r="647" spans="1:6" x14ac:dyDescent="0.2">
      <c r="A647" s="275"/>
      <c r="B647" s="78"/>
      <c r="C647" s="189"/>
      <c r="D647" s="185"/>
      <c r="E647" s="186"/>
      <c r="F647" s="187"/>
    </row>
    <row r="648" spans="1:6" x14ac:dyDescent="0.2">
      <c r="A648" s="275"/>
      <c r="B648" s="78"/>
      <c r="C648" s="189"/>
      <c r="D648" s="185"/>
      <c r="E648" s="186"/>
      <c r="F648" s="187"/>
    </row>
    <row r="649" spans="1:6" x14ac:dyDescent="0.2">
      <c r="A649" s="275"/>
      <c r="B649" s="78"/>
      <c r="C649" s="189"/>
      <c r="D649" s="185"/>
      <c r="E649" s="186"/>
      <c r="F649" s="187"/>
    </row>
    <row r="650" spans="1:6" x14ac:dyDescent="0.2">
      <c r="A650" s="275"/>
      <c r="B650" s="78"/>
      <c r="C650" s="189"/>
      <c r="D650" s="185"/>
      <c r="E650" s="186"/>
      <c r="F650" s="187"/>
    </row>
    <row r="651" spans="1:6" x14ac:dyDescent="0.2">
      <c r="A651" s="275"/>
      <c r="B651" s="78"/>
      <c r="C651" s="189"/>
      <c r="D651" s="185"/>
      <c r="E651" s="186"/>
      <c r="F651" s="187"/>
    </row>
    <row r="652" spans="1:6" x14ac:dyDescent="0.2">
      <c r="A652" s="275"/>
      <c r="B652" s="78"/>
      <c r="C652" s="189"/>
      <c r="D652" s="185"/>
      <c r="E652" s="186"/>
      <c r="F652" s="187"/>
    </row>
    <row r="653" spans="1:6" x14ac:dyDescent="0.2">
      <c r="A653" s="275"/>
      <c r="B653" s="78"/>
      <c r="C653" s="189"/>
      <c r="D653" s="185"/>
      <c r="E653" s="186"/>
      <c r="F653" s="187"/>
    </row>
    <row r="654" spans="1:6" x14ac:dyDescent="0.2">
      <c r="A654" s="275"/>
      <c r="B654" s="78"/>
      <c r="C654" s="189"/>
      <c r="D654" s="185"/>
      <c r="E654" s="186"/>
      <c r="F654" s="187"/>
    </row>
    <row r="655" spans="1:6" x14ac:dyDescent="0.2">
      <c r="A655" s="275"/>
      <c r="B655" s="78"/>
      <c r="C655" s="189"/>
      <c r="D655" s="185"/>
      <c r="E655" s="186"/>
      <c r="F655" s="187"/>
    </row>
    <row r="656" spans="1:6" x14ac:dyDescent="0.2">
      <c r="A656" s="275"/>
      <c r="B656" s="78"/>
      <c r="C656" s="189"/>
      <c r="D656" s="185"/>
      <c r="E656" s="186"/>
      <c r="F656" s="187"/>
    </row>
    <row r="657" spans="1:6" x14ac:dyDescent="0.2">
      <c r="A657" s="275"/>
      <c r="B657" s="78"/>
      <c r="C657" s="189"/>
      <c r="D657" s="185"/>
      <c r="E657" s="186"/>
      <c r="F657" s="187"/>
    </row>
    <row r="658" spans="1:6" x14ac:dyDescent="0.2">
      <c r="A658" s="275"/>
      <c r="B658" s="78"/>
      <c r="C658" s="189"/>
      <c r="D658" s="185"/>
      <c r="E658" s="186"/>
      <c r="F658" s="187"/>
    </row>
    <row r="659" spans="1:6" x14ac:dyDescent="0.2">
      <c r="A659" s="275"/>
      <c r="B659" s="78"/>
      <c r="C659" s="189"/>
      <c r="D659" s="185"/>
      <c r="E659" s="186"/>
      <c r="F659" s="187"/>
    </row>
    <row r="660" spans="1:6" x14ac:dyDescent="0.2">
      <c r="A660" s="275"/>
      <c r="B660" s="78"/>
      <c r="C660" s="189"/>
      <c r="D660" s="185"/>
      <c r="E660" s="186"/>
      <c r="F660" s="187"/>
    </row>
    <row r="661" spans="1:6" x14ac:dyDescent="0.2">
      <c r="A661" s="275"/>
      <c r="B661" s="78"/>
      <c r="C661" s="189"/>
      <c r="D661" s="185"/>
      <c r="E661" s="186"/>
      <c r="F661" s="187"/>
    </row>
    <row r="662" spans="1:6" x14ac:dyDescent="0.2">
      <c r="A662" s="275"/>
      <c r="B662" s="78"/>
      <c r="C662" s="189"/>
      <c r="D662" s="185"/>
      <c r="E662" s="186"/>
      <c r="F662" s="187"/>
    </row>
    <row r="663" spans="1:6" x14ac:dyDescent="0.2">
      <c r="A663" s="275"/>
      <c r="B663" s="78"/>
      <c r="C663" s="189"/>
      <c r="D663" s="185"/>
      <c r="E663" s="186"/>
      <c r="F663" s="187"/>
    </row>
    <row r="664" spans="1:6" x14ac:dyDescent="0.2">
      <c r="A664" s="275"/>
      <c r="B664" s="78"/>
      <c r="C664" s="189"/>
      <c r="D664" s="185"/>
      <c r="E664" s="186"/>
      <c r="F664" s="187"/>
    </row>
    <row r="665" spans="1:6" x14ac:dyDescent="0.2">
      <c r="A665" s="275"/>
      <c r="B665" s="78"/>
      <c r="C665" s="189"/>
      <c r="D665" s="185"/>
      <c r="E665" s="186"/>
      <c r="F665" s="187"/>
    </row>
    <row r="666" spans="1:6" x14ac:dyDescent="0.2">
      <c r="A666" s="275"/>
      <c r="B666" s="78"/>
      <c r="C666" s="189"/>
      <c r="D666" s="185"/>
      <c r="E666" s="186"/>
      <c r="F666" s="187"/>
    </row>
    <row r="667" spans="1:6" x14ac:dyDescent="0.2">
      <c r="A667" s="275"/>
      <c r="B667" s="78"/>
      <c r="C667" s="189"/>
      <c r="D667" s="185"/>
      <c r="E667" s="186"/>
      <c r="F667" s="187"/>
    </row>
    <row r="668" spans="1:6" x14ac:dyDescent="0.2">
      <c r="A668" s="275"/>
      <c r="B668" s="78"/>
      <c r="C668" s="189"/>
      <c r="D668" s="185"/>
      <c r="E668" s="186"/>
      <c r="F668" s="187"/>
    </row>
    <row r="669" spans="1:6" x14ac:dyDescent="0.2">
      <c r="A669" s="275"/>
      <c r="B669" s="78"/>
      <c r="C669" s="189"/>
      <c r="D669" s="185"/>
      <c r="E669" s="186"/>
      <c r="F669" s="187"/>
    </row>
    <row r="670" spans="1:6" x14ac:dyDescent="0.2">
      <c r="A670" s="275"/>
      <c r="B670" s="78"/>
      <c r="C670" s="189"/>
      <c r="D670" s="185"/>
      <c r="E670" s="186"/>
      <c r="F670" s="187"/>
    </row>
    <row r="671" spans="1:6" x14ac:dyDescent="0.2">
      <c r="A671" s="275"/>
      <c r="B671" s="78"/>
      <c r="C671" s="189"/>
      <c r="D671" s="185"/>
      <c r="E671" s="186"/>
      <c r="F671" s="187"/>
    </row>
    <row r="672" spans="1:6" x14ac:dyDescent="0.2">
      <c r="A672" s="275"/>
      <c r="B672" s="78"/>
      <c r="C672" s="189"/>
      <c r="D672" s="185"/>
      <c r="E672" s="186"/>
      <c r="F672" s="187"/>
    </row>
    <row r="673" spans="1:6" x14ac:dyDescent="0.2">
      <c r="A673" s="275"/>
      <c r="B673" s="78"/>
      <c r="C673" s="189"/>
      <c r="D673" s="185"/>
      <c r="E673" s="186"/>
      <c r="F673" s="187"/>
    </row>
    <row r="674" spans="1:6" x14ac:dyDescent="0.2">
      <c r="A674" s="275"/>
      <c r="B674" s="78"/>
      <c r="C674" s="189"/>
      <c r="D674" s="185"/>
      <c r="E674" s="186"/>
      <c r="F674" s="187"/>
    </row>
    <row r="675" spans="1:6" x14ac:dyDescent="0.2">
      <c r="A675" s="275"/>
      <c r="B675" s="78"/>
      <c r="C675" s="189"/>
      <c r="D675" s="185"/>
      <c r="E675" s="186"/>
      <c r="F675" s="187"/>
    </row>
    <row r="676" spans="1:6" x14ac:dyDescent="0.2">
      <c r="A676" s="275"/>
      <c r="B676" s="78"/>
      <c r="C676" s="189"/>
      <c r="D676" s="185"/>
      <c r="E676" s="186"/>
      <c r="F676" s="187"/>
    </row>
    <row r="677" spans="1:6" x14ac:dyDescent="0.2">
      <c r="A677" s="275"/>
      <c r="B677" s="78"/>
      <c r="C677" s="189"/>
      <c r="D677" s="185"/>
      <c r="E677" s="186"/>
      <c r="F677" s="187"/>
    </row>
    <row r="678" spans="1:6" x14ac:dyDescent="0.2">
      <c r="A678" s="275"/>
      <c r="B678" s="78"/>
      <c r="C678" s="189"/>
      <c r="D678" s="185"/>
      <c r="E678" s="186"/>
      <c r="F678" s="187"/>
    </row>
    <row r="679" spans="1:6" x14ac:dyDescent="0.2">
      <c r="A679" s="275"/>
      <c r="B679" s="78"/>
      <c r="C679" s="189"/>
      <c r="D679" s="185"/>
      <c r="E679" s="186"/>
      <c r="F679" s="187"/>
    </row>
    <row r="680" spans="1:6" x14ac:dyDescent="0.2">
      <c r="A680" s="275"/>
      <c r="B680" s="78"/>
      <c r="C680" s="189"/>
      <c r="D680" s="185"/>
      <c r="E680" s="186"/>
      <c r="F680" s="187"/>
    </row>
    <row r="681" spans="1:6" x14ac:dyDescent="0.2">
      <c r="A681" s="275"/>
      <c r="B681" s="78"/>
      <c r="C681" s="189"/>
      <c r="D681" s="185"/>
      <c r="E681" s="186"/>
      <c r="F681" s="187"/>
    </row>
    <row r="682" spans="1:6" x14ac:dyDescent="0.2">
      <c r="A682" s="275"/>
      <c r="B682" s="78"/>
      <c r="C682" s="189"/>
      <c r="D682" s="185"/>
      <c r="E682" s="186"/>
      <c r="F682" s="187"/>
    </row>
    <row r="683" spans="1:6" x14ac:dyDescent="0.2">
      <c r="A683" s="275"/>
      <c r="B683" s="78"/>
      <c r="C683" s="189"/>
      <c r="D683" s="185"/>
      <c r="E683" s="186"/>
      <c r="F683" s="187"/>
    </row>
    <row r="684" spans="1:6" x14ac:dyDescent="0.2">
      <c r="A684" s="275"/>
      <c r="B684" s="78"/>
      <c r="C684" s="189"/>
      <c r="D684" s="185"/>
      <c r="E684" s="186"/>
      <c r="F684" s="187"/>
    </row>
    <row r="685" spans="1:6" x14ac:dyDescent="0.2">
      <c r="A685" s="275"/>
      <c r="B685" s="78"/>
      <c r="C685" s="189"/>
      <c r="D685" s="185"/>
      <c r="E685" s="186"/>
      <c r="F685" s="187"/>
    </row>
    <row r="686" spans="1:6" x14ac:dyDescent="0.2">
      <c r="A686" s="275"/>
      <c r="B686" s="78"/>
      <c r="C686" s="189"/>
      <c r="D686" s="185"/>
      <c r="E686" s="186"/>
      <c r="F686" s="187"/>
    </row>
    <row r="687" spans="1:6" x14ac:dyDescent="0.2">
      <c r="A687" s="275"/>
      <c r="B687" s="78"/>
      <c r="C687" s="189"/>
      <c r="D687" s="185"/>
      <c r="E687" s="186"/>
      <c r="F687" s="187"/>
    </row>
    <row r="688" spans="1:6" x14ac:dyDescent="0.2">
      <c r="A688" s="275"/>
      <c r="B688" s="78"/>
      <c r="C688" s="189"/>
      <c r="D688" s="185"/>
      <c r="E688" s="186"/>
      <c r="F688" s="187"/>
    </row>
    <row r="689" spans="1:6" x14ac:dyDescent="0.2">
      <c r="A689" s="275"/>
      <c r="B689" s="78"/>
      <c r="C689" s="189"/>
      <c r="D689" s="185"/>
      <c r="E689" s="186"/>
      <c r="F689" s="187"/>
    </row>
    <row r="690" spans="1:6" x14ac:dyDescent="0.2">
      <c r="A690" s="275"/>
      <c r="B690" s="78"/>
      <c r="C690" s="189"/>
      <c r="D690" s="185"/>
      <c r="E690" s="186"/>
      <c r="F690" s="187"/>
    </row>
    <row r="691" spans="1:6" x14ac:dyDescent="0.2">
      <c r="A691" s="275"/>
      <c r="B691" s="78"/>
      <c r="C691" s="189"/>
      <c r="D691" s="185"/>
      <c r="E691" s="186"/>
      <c r="F691" s="187"/>
    </row>
    <row r="692" spans="1:6" x14ac:dyDescent="0.2">
      <c r="A692" s="275"/>
      <c r="B692" s="78"/>
      <c r="C692" s="189"/>
      <c r="D692" s="185"/>
      <c r="E692" s="186"/>
      <c r="F692" s="187"/>
    </row>
    <row r="693" spans="1:6" x14ac:dyDescent="0.2">
      <c r="A693" s="275"/>
      <c r="B693" s="78"/>
      <c r="C693" s="189"/>
      <c r="D693" s="185"/>
      <c r="E693" s="186"/>
      <c r="F693" s="187"/>
    </row>
    <row r="694" spans="1:6" x14ac:dyDescent="0.2">
      <c r="A694" s="275"/>
      <c r="B694" s="78"/>
      <c r="C694" s="189"/>
      <c r="D694" s="185"/>
      <c r="E694" s="186"/>
      <c r="F694" s="187"/>
    </row>
    <row r="695" spans="1:6" x14ac:dyDescent="0.2">
      <c r="A695" s="275"/>
      <c r="B695" s="78"/>
      <c r="C695" s="189"/>
      <c r="D695" s="185"/>
      <c r="E695" s="186"/>
      <c r="F695" s="187"/>
    </row>
    <row r="696" spans="1:6" x14ac:dyDescent="0.2">
      <c r="A696" s="275"/>
      <c r="B696" s="78"/>
      <c r="C696" s="189"/>
      <c r="D696" s="185"/>
      <c r="E696" s="186"/>
      <c r="F696" s="187"/>
    </row>
    <row r="697" spans="1:6" x14ac:dyDescent="0.2">
      <c r="A697" s="275"/>
      <c r="B697" s="78"/>
      <c r="C697" s="189"/>
      <c r="D697" s="185"/>
      <c r="E697" s="186"/>
      <c r="F697" s="187"/>
    </row>
    <row r="698" spans="1:6" x14ac:dyDescent="0.2">
      <c r="A698" s="275"/>
      <c r="B698" s="78"/>
      <c r="C698" s="189"/>
      <c r="D698" s="185"/>
      <c r="E698" s="186"/>
      <c r="F698" s="187"/>
    </row>
    <row r="699" spans="1:6" x14ac:dyDescent="0.2">
      <c r="A699" s="275"/>
      <c r="B699" s="78"/>
      <c r="C699" s="189"/>
      <c r="D699" s="185"/>
      <c r="E699" s="186"/>
      <c r="F699" s="187"/>
    </row>
    <row r="700" spans="1:6" x14ac:dyDescent="0.2">
      <c r="A700" s="275"/>
      <c r="B700" s="78"/>
      <c r="C700" s="189"/>
      <c r="D700" s="185"/>
      <c r="E700" s="186"/>
      <c r="F700" s="187"/>
    </row>
    <row r="701" spans="1:6" x14ac:dyDescent="0.2">
      <c r="A701" s="275"/>
      <c r="B701" s="78"/>
      <c r="C701" s="189"/>
      <c r="D701" s="185"/>
      <c r="E701" s="186"/>
      <c r="F701" s="187"/>
    </row>
    <row r="702" spans="1:6" x14ac:dyDescent="0.2">
      <c r="A702" s="275"/>
      <c r="B702" s="78"/>
      <c r="C702" s="189"/>
      <c r="D702" s="185"/>
      <c r="E702" s="186"/>
      <c r="F702" s="187"/>
    </row>
    <row r="703" spans="1:6" x14ac:dyDescent="0.2">
      <c r="A703" s="275"/>
      <c r="B703" s="78"/>
      <c r="C703" s="189"/>
      <c r="D703" s="185"/>
      <c r="E703" s="186"/>
      <c r="F703" s="187"/>
    </row>
    <row r="704" spans="1:6" x14ac:dyDescent="0.2">
      <c r="A704" s="275"/>
      <c r="B704" s="78"/>
      <c r="C704" s="189"/>
      <c r="D704" s="185"/>
      <c r="E704" s="186"/>
      <c r="F704" s="187"/>
    </row>
    <row r="705" spans="1:6" x14ac:dyDescent="0.2">
      <c r="A705" s="275"/>
      <c r="B705" s="78"/>
      <c r="C705" s="189"/>
      <c r="D705" s="185"/>
      <c r="E705" s="186"/>
      <c r="F705" s="187"/>
    </row>
    <row r="706" spans="1:6" x14ac:dyDescent="0.2">
      <c r="A706" s="275"/>
      <c r="B706" s="78"/>
      <c r="C706" s="189"/>
      <c r="D706" s="185"/>
      <c r="E706" s="186"/>
      <c r="F706" s="187"/>
    </row>
    <row r="707" spans="1:6" x14ac:dyDescent="0.2">
      <c r="A707" s="275"/>
      <c r="B707" s="78"/>
      <c r="C707" s="189"/>
      <c r="D707" s="185"/>
      <c r="E707" s="186"/>
      <c r="F707" s="187"/>
    </row>
    <row r="708" spans="1:6" x14ac:dyDescent="0.2">
      <c r="A708" s="275"/>
      <c r="B708" s="78"/>
      <c r="C708" s="189"/>
      <c r="D708" s="185"/>
      <c r="E708" s="186"/>
      <c r="F708" s="187"/>
    </row>
    <row r="709" spans="1:6" x14ac:dyDescent="0.2">
      <c r="A709" s="275"/>
      <c r="B709" s="78"/>
      <c r="C709" s="189"/>
      <c r="D709" s="185"/>
      <c r="E709" s="186"/>
      <c r="F709" s="187"/>
    </row>
    <row r="710" spans="1:6" x14ac:dyDescent="0.2">
      <c r="A710" s="275"/>
      <c r="B710" s="78"/>
      <c r="C710" s="189"/>
      <c r="D710" s="185"/>
      <c r="E710" s="186"/>
      <c r="F710" s="187"/>
    </row>
    <row r="711" spans="1:6" x14ac:dyDescent="0.2">
      <c r="A711" s="275"/>
      <c r="B711" s="78"/>
      <c r="C711" s="189"/>
      <c r="D711" s="185"/>
      <c r="E711" s="186"/>
      <c r="F711" s="187"/>
    </row>
    <row r="712" spans="1:6" x14ac:dyDescent="0.2">
      <c r="A712" s="275"/>
      <c r="B712" s="78"/>
      <c r="C712" s="189"/>
      <c r="D712" s="185"/>
      <c r="E712" s="186"/>
      <c r="F712" s="187"/>
    </row>
    <row r="713" spans="1:6" x14ac:dyDescent="0.2">
      <c r="A713" s="275"/>
      <c r="B713" s="78"/>
      <c r="C713" s="189"/>
      <c r="D713" s="185"/>
      <c r="E713" s="186"/>
      <c r="F713" s="187"/>
    </row>
    <row r="714" spans="1:6" x14ac:dyDescent="0.2">
      <c r="A714" s="275"/>
      <c r="B714" s="78"/>
      <c r="C714" s="189"/>
      <c r="D714" s="185"/>
      <c r="E714" s="186"/>
      <c r="F714" s="187"/>
    </row>
    <row r="715" spans="1:6" x14ac:dyDescent="0.2">
      <c r="A715" s="275"/>
      <c r="B715" s="78"/>
      <c r="C715" s="189"/>
      <c r="D715" s="185"/>
      <c r="E715" s="186"/>
      <c r="F715" s="187"/>
    </row>
    <row r="716" spans="1:6" x14ac:dyDescent="0.2">
      <c r="A716" s="275"/>
      <c r="B716" s="78"/>
      <c r="C716" s="189"/>
      <c r="D716" s="185"/>
      <c r="E716" s="186"/>
      <c r="F716" s="187"/>
    </row>
    <row r="717" spans="1:6" x14ac:dyDescent="0.2">
      <c r="A717" s="275"/>
      <c r="B717" s="78"/>
      <c r="C717" s="189"/>
      <c r="D717" s="185"/>
      <c r="E717" s="186"/>
      <c r="F717" s="187"/>
    </row>
    <row r="718" spans="1:6" x14ac:dyDescent="0.2">
      <c r="A718" s="275"/>
      <c r="B718" s="78"/>
      <c r="C718" s="189"/>
      <c r="D718" s="185"/>
      <c r="E718" s="186"/>
      <c r="F718" s="187"/>
    </row>
    <row r="719" spans="1:6" x14ac:dyDescent="0.2">
      <c r="A719" s="275"/>
      <c r="B719" s="78"/>
      <c r="C719" s="189"/>
      <c r="D719" s="185"/>
      <c r="E719" s="186"/>
      <c r="F719" s="187"/>
    </row>
    <row r="720" spans="1:6" x14ac:dyDescent="0.2">
      <c r="A720" s="275"/>
      <c r="B720" s="78"/>
      <c r="C720" s="189"/>
      <c r="D720" s="185"/>
      <c r="E720" s="186"/>
      <c r="F720" s="187"/>
    </row>
    <row r="721" spans="1:6" x14ac:dyDescent="0.2">
      <c r="A721" s="275"/>
      <c r="B721" s="78"/>
      <c r="C721" s="189"/>
      <c r="D721" s="185"/>
      <c r="E721" s="186"/>
      <c r="F721" s="187"/>
    </row>
    <row r="722" spans="1:6" x14ac:dyDescent="0.2">
      <c r="A722" s="275"/>
      <c r="B722" s="78"/>
      <c r="C722" s="189"/>
      <c r="D722" s="185"/>
      <c r="E722" s="186"/>
      <c r="F722" s="187"/>
    </row>
    <row r="723" spans="1:6" x14ac:dyDescent="0.2">
      <c r="A723" s="275"/>
      <c r="B723" s="78"/>
      <c r="C723" s="189"/>
      <c r="D723" s="185"/>
      <c r="E723" s="186"/>
      <c r="F723" s="187"/>
    </row>
    <row r="724" spans="1:6" x14ac:dyDescent="0.2">
      <c r="A724" s="275"/>
      <c r="B724" s="78"/>
      <c r="C724" s="189"/>
      <c r="D724" s="185"/>
      <c r="E724" s="186"/>
      <c r="F724" s="187"/>
    </row>
    <row r="725" spans="1:6" x14ac:dyDescent="0.2">
      <c r="A725" s="275"/>
      <c r="B725" s="78"/>
      <c r="C725" s="189"/>
      <c r="D725" s="185"/>
      <c r="E725" s="186"/>
      <c r="F725" s="187"/>
    </row>
    <row r="726" spans="1:6" x14ac:dyDescent="0.2">
      <c r="A726" s="275"/>
      <c r="B726" s="78"/>
      <c r="C726" s="189"/>
      <c r="D726" s="185"/>
      <c r="E726" s="186"/>
      <c r="F726" s="187"/>
    </row>
    <row r="727" spans="1:6" x14ac:dyDescent="0.2">
      <c r="A727" s="275"/>
      <c r="B727" s="78"/>
      <c r="C727" s="189"/>
      <c r="D727" s="185"/>
      <c r="E727" s="186"/>
      <c r="F727" s="187"/>
    </row>
    <row r="728" spans="1:6" x14ac:dyDescent="0.2">
      <c r="A728" s="275"/>
      <c r="B728" s="78"/>
      <c r="C728" s="189"/>
      <c r="D728" s="185"/>
      <c r="E728" s="186"/>
      <c r="F728" s="187"/>
    </row>
    <row r="729" spans="1:6" x14ac:dyDescent="0.2">
      <c r="A729" s="275"/>
      <c r="B729" s="78"/>
      <c r="C729" s="189"/>
      <c r="D729" s="185"/>
      <c r="E729" s="186"/>
      <c r="F729" s="187"/>
    </row>
    <row r="730" spans="1:6" x14ac:dyDescent="0.2">
      <c r="A730" s="275"/>
      <c r="B730" s="78"/>
      <c r="C730" s="189"/>
      <c r="D730" s="185"/>
      <c r="E730" s="186"/>
      <c r="F730" s="187"/>
    </row>
    <row r="731" spans="1:6" x14ac:dyDescent="0.2">
      <c r="A731" s="275"/>
      <c r="B731" s="78"/>
      <c r="C731" s="189"/>
      <c r="D731" s="185"/>
      <c r="E731" s="186"/>
      <c r="F731" s="187"/>
    </row>
    <row r="732" spans="1:6" x14ac:dyDescent="0.2">
      <c r="A732" s="275"/>
      <c r="B732" s="78"/>
      <c r="C732" s="189"/>
      <c r="D732" s="185"/>
      <c r="E732" s="186"/>
      <c r="F732" s="187"/>
    </row>
    <row r="733" spans="1:6" x14ac:dyDescent="0.2">
      <c r="A733" s="275"/>
      <c r="B733" s="78"/>
      <c r="C733" s="189"/>
      <c r="D733" s="185"/>
      <c r="E733" s="186"/>
      <c r="F733" s="187"/>
    </row>
    <row r="734" spans="1:6" x14ac:dyDescent="0.2">
      <c r="A734" s="275"/>
      <c r="B734" s="78"/>
      <c r="C734" s="189"/>
      <c r="D734" s="185"/>
      <c r="E734" s="186"/>
      <c r="F734" s="187"/>
    </row>
    <row r="735" spans="1:6" x14ac:dyDescent="0.2">
      <c r="A735" s="275"/>
      <c r="B735" s="78"/>
      <c r="C735" s="189"/>
      <c r="D735" s="185"/>
      <c r="E735" s="186"/>
      <c r="F735" s="187"/>
    </row>
    <row r="736" spans="1:6" x14ac:dyDescent="0.2">
      <c r="A736" s="275"/>
      <c r="B736" s="78"/>
      <c r="C736" s="189"/>
      <c r="D736" s="185"/>
      <c r="E736" s="186"/>
      <c r="F736" s="187"/>
    </row>
    <row r="737" spans="1:6" x14ac:dyDescent="0.2">
      <c r="A737" s="275"/>
      <c r="B737" s="78"/>
      <c r="C737" s="189"/>
      <c r="D737" s="185"/>
      <c r="E737" s="186"/>
      <c r="F737" s="187"/>
    </row>
    <row r="738" spans="1:6" x14ac:dyDescent="0.2">
      <c r="A738" s="275"/>
      <c r="B738" s="78"/>
      <c r="C738" s="189"/>
      <c r="D738" s="185"/>
      <c r="E738" s="186"/>
      <c r="F738" s="187"/>
    </row>
    <row r="739" spans="1:6" x14ac:dyDescent="0.2">
      <c r="A739" s="275"/>
      <c r="B739" s="78"/>
      <c r="C739" s="189"/>
      <c r="D739" s="185"/>
      <c r="E739" s="186"/>
      <c r="F739" s="187"/>
    </row>
    <row r="740" spans="1:6" x14ac:dyDescent="0.2">
      <c r="A740" s="275"/>
      <c r="B740" s="78"/>
      <c r="C740" s="189"/>
      <c r="D740" s="185"/>
      <c r="E740" s="186"/>
      <c r="F740" s="187"/>
    </row>
    <row r="741" spans="1:6" x14ac:dyDescent="0.2">
      <c r="A741" s="275"/>
      <c r="B741" s="78"/>
      <c r="C741" s="189"/>
      <c r="D741" s="185"/>
      <c r="E741" s="186"/>
      <c r="F741" s="187"/>
    </row>
    <row r="742" spans="1:6" x14ac:dyDescent="0.2">
      <c r="A742" s="275"/>
      <c r="B742" s="78"/>
      <c r="C742" s="189"/>
      <c r="D742" s="185"/>
      <c r="E742" s="186"/>
      <c r="F742" s="187"/>
    </row>
    <row r="743" spans="1:6" x14ac:dyDescent="0.2">
      <c r="A743" s="275"/>
      <c r="B743" s="78"/>
      <c r="C743" s="189"/>
      <c r="D743" s="185"/>
      <c r="E743" s="186"/>
      <c r="F743" s="187"/>
    </row>
    <row r="744" spans="1:6" x14ac:dyDescent="0.2">
      <c r="A744" s="275"/>
      <c r="B744" s="78"/>
      <c r="C744" s="189"/>
      <c r="D744" s="185"/>
      <c r="E744" s="186"/>
      <c r="F744" s="187"/>
    </row>
    <row r="745" spans="1:6" x14ac:dyDescent="0.2">
      <c r="A745" s="275"/>
      <c r="B745" s="78"/>
      <c r="C745" s="189"/>
      <c r="D745" s="185"/>
      <c r="E745" s="186"/>
      <c r="F745" s="187"/>
    </row>
    <row r="746" spans="1:6" x14ac:dyDescent="0.2">
      <c r="A746" s="275"/>
      <c r="B746" s="78"/>
      <c r="C746" s="189"/>
      <c r="D746" s="185"/>
      <c r="E746" s="186"/>
      <c r="F746" s="187"/>
    </row>
    <row r="747" spans="1:6" x14ac:dyDescent="0.2">
      <c r="A747" s="275"/>
      <c r="B747" s="78"/>
      <c r="C747" s="189"/>
      <c r="D747" s="185"/>
      <c r="E747" s="186"/>
      <c r="F747" s="187"/>
    </row>
    <row r="748" spans="1:6" x14ac:dyDescent="0.2">
      <c r="A748" s="275"/>
      <c r="B748" s="78"/>
      <c r="C748" s="189"/>
      <c r="D748" s="185"/>
      <c r="E748" s="186"/>
      <c r="F748" s="187"/>
    </row>
    <row r="749" spans="1:6" x14ac:dyDescent="0.2">
      <c r="A749" s="275"/>
      <c r="B749" s="78"/>
      <c r="C749" s="189"/>
      <c r="D749" s="185"/>
      <c r="E749" s="186"/>
      <c r="F749" s="187"/>
    </row>
    <row r="750" spans="1:6" x14ac:dyDescent="0.2">
      <c r="A750" s="275"/>
      <c r="B750" s="78"/>
      <c r="C750" s="189"/>
      <c r="D750" s="185"/>
      <c r="E750" s="186"/>
      <c r="F750" s="187"/>
    </row>
    <row r="751" spans="1:6" x14ac:dyDescent="0.2">
      <c r="A751" s="275"/>
      <c r="B751" s="78"/>
      <c r="C751" s="189"/>
      <c r="D751" s="185"/>
      <c r="E751" s="186"/>
      <c r="F751" s="187"/>
    </row>
    <row r="752" spans="1:6" x14ac:dyDescent="0.2">
      <c r="A752" s="275"/>
      <c r="B752" s="78"/>
      <c r="C752" s="189"/>
      <c r="D752" s="185"/>
      <c r="E752" s="186"/>
      <c r="F752" s="187"/>
    </row>
    <row r="753" spans="1:6" x14ac:dyDescent="0.2">
      <c r="A753" s="275"/>
      <c r="B753" s="78"/>
      <c r="C753" s="189"/>
      <c r="D753" s="185"/>
      <c r="E753" s="186"/>
      <c r="F753" s="187"/>
    </row>
    <row r="754" spans="1:6" x14ac:dyDescent="0.2">
      <c r="A754" s="275"/>
      <c r="B754" s="78"/>
      <c r="C754" s="189"/>
      <c r="D754" s="185"/>
      <c r="E754" s="186"/>
      <c r="F754" s="187"/>
    </row>
    <row r="755" spans="1:6" x14ac:dyDescent="0.2">
      <c r="A755" s="275"/>
      <c r="B755" s="78"/>
      <c r="C755" s="189"/>
      <c r="D755" s="185"/>
      <c r="E755" s="186"/>
      <c r="F755" s="187"/>
    </row>
    <row r="756" spans="1:6" x14ac:dyDescent="0.2">
      <c r="A756" s="275"/>
      <c r="B756" s="78"/>
      <c r="C756" s="189"/>
      <c r="D756" s="185"/>
      <c r="E756" s="186"/>
      <c r="F756" s="187"/>
    </row>
    <row r="757" spans="1:6" x14ac:dyDescent="0.2">
      <c r="A757" s="275"/>
      <c r="B757" s="78"/>
      <c r="C757" s="189"/>
      <c r="D757" s="185"/>
      <c r="E757" s="186"/>
      <c r="F757" s="187"/>
    </row>
    <row r="758" spans="1:6" x14ac:dyDescent="0.2">
      <c r="A758" s="275"/>
      <c r="B758" s="78"/>
      <c r="C758" s="189"/>
      <c r="D758" s="185"/>
      <c r="E758" s="186"/>
      <c r="F758" s="187"/>
    </row>
    <row r="759" spans="1:6" x14ac:dyDescent="0.2">
      <c r="A759" s="275"/>
      <c r="B759" s="78"/>
      <c r="C759" s="189"/>
      <c r="D759" s="185"/>
      <c r="E759" s="186"/>
      <c r="F759" s="187"/>
    </row>
    <row r="760" spans="1:6" x14ac:dyDescent="0.2">
      <c r="A760" s="275"/>
      <c r="B760" s="78"/>
      <c r="C760" s="189"/>
      <c r="D760" s="185"/>
      <c r="E760" s="186"/>
      <c r="F760" s="187"/>
    </row>
    <row r="761" spans="1:6" x14ac:dyDescent="0.2">
      <c r="A761" s="275"/>
      <c r="B761" s="78"/>
      <c r="C761" s="189"/>
      <c r="D761" s="185"/>
      <c r="E761" s="186"/>
      <c r="F761" s="187"/>
    </row>
    <row r="762" spans="1:6" x14ac:dyDescent="0.2">
      <c r="A762" s="275"/>
      <c r="B762" s="78"/>
      <c r="C762" s="189"/>
      <c r="D762" s="185"/>
      <c r="E762" s="186"/>
      <c r="F762" s="187"/>
    </row>
    <row r="763" spans="1:6" x14ac:dyDescent="0.2">
      <c r="A763" s="275"/>
      <c r="B763" s="78"/>
      <c r="C763" s="189"/>
      <c r="D763" s="185"/>
      <c r="E763" s="186"/>
      <c r="F763" s="187"/>
    </row>
    <row r="764" spans="1:6" x14ac:dyDescent="0.2">
      <c r="A764" s="275"/>
      <c r="B764" s="78"/>
      <c r="C764" s="189"/>
      <c r="D764" s="185"/>
      <c r="E764" s="186"/>
      <c r="F764" s="187"/>
    </row>
    <row r="765" spans="1:6" x14ac:dyDescent="0.2">
      <c r="A765" s="275"/>
      <c r="B765" s="78"/>
      <c r="C765" s="189"/>
      <c r="D765" s="185"/>
      <c r="E765" s="186"/>
      <c r="F765" s="187"/>
    </row>
    <row r="766" spans="1:6" x14ac:dyDescent="0.2">
      <c r="A766" s="275"/>
      <c r="B766" s="78"/>
      <c r="C766" s="189"/>
      <c r="D766" s="185"/>
      <c r="E766" s="186"/>
      <c r="F766" s="187"/>
    </row>
    <row r="767" spans="1:6" x14ac:dyDescent="0.2">
      <c r="A767" s="275"/>
      <c r="B767" s="78"/>
      <c r="C767" s="189"/>
      <c r="D767" s="185"/>
      <c r="E767" s="186"/>
      <c r="F767" s="187"/>
    </row>
    <row r="768" spans="1:6" x14ac:dyDescent="0.2">
      <c r="A768" s="275"/>
      <c r="B768" s="78"/>
      <c r="C768" s="189"/>
      <c r="D768" s="185"/>
      <c r="E768" s="186"/>
      <c r="F768" s="187"/>
    </row>
    <row r="769" spans="1:6" x14ac:dyDescent="0.2">
      <c r="A769" s="275"/>
      <c r="B769" s="78"/>
      <c r="C769" s="189"/>
      <c r="D769" s="185"/>
      <c r="E769" s="186"/>
      <c r="F769" s="187"/>
    </row>
    <row r="770" spans="1:6" x14ac:dyDescent="0.2">
      <c r="A770" s="275"/>
      <c r="B770" s="78"/>
      <c r="C770" s="189"/>
      <c r="D770" s="185"/>
      <c r="E770" s="186"/>
      <c r="F770" s="187"/>
    </row>
    <row r="771" spans="1:6" x14ac:dyDescent="0.2">
      <c r="A771" s="275"/>
      <c r="B771" s="78"/>
      <c r="C771" s="189"/>
      <c r="D771" s="185"/>
      <c r="E771" s="186"/>
      <c r="F771" s="187"/>
    </row>
    <row r="772" spans="1:6" x14ac:dyDescent="0.2">
      <c r="A772" s="275"/>
      <c r="B772" s="78"/>
      <c r="C772" s="189"/>
      <c r="D772" s="185"/>
      <c r="E772" s="186"/>
      <c r="F772" s="187"/>
    </row>
    <row r="773" spans="1:6" x14ac:dyDescent="0.2">
      <c r="A773" s="275"/>
      <c r="B773" s="78"/>
      <c r="C773" s="189"/>
      <c r="D773" s="185"/>
      <c r="E773" s="186"/>
      <c r="F773" s="187"/>
    </row>
    <row r="774" spans="1:6" x14ac:dyDescent="0.2">
      <c r="A774" s="275"/>
      <c r="B774" s="78"/>
      <c r="C774" s="189"/>
      <c r="D774" s="185"/>
      <c r="E774" s="186"/>
      <c r="F774" s="187"/>
    </row>
    <row r="775" spans="1:6" x14ac:dyDescent="0.2">
      <c r="A775" s="275"/>
      <c r="B775" s="78"/>
      <c r="C775" s="189"/>
      <c r="D775" s="185"/>
      <c r="E775" s="186"/>
      <c r="F775" s="187"/>
    </row>
    <row r="776" spans="1:6" x14ac:dyDescent="0.2">
      <c r="A776" s="275"/>
      <c r="B776" s="78"/>
      <c r="C776" s="189"/>
      <c r="D776" s="185"/>
      <c r="E776" s="186"/>
      <c r="F776" s="187"/>
    </row>
    <row r="777" spans="1:6" x14ac:dyDescent="0.2">
      <c r="A777" s="275"/>
      <c r="B777" s="78"/>
      <c r="C777" s="189"/>
      <c r="D777" s="185"/>
      <c r="E777" s="186"/>
      <c r="F777" s="187"/>
    </row>
    <row r="778" spans="1:6" x14ac:dyDescent="0.2">
      <c r="A778" s="275"/>
      <c r="B778" s="78"/>
      <c r="C778" s="189"/>
      <c r="D778" s="185"/>
      <c r="E778" s="186"/>
      <c r="F778" s="187"/>
    </row>
    <row r="779" spans="1:6" x14ac:dyDescent="0.2">
      <c r="A779" s="275"/>
      <c r="B779" s="78"/>
      <c r="C779" s="189"/>
      <c r="D779" s="185"/>
      <c r="E779" s="186"/>
      <c r="F779" s="187"/>
    </row>
    <row r="780" spans="1:6" x14ac:dyDescent="0.2">
      <c r="A780" s="275"/>
      <c r="B780" s="78"/>
      <c r="C780" s="189"/>
      <c r="D780" s="185"/>
      <c r="E780" s="186"/>
      <c r="F780" s="187"/>
    </row>
    <row r="781" spans="1:6" x14ac:dyDescent="0.2">
      <c r="A781" s="275"/>
      <c r="B781" s="78"/>
      <c r="C781" s="189"/>
      <c r="D781" s="185"/>
      <c r="E781" s="186"/>
      <c r="F781" s="187"/>
    </row>
    <row r="782" spans="1:6" x14ac:dyDescent="0.2">
      <c r="A782" s="275"/>
      <c r="B782" s="78"/>
      <c r="C782" s="189"/>
      <c r="D782" s="185"/>
      <c r="E782" s="186"/>
      <c r="F782" s="187"/>
    </row>
    <row r="783" spans="1:6" x14ac:dyDescent="0.2">
      <c r="A783" s="275"/>
      <c r="B783" s="78"/>
      <c r="C783" s="189"/>
      <c r="D783" s="185"/>
      <c r="E783" s="186"/>
      <c r="F783" s="187"/>
    </row>
    <row r="784" spans="1:6" x14ac:dyDescent="0.2">
      <c r="A784" s="275"/>
      <c r="B784" s="78"/>
      <c r="C784" s="189"/>
      <c r="D784" s="185"/>
      <c r="E784" s="186"/>
      <c r="F784" s="187"/>
    </row>
    <row r="785" spans="1:6" x14ac:dyDescent="0.2">
      <c r="A785" s="275"/>
      <c r="B785" s="78"/>
      <c r="C785" s="189"/>
      <c r="D785" s="185"/>
      <c r="E785" s="186"/>
      <c r="F785" s="187"/>
    </row>
    <row r="786" spans="1:6" x14ac:dyDescent="0.2">
      <c r="A786" s="275"/>
      <c r="B786" s="78"/>
      <c r="C786" s="189"/>
      <c r="D786" s="185"/>
      <c r="E786" s="186"/>
      <c r="F786" s="187"/>
    </row>
    <row r="787" spans="1:6" x14ac:dyDescent="0.2">
      <c r="A787" s="275"/>
      <c r="B787" s="78"/>
      <c r="C787" s="189"/>
      <c r="D787" s="185"/>
      <c r="E787" s="186"/>
      <c r="F787" s="187"/>
    </row>
    <row r="788" spans="1:6" x14ac:dyDescent="0.2">
      <c r="A788" s="275"/>
      <c r="B788" s="78"/>
      <c r="C788" s="189"/>
      <c r="D788" s="185"/>
      <c r="E788" s="186"/>
      <c r="F788" s="187"/>
    </row>
    <row r="789" spans="1:6" x14ac:dyDescent="0.2">
      <c r="A789" s="275"/>
      <c r="B789" s="78"/>
      <c r="C789" s="189"/>
      <c r="D789" s="185"/>
      <c r="E789" s="186"/>
      <c r="F789" s="187"/>
    </row>
    <row r="790" spans="1:6" x14ac:dyDescent="0.2">
      <c r="A790" s="275"/>
      <c r="B790" s="78"/>
      <c r="C790" s="189"/>
      <c r="D790" s="185"/>
      <c r="E790" s="186"/>
      <c r="F790" s="187"/>
    </row>
    <row r="791" spans="1:6" x14ac:dyDescent="0.2">
      <c r="A791" s="275"/>
      <c r="B791" s="78"/>
      <c r="C791" s="189"/>
      <c r="D791" s="185"/>
      <c r="E791" s="186"/>
      <c r="F791" s="187"/>
    </row>
    <row r="792" spans="1:6" x14ac:dyDescent="0.2">
      <c r="A792" s="275"/>
      <c r="B792" s="78"/>
      <c r="C792" s="189"/>
      <c r="D792" s="185"/>
      <c r="E792" s="186"/>
      <c r="F792" s="187"/>
    </row>
    <row r="793" spans="1:6" x14ac:dyDescent="0.2">
      <c r="A793" s="275"/>
      <c r="B793" s="78"/>
      <c r="C793" s="189"/>
      <c r="D793" s="185"/>
      <c r="E793" s="186"/>
      <c r="F793" s="187"/>
    </row>
    <row r="794" spans="1:6" x14ac:dyDescent="0.2">
      <c r="A794" s="275"/>
      <c r="B794" s="78"/>
      <c r="C794" s="189"/>
      <c r="D794" s="185"/>
      <c r="E794" s="186"/>
      <c r="F794" s="187"/>
    </row>
    <row r="795" spans="1:6" x14ac:dyDescent="0.2">
      <c r="A795" s="275"/>
      <c r="B795" s="78"/>
      <c r="C795" s="189"/>
      <c r="D795" s="185"/>
      <c r="E795" s="186"/>
      <c r="F795" s="187"/>
    </row>
    <row r="796" spans="1:6" x14ac:dyDescent="0.2">
      <c r="A796" s="275"/>
      <c r="B796" s="78"/>
      <c r="C796" s="189"/>
      <c r="D796" s="185"/>
      <c r="E796" s="186"/>
      <c r="F796" s="187"/>
    </row>
    <row r="797" spans="1:6" x14ac:dyDescent="0.2">
      <c r="A797" s="275"/>
      <c r="B797" s="78"/>
      <c r="C797" s="189"/>
      <c r="D797" s="185"/>
      <c r="E797" s="186"/>
      <c r="F797" s="187"/>
    </row>
    <row r="798" spans="1:6" x14ac:dyDescent="0.2">
      <c r="A798" s="275"/>
      <c r="B798" s="78"/>
      <c r="C798" s="189"/>
      <c r="D798" s="185"/>
      <c r="E798" s="186"/>
      <c r="F798" s="187"/>
    </row>
    <row r="799" spans="1:6" x14ac:dyDescent="0.2">
      <c r="A799" s="275"/>
      <c r="B799" s="78"/>
      <c r="C799" s="189"/>
      <c r="D799" s="185"/>
      <c r="E799" s="186"/>
      <c r="F799" s="187"/>
    </row>
    <row r="800" spans="1:6" x14ac:dyDescent="0.2">
      <c r="A800" s="275"/>
      <c r="B800" s="78"/>
      <c r="C800" s="189"/>
      <c r="D800" s="185"/>
      <c r="E800" s="186"/>
      <c r="F800" s="187"/>
    </row>
    <row r="801" spans="1:6" x14ac:dyDescent="0.2">
      <c r="A801" s="275"/>
      <c r="B801" s="78"/>
      <c r="C801" s="189"/>
      <c r="D801" s="185"/>
      <c r="E801" s="186"/>
      <c r="F801" s="187"/>
    </row>
    <row r="802" spans="1:6" x14ac:dyDescent="0.2">
      <c r="A802" s="275"/>
      <c r="B802" s="78"/>
      <c r="C802" s="189"/>
      <c r="D802" s="185"/>
      <c r="E802" s="186"/>
      <c r="F802" s="187"/>
    </row>
    <row r="803" spans="1:6" x14ac:dyDescent="0.2">
      <c r="A803" s="275"/>
      <c r="B803" s="78"/>
      <c r="C803" s="189"/>
      <c r="D803" s="185"/>
      <c r="E803" s="186"/>
      <c r="F803" s="187"/>
    </row>
    <row r="804" spans="1:6" x14ac:dyDescent="0.2">
      <c r="A804" s="275"/>
      <c r="B804" s="78"/>
      <c r="C804" s="189"/>
      <c r="D804" s="185"/>
      <c r="E804" s="186"/>
      <c r="F804" s="187"/>
    </row>
    <row r="805" spans="1:6" x14ac:dyDescent="0.2">
      <c r="A805" s="275"/>
      <c r="B805" s="78"/>
      <c r="C805" s="189"/>
      <c r="D805" s="185"/>
      <c r="E805" s="186"/>
      <c r="F805" s="187"/>
    </row>
    <row r="806" spans="1:6" x14ac:dyDescent="0.2">
      <c r="A806" s="275"/>
      <c r="B806" s="78"/>
      <c r="C806" s="189"/>
      <c r="D806" s="185"/>
      <c r="E806" s="186"/>
      <c r="F806" s="187"/>
    </row>
    <row r="807" spans="1:6" x14ac:dyDescent="0.2">
      <c r="A807" s="275"/>
      <c r="B807" s="78"/>
      <c r="C807" s="189"/>
      <c r="D807" s="185"/>
      <c r="E807" s="186"/>
      <c r="F807" s="187"/>
    </row>
    <row r="808" spans="1:6" x14ac:dyDescent="0.2">
      <c r="A808" s="275"/>
      <c r="B808" s="78"/>
      <c r="C808" s="189"/>
      <c r="D808" s="185"/>
      <c r="E808" s="186"/>
      <c r="F808" s="187"/>
    </row>
    <row r="809" spans="1:6" x14ac:dyDescent="0.2">
      <c r="A809" s="275"/>
      <c r="B809" s="78"/>
      <c r="C809" s="189"/>
      <c r="D809" s="185"/>
      <c r="E809" s="186"/>
      <c r="F809" s="187"/>
    </row>
    <row r="810" spans="1:6" x14ac:dyDescent="0.2">
      <c r="A810" s="275"/>
      <c r="B810" s="78"/>
      <c r="C810" s="189"/>
      <c r="D810" s="185"/>
      <c r="E810" s="186"/>
      <c r="F810" s="187"/>
    </row>
    <row r="811" spans="1:6" x14ac:dyDescent="0.2">
      <c r="A811" s="275"/>
      <c r="B811" s="78"/>
      <c r="C811" s="189"/>
      <c r="D811" s="185"/>
      <c r="E811" s="186"/>
      <c r="F811" s="187"/>
    </row>
    <row r="812" spans="1:6" x14ac:dyDescent="0.2">
      <c r="A812" s="275"/>
      <c r="B812" s="78"/>
      <c r="C812" s="189"/>
      <c r="D812" s="185"/>
      <c r="E812" s="186"/>
      <c r="F812" s="187"/>
    </row>
    <row r="813" spans="1:6" x14ac:dyDescent="0.2">
      <c r="A813" s="275"/>
      <c r="B813" s="78"/>
      <c r="C813" s="189"/>
      <c r="D813" s="185"/>
      <c r="E813" s="186"/>
      <c r="F813" s="187"/>
    </row>
    <row r="814" spans="1:6" x14ac:dyDescent="0.2">
      <c r="A814" s="275"/>
      <c r="B814" s="78"/>
      <c r="C814" s="189"/>
      <c r="D814" s="185"/>
      <c r="E814" s="186"/>
      <c r="F814" s="187"/>
    </row>
    <row r="815" spans="1:6" x14ac:dyDescent="0.2">
      <c r="A815" s="275"/>
      <c r="B815" s="78"/>
      <c r="C815" s="189"/>
      <c r="D815" s="185"/>
      <c r="E815" s="186"/>
      <c r="F815" s="187"/>
    </row>
    <row r="816" spans="1:6" x14ac:dyDescent="0.2">
      <c r="A816" s="275"/>
      <c r="B816" s="78"/>
      <c r="C816" s="189"/>
      <c r="D816" s="185"/>
      <c r="E816" s="186"/>
      <c r="F816" s="187"/>
    </row>
    <row r="817" spans="1:6" x14ac:dyDescent="0.2">
      <c r="A817" s="275"/>
      <c r="B817" s="78"/>
      <c r="C817" s="189"/>
      <c r="D817" s="185"/>
      <c r="E817" s="186"/>
      <c r="F817" s="187"/>
    </row>
    <row r="818" spans="1:6" x14ac:dyDescent="0.2">
      <c r="A818" s="275"/>
      <c r="B818" s="78"/>
      <c r="C818" s="189"/>
      <c r="D818" s="185"/>
      <c r="E818" s="186"/>
      <c r="F818" s="187"/>
    </row>
    <row r="819" spans="1:6" x14ac:dyDescent="0.2">
      <c r="A819" s="275"/>
      <c r="B819" s="78"/>
      <c r="C819" s="189"/>
      <c r="D819" s="185"/>
      <c r="E819" s="186"/>
      <c r="F819" s="187"/>
    </row>
    <row r="820" spans="1:6" x14ac:dyDescent="0.2">
      <c r="A820" s="275"/>
      <c r="B820" s="78"/>
      <c r="C820" s="189"/>
      <c r="D820" s="185"/>
      <c r="E820" s="186"/>
      <c r="F820" s="187"/>
    </row>
    <row r="821" spans="1:6" x14ac:dyDescent="0.2">
      <c r="A821" s="275"/>
      <c r="B821" s="78"/>
      <c r="C821" s="189"/>
      <c r="D821" s="185"/>
      <c r="E821" s="186"/>
      <c r="F821" s="187"/>
    </row>
    <row r="822" spans="1:6" x14ac:dyDescent="0.2">
      <c r="A822" s="275"/>
      <c r="B822" s="78"/>
      <c r="C822" s="189"/>
      <c r="D822" s="185"/>
      <c r="E822" s="186"/>
      <c r="F822" s="187"/>
    </row>
    <row r="823" spans="1:6" x14ac:dyDescent="0.2">
      <c r="A823" s="275"/>
      <c r="B823" s="78"/>
      <c r="C823" s="189"/>
      <c r="D823" s="185"/>
      <c r="E823" s="186"/>
      <c r="F823" s="187"/>
    </row>
    <row r="824" spans="1:6" x14ac:dyDescent="0.2">
      <c r="A824" s="275"/>
      <c r="B824" s="78"/>
      <c r="C824" s="189"/>
      <c r="D824" s="185"/>
      <c r="E824" s="186"/>
      <c r="F824" s="187"/>
    </row>
    <row r="825" spans="1:6" x14ac:dyDescent="0.2">
      <c r="A825" s="275"/>
      <c r="B825" s="78"/>
      <c r="C825" s="189"/>
      <c r="D825" s="185"/>
      <c r="E825" s="186"/>
      <c r="F825" s="187"/>
    </row>
    <row r="826" spans="1:6" x14ac:dyDescent="0.2">
      <c r="A826" s="275"/>
      <c r="B826" s="78"/>
      <c r="C826" s="189"/>
      <c r="D826" s="185"/>
      <c r="E826" s="186"/>
      <c r="F826" s="187"/>
    </row>
    <row r="827" spans="1:6" x14ac:dyDescent="0.2">
      <c r="A827" s="275"/>
      <c r="B827" s="78"/>
      <c r="C827" s="189"/>
      <c r="D827" s="185"/>
      <c r="E827" s="186"/>
      <c r="F827" s="187"/>
    </row>
    <row r="828" spans="1:6" x14ac:dyDescent="0.2">
      <c r="A828" s="275"/>
      <c r="B828" s="78"/>
      <c r="C828" s="189"/>
      <c r="D828" s="185"/>
      <c r="E828" s="186"/>
      <c r="F828" s="187"/>
    </row>
    <row r="829" spans="1:6" x14ac:dyDescent="0.2">
      <c r="A829" s="275"/>
      <c r="B829" s="78"/>
      <c r="C829" s="189"/>
      <c r="D829" s="185"/>
      <c r="E829" s="186"/>
      <c r="F829" s="187"/>
    </row>
    <row r="830" spans="1:6" x14ac:dyDescent="0.2">
      <c r="A830" s="275"/>
      <c r="B830" s="78"/>
      <c r="C830" s="189"/>
      <c r="D830" s="185"/>
      <c r="E830" s="186"/>
      <c r="F830" s="187"/>
    </row>
    <row r="831" spans="1:6" x14ac:dyDescent="0.2">
      <c r="A831" s="275"/>
      <c r="B831" s="78"/>
      <c r="C831" s="189"/>
      <c r="D831" s="185"/>
      <c r="E831" s="186"/>
      <c r="F831" s="187"/>
    </row>
    <row r="832" spans="1:6" x14ac:dyDescent="0.2">
      <c r="A832" s="275"/>
      <c r="B832" s="78"/>
      <c r="C832" s="189"/>
      <c r="D832" s="185"/>
      <c r="E832" s="186"/>
      <c r="F832" s="187"/>
    </row>
    <row r="833" spans="1:6" x14ac:dyDescent="0.2">
      <c r="A833" s="275"/>
      <c r="B833" s="78"/>
      <c r="C833" s="189"/>
      <c r="D833" s="185"/>
      <c r="E833" s="186"/>
      <c r="F833" s="187"/>
    </row>
    <row r="834" spans="1:6" x14ac:dyDescent="0.2">
      <c r="A834" s="275"/>
      <c r="B834" s="78"/>
      <c r="C834" s="189"/>
      <c r="D834" s="185"/>
      <c r="E834" s="186"/>
      <c r="F834" s="187"/>
    </row>
    <row r="835" spans="1:6" x14ac:dyDescent="0.2">
      <c r="A835" s="275"/>
      <c r="B835" s="78"/>
      <c r="C835" s="189"/>
      <c r="D835" s="185"/>
      <c r="E835" s="186"/>
      <c r="F835" s="187"/>
    </row>
    <row r="836" spans="1:6" x14ac:dyDescent="0.2">
      <c r="A836" s="275"/>
      <c r="B836" s="78"/>
      <c r="C836" s="189"/>
      <c r="D836" s="185"/>
      <c r="E836" s="186"/>
      <c r="F836" s="187"/>
    </row>
    <row r="837" spans="1:6" x14ac:dyDescent="0.2">
      <c r="A837" s="275"/>
      <c r="B837" s="78"/>
      <c r="C837" s="189"/>
      <c r="D837" s="185"/>
      <c r="E837" s="186"/>
      <c r="F837" s="187"/>
    </row>
    <row r="838" spans="1:6" x14ac:dyDescent="0.2">
      <c r="A838" s="275"/>
      <c r="B838" s="78"/>
      <c r="C838" s="189"/>
      <c r="D838" s="185"/>
      <c r="E838" s="186"/>
      <c r="F838" s="187"/>
    </row>
    <row r="839" spans="1:6" x14ac:dyDescent="0.2">
      <c r="A839" s="275"/>
      <c r="B839" s="78"/>
      <c r="C839" s="189"/>
      <c r="D839" s="185"/>
      <c r="E839" s="186"/>
      <c r="F839" s="187"/>
    </row>
    <row r="840" spans="1:6" x14ac:dyDescent="0.2">
      <c r="A840" s="275"/>
      <c r="B840" s="78"/>
      <c r="C840" s="189"/>
      <c r="D840" s="185"/>
      <c r="E840" s="186"/>
      <c r="F840" s="187"/>
    </row>
    <row r="841" spans="1:6" x14ac:dyDescent="0.2">
      <c r="A841" s="275"/>
      <c r="B841" s="78"/>
      <c r="C841" s="189"/>
      <c r="D841" s="185"/>
      <c r="E841" s="186"/>
      <c r="F841" s="187"/>
    </row>
    <row r="842" spans="1:6" x14ac:dyDescent="0.2">
      <c r="A842" s="275"/>
      <c r="B842" s="78"/>
      <c r="C842" s="189"/>
      <c r="D842" s="185"/>
      <c r="E842" s="186"/>
      <c r="F842" s="187"/>
    </row>
    <row r="843" spans="1:6" x14ac:dyDescent="0.2">
      <c r="A843" s="275"/>
      <c r="B843" s="78"/>
      <c r="C843" s="189"/>
      <c r="D843" s="185"/>
      <c r="E843" s="186"/>
      <c r="F843" s="187"/>
    </row>
    <row r="844" spans="1:6" x14ac:dyDescent="0.2">
      <c r="A844" s="275"/>
      <c r="B844" s="78"/>
      <c r="C844" s="189"/>
      <c r="D844" s="185"/>
      <c r="E844" s="186"/>
      <c r="F844" s="187"/>
    </row>
    <row r="845" spans="1:6" x14ac:dyDescent="0.2">
      <c r="A845" s="275"/>
      <c r="B845" s="78"/>
      <c r="C845" s="189"/>
      <c r="D845" s="185"/>
      <c r="E845" s="186"/>
      <c r="F845" s="187"/>
    </row>
    <row r="846" spans="1:6" x14ac:dyDescent="0.2">
      <c r="A846" s="275"/>
      <c r="B846" s="78"/>
      <c r="C846" s="189"/>
      <c r="D846" s="185"/>
      <c r="E846" s="186"/>
      <c r="F846" s="187"/>
    </row>
    <row r="847" spans="1:6" x14ac:dyDescent="0.2">
      <c r="A847" s="275"/>
      <c r="B847" s="78"/>
      <c r="C847" s="189"/>
      <c r="D847" s="185"/>
      <c r="E847" s="186"/>
      <c r="F847" s="187"/>
    </row>
    <row r="848" spans="1:6" x14ac:dyDescent="0.2">
      <c r="A848" s="275"/>
      <c r="B848" s="78"/>
      <c r="C848" s="189"/>
      <c r="D848" s="185"/>
      <c r="E848" s="186"/>
      <c r="F848" s="187"/>
    </row>
    <row r="849" spans="1:6" x14ac:dyDescent="0.2">
      <c r="A849" s="275"/>
      <c r="B849" s="78"/>
      <c r="C849" s="189"/>
      <c r="D849" s="185"/>
      <c r="E849" s="186"/>
      <c r="F849" s="187"/>
    </row>
    <row r="850" spans="1:6" x14ac:dyDescent="0.2">
      <c r="A850" s="275"/>
      <c r="B850" s="78"/>
      <c r="C850" s="189"/>
      <c r="D850" s="185"/>
      <c r="E850" s="186"/>
      <c r="F850" s="187"/>
    </row>
    <row r="851" spans="1:6" x14ac:dyDescent="0.2">
      <c r="A851" s="275"/>
      <c r="B851" s="78"/>
      <c r="C851" s="189"/>
      <c r="D851" s="185"/>
      <c r="E851" s="186"/>
      <c r="F851" s="187"/>
    </row>
    <row r="852" spans="1:6" x14ac:dyDescent="0.2">
      <c r="A852" s="275"/>
      <c r="B852" s="78"/>
      <c r="C852" s="189"/>
      <c r="D852" s="185"/>
      <c r="E852" s="186"/>
      <c r="F852" s="187"/>
    </row>
    <row r="853" spans="1:6" x14ac:dyDescent="0.2">
      <c r="A853" s="275"/>
      <c r="B853" s="78"/>
      <c r="C853" s="189"/>
      <c r="D853" s="185"/>
      <c r="E853" s="186"/>
      <c r="F853" s="187"/>
    </row>
    <row r="854" spans="1:6" x14ac:dyDescent="0.2">
      <c r="A854" s="275"/>
      <c r="B854" s="78"/>
      <c r="C854" s="189"/>
      <c r="D854" s="185"/>
      <c r="E854" s="186"/>
      <c r="F854" s="187"/>
    </row>
    <row r="855" spans="1:6" x14ac:dyDescent="0.2">
      <c r="A855" s="275"/>
      <c r="B855" s="78"/>
      <c r="C855" s="189"/>
      <c r="D855" s="185"/>
      <c r="E855" s="186"/>
      <c r="F855" s="187"/>
    </row>
    <row r="856" spans="1:6" x14ac:dyDescent="0.2">
      <c r="A856" s="275"/>
      <c r="B856" s="78"/>
      <c r="C856" s="189"/>
      <c r="D856" s="185"/>
      <c r="E856" s="186"/>
      <c r="F856" s="187"/>
    </row>
    <row r="857" spans="1:6" x14ac:dyDescent="0.2">
      <c r="A857" s="275"/>
      <c r="B857" s="78"/>
      <c r="C857" s="189"/>
      <c r="D857" s="185"/>
      <c r="E857" s="186"/>
      <c r="F857" s="187"/>
    </row>
    <row r="858" spans="1:6" x14ac:dyDescent="0.2">
      <c r="A858" s="275"/>
      <c r="B858" s="78"/>
      <c r="C858" s="189"/>
      <c r="D858" s="185"/>
      <c r="E858" s="186"/>
      <c r="F858" s="187"/>
    </row>
    <row r="859" spans="1:6" x14ac:dyDescent="0.2">
      <c r="A859" s="275"/>
      <c r="B859" s="78"/>
      <c r="C859" s="189"/>
      <c r="D859" s="185"/>
      <c r="E859" s="186"/>
      <c r="F859" s="187"/>
    </row>
    <row r="860" spans="1:6" x14ac:dyDescent="0.2">
      <c r="A860" s="275"/>
      <c r="B860" s="78"/>
      <c r="C860" s="189"/>
      <c r="D860" s="185"/>
      <c r="E860" s="186"/>
      <c r="F860" s="187"/>
    </row>
    <row r="861" spans="1:6" x14ac:dyDescent="0.2">
      <c r="A861" s="275"/>
      <c r="B861" s="78"/>
      <c r="C861" s="189"/>
      <c r="D861" s="185"/>
      <c r="E861" s="186"/>
      <c r="F861" s="187"/>
    </row>
    <row r="862" spans="1:6" x14ac:dyDescent="0.2">
      <c r="A862" s="275"/>
      <c r="B862" s="78"/>
      <c r="C862" s="189"/>
      <c r="D862" s="185"/>
      <c r="E862" s="186"/>
      <c r="F862" s="187"/>
    </row>
    <row r="863" spans="1:6" x14ac:dyDescent="0.2">
      <c r="A863" s="275"/>
      <c r="B863" s="78"/>
      <c r="C863" s="189"/>
      <c r="D863" s="185"/>
      <c r="E863" s="186"/>
      <c r="F863" s="187"/>
    </row>
    <row r="864" spans="1:6" x14ac:dyDescent="0.2">
      <c r="A864" s="275"/>
      <c r="B864" s="78"/>
      <c r="C864" s="189"/>
      <c r="D864" s="185"/>
      <c r="E864" s="186"/>
      <c r="F864" s="187"/>
    </row>
    <row r="865" spans="1:6" x14ac:dyDescent="0.2">
      <c r="A865" s="275"/>
      <c r="B865" s="78"/>
      <c r="C865" s="189"/>
      <c r="D865" s="185"/>
      <c r="E865" s="186"/>
      <c r="F865" s="187"/>
    </row>
    <row r="866" spans="1:6" x14ac:dyDescent="0.2">
      <c r="A866" s="275"/>
      <c r="B866" s="78"/>
      <c r="C866" s="189"/>
      <c r="D866" s="185"/>
      <c r="E866" s="186"/>
      <c r="F866" s="187"/>
    </row>
    <row r="867" spans="1:6" x14ac:dyDescent="0.2">
      <c r="A867" s="275"/>
      <c r="B867" s="78"/>
      <c r="C867" s="189"/>
      <c r="D867" s="185"/>
      <c r="E867" s="186"/>
      <c r="F867" s="187"/>
    </row>
    <row r="868" spans="1:6" x14ac:dyDescent="0.2">
      <c r="A868" s="275"/>
      <c r="B868" s="78"/>
      <c r="C868" s="189"/>
      <c r="D868" s="185"/>
      <c r="E868" s="186"/>
      <c r="F868" s="187"/>
    </row>
    <row r="869" spans="1:6" x14ac:dyDescent="0.2">
      <c r="A869" s="275"/>
      <c r="B869" s="78"/>
      <c r="C869" s="189"/>
      <c r="D869" s="185"/>
      <c r="E869" s="186"/>
      <c r="F869" s="187"/>
    </row>
    <row r="870" spans="1:6" x14ac:dyDescent="0.2">
      <c r="A870" s="275"/>
      <c r="B870" s="78"/>
      <c r="C870" s="189"/>
      <c r="D870" s="185"/>
      <c r="E870" s="186"/>
      <c r="F870" s="187"/>
    </row>
    <row r="871" spans="1:6" x14ac:dyDescent="0.2">
      <c r="A871" s="275"/>
      <c r="B871" s="78"/>
      <c r="C871" s="189"/>
      <c r="D871" s="185"/>
      <c r="E871" s="186"/>
      <c r="F871" s="187"/>
    </row>
    <row r="872" spans="1:6" x14ac:dyDescent="0.2">
      <c r="A872" s="275"/>
      <c r="B872" s="78"/>
      <c r="C872" s="189"/>
      <c r="D872" s="185"/>
      <c r="E872" s="186"/>
      <c r="F872" s="187"/>
    </row>
    <row r="873" spans="1:6" x14ac:dyDescent="0.2">
      <c r="A873" s="275"/>
      <c r="B873" s="78"/>
      <c r="C873" s="189"/>
      <c r="D873" s="185"/>
      <c r="E873" s="186"/>
      <c r="F873" s="187"/>
    </row>
    <row r="874" spans="1:6" x14ac:dyDescent="0.2">
      <c r="A874" s="275"/>
      <c r="B874" s="78"/>
      <c r="C874" s="189"/>
      <c r="D874" s="185"/>
      <c r="E874" s="186"/>
      <c r="F874" s="187"/>
    </row>
    <row r="875" spans="1:6" x14ac:dyDescent="0.2">
      <c r="A875" s="275"/>
      <c r="B875" s="78"/>
      <c r="C875" s="189"/>
      <c r="D875" s="185"/>
      <c r="E875" s="186"/>
      <c r="F875" s="187"/>
    </row>
    <row r="876" spans="1:6" x14ac:dyDescent="0.2">
      <c r="A876" s="275"/>
      <c r="B876" s="78"/>
      <c r="C876" s="189"/>
      <c r="D876" s="185"/>
      <c r="E876" s="186"/>
      <c r="F876" s="187"/>
    </row>
    <row r="877" spans="1:6" x14ac:dyDescent="0.2">
      <c r="A877" s="275"/>
      <c r="B877" s="78"/>
      <c r="C877" s="189"/>
      <c r="D877" s="185"/>
      <c r="E877" s="186"/>
      <c r="F877" s="187"/>
    </row>
    <row r="878" spans="1:6" x14ac:dyDescent="0.2">
      <c r="A878" s="275"/>
      <c r="B878" s="78"/>
      <c r="C878" s="189"/>
      <c r="D878" s="185"/>
      <c r="E878" s="186"/>
      <c r="F878" s="187"/>
    </row>
    <row r="879" spans="1:6" x14ac:dyDescent="0.2">
      <c r="A879" s="275"/>
      <c r="B879" s="78"/>
      <c r="C879" s="189"/>
      <c r="D879" s="185"/>
      <c r="E879" s="186"/>
      <c r="F879" s="187"/>
    </row>
    <row r="880" spans="1:6" x14ac:dyDescent="0.2">
      <c r="A880" s="275"/>
      <c r="B880" s="78"/>
      <c r="C880" s="189"/>
      <c r="D880" s="185"/>
      <c r="E880" s="186"/>
      <c r="F880" s="187"/>
    </row>
    <row r="881" spans="1:6" x14ac:dyDescent="0.2">
      <c r="A881" s="275"/>
      <c r="B881" s="78"/>
      <c r="C881" s="189"/>
      <c r="D881" s="185"/>
      <c r="E881" s="186"/>
      <c r="F881" s="187"/>
    </row>
    <row r="882" spans="1:6" x14ac:dyDescent="0.2">
      <c r="A882" s="275"/>
      <c r="B882" s="78"/>
      <c r="C882" s="189"/>
      <c r="D882" s="185"/>
      <c r="E882" s="186"/>
      <c r="F882" s="187"/>
    </row>
    <row r="883" spans="1:6" x14ac:dyDescent="0.2">
      <c r="A883" s="275"/>
      <c r="B883" s="78"/>
      <c r="C883" s="189"/>
      <c r="D883" s="185"/>
      <c r="E883" s="186"/>
      <c r="F883" s="187"/>
    </row>
    <row r="884" spans="1:6" x14ac:dyDescent="0.2">
      <c r="A884" s="275"/>
      <c r="B884" s="78"/>
      <c r="C884" s="189"/>
      <c r="D884" s="185"/>
      <c r="E884" s="186"/>
      <c r="F884" s="187"/>
    </row>
    <row r="885" spans="1:6" x14ac:dyDescent="0.2">
      <c r="A885" s="275"/>
      <c r="B885" s="78"/>
      <c r="C885" s="189"/>
      <c r="D885" s="185"/>
      <c r="E885" s="186"/>
      <c r="F885" s="187"/>
    </row>
    <row r="886" spans="1:6" x14ac:dyDescent="0.2">
      <c r="A886" s="275"/>
      <c r="B886" s="78"/>
      <c r="C886" s="189"/>
      <c r="D886" s="185"/>
      <c r="E886" s="186"/>
      <c r="F886" s="187"/>
    </row>
    <row r="887" spans="1:6" x14ac:dyDescent="0.2">
      <c r="A887" s="275"/>
      <c r="B887" s="78"/>
      <c r="C887" s="189"/>
      <c r="D887" s="185"/>
      <c r="E887" s="186"/>
      <c r="F887" s="187"/>
    </row>
    <row r="888" spans="1:6" x14ac:dyDescent="0.2">
      <c r="A888" s="275"/>
      <c r="B888" s="78"/>
      <c r="C888" s="189"/>
      <c r="D888" s="185"/>
      <c r="E888" s="186"/>
      <c r="F888" s="187"/>
    </row>
    <row r="889" spans="1:6" x14ac:dyDescent="0.2">
      <c r="A889" s="275"/>
      <c r="B889" s="78"/>
      <c r="C889" s="189"/>
      <c r="D889" s="185"/>
      <c r="E889" s="186"/>
      <c r="F889" s="187"/>
    </row>
    <row r="890" spans="1:6" x14ac:dyDescent="0.2">
      <c r="A890" s="275"/>
      <c r="B890" s="78"/>
      <c r="C890" s="189"/>
      <c r="D890" s="185"/>
      <c r="E890" s="186"/>
      <c r="F890" s="187"/>
    </row>
    <row r="891" spans="1:6" x14ac:dyDescent="0.2">
      <c r="A891" s="275"/>
      <c r="B891" s="78"/>
      <c r="C891" s="189"/>
      <c r="D891" s="185"/>
      <c r="E891" s="186"/>
      <c r="F891" s="187"/>
    </row>
    <row r="892" spans="1:6" x14ac:dyDescent="0.2">
      <c r="A892" s="275"/>
      <c r="B892" s="78"/>
      <c r="C892" s="189"/>
      <c r="D892" s="185"/>
      <c r="E892" s="186"/>
      <c r="F892" s="187"/>
    </row>
    <row r="893" spans="1:6" x14ac:dyDescent="0.2">
      <c r="A893" s="275"/>
      <c r="B893" s="78"/>
      <c r="C893" s="189"/>
      <c r="D893" s="185"/>
      <c r="E893" s="186"/>
      <c r="F893" s="187"/>
    </row>
    <row r="894" spans="1:6" x14ac:dyDescent="0.2">
      <c r="A894" s="275"/>
      <c r="B894" s="78"/>
      <c r="C894" s="189"/>
      <c r="D894" s="185"/>
      <c r="E894" s="186"/>
      <c r="F894" s="187"/>
    </row>
    <row r="895" spans="1:6" x14ac:dyDescent="0.2">
      <c r="A895" s="275"/>
      <c r="B895" s="78"/>
      <c r="C895" s="189"/>
      <c r="D895" s="185"/>
      <c r="E895" s="186"/>
      <c r="F895" s="187"/>
    </row>
    <row r="896" spans="1:6" x14ac:dyDescent="0.2">
      <c r="A896" s="275"/>
      <c r="B896" s="78"/>
      <c r="C896" s="189"/>
      <c r="D896" s="185"/>
      <c r="E896" s="186"/>
      <c r="F896" s="187"/>
    </row>
    <row r="897" spans="1:6" x14ac:dyDescent="0.2">
      <c r="A897" s="275"/>
      <c r="B897" s="78"/>
      <c r="C897" s="189"/>
      <c r="D897" s="185"/>
      <c r="E897" s="186"/>
      <c r="F897" s="187"/>
    </row>
    <row r="898" spans="1:6" x14ac:dyDescent="0.2">
      <c r="A898" s="275"/>
      <c r="B898" s="78"/>
      <c r="C898" s="189"/>
      <c r="D898" s="185"/>
      <c r="E898" s="186"/>
      <c r="F898" s="187"/>
    </row>
    <row r="899" spans="1:6" x14ac:dyDescent="0.2">
      <c r="A899" s="275"/>
      <c r="B899" s="78"/>
      <c r="C899" s="189"/>
      <c r="D899" s="185"/>
      <c r="E899" s="186"/>
      <c r="F899" s="187"/>
    </row>
    <row r="900" spans="1:6" x14ac:dyDescent="0.2">
      <c r="A900" s="275"/>
      <c r="B900" s="78"/>
      <c r="C900" s="189"/>
      <c r="D900" s="185"/>
      <c r="E900" s="186"/>
      <c r="F900" s="187"/>
    </row>
    <row r="901" spans="1:6" x14ac:dyDescent="0.2">
      <c r="A901" s="275"/>
      <c r="B901" s="78"/>
      <c r="C901" s="189"/>
      <c r="D901" s="185"/>
      <c r="E901" s="186"/>
      <c r="F901" s="187"/>
    </row>
    <row r="902" spans="1:6" x14ac:dyDescent="0.2">
      <c r="A902" s="275"/>
      <c r="B902" s="78"/>
      <c r="C902" s="189"/>
      <c r="D902" s="185"/>
      <c r="E902" s="186"/>
      <c r="F902" s="187"/>
    </row>
    <row r="903" spans="1:6" x14ac:dyDescent="0.2">
      <c r="A903" s="275"/>
      <c r="B903" s="78"/>
      <c r="C903" s="189"/>
      <c r="D903" s="185"/>
      <c r="E903" s="186"/>
      <c r="F903" s="187"/>
    </row>
    <row r="904" spans="1:6" x14ac:dyDescent="0.2">
      <c r="A904" s="275"/>
      <c r="B904" s="78"/>
      <c r="C904" s="189"/>
      <c r="D904" s="185"/>
      <c r="E904" s="186"/>
      <c r="F904" s="187"/>
    </row>
    <row r="905" spans="1:6" x14ac:dyDescent="0.2">
      <c r="A905" s="275"/>
      <c r="B905" s="78"/>
      <c r="C905" s="189"/>
      <c r="D905" s="185"/>
      <c r="E905" s="186"/>
      <c r="F905" s="187"/>
    </row>
    <row r="906" spans="1:6" x14ac:dyDescent="0.2">
      <c r="A906" s="275"/>
      <c r="B906" s="78"/>
      <c r="C906" s="189"/>
      <c r="D906" s="185"/>
      <c r="E906" s="186"/>
      <c r="F906" s="187"/>
    </row>
    <row r="907" spans="1:6" x14ac:dyDescent="0.2">
      <c r="A907" s="275"/>
      <c r="B907" s="78"/>
      <c r="C907" s="189"/>
      <c r="D907" s="185"/>
      <c r="E907" s="186"/>
      <c r="F907" s="187"/>
    </row>
    <row r="908" spans="1:6" x14ac:dyDescent="0.2">
      <c r="A908" s="275"/>
      <c r="B908" s="78"/>
      <c r="C908" s="189"/>
      <c r="D908" s="185"/>
      <c r="E908" s="186"/>
      <c r="F908" s="187"/>
    </row>
    <row r="909" spans="1:6" x14ac:dyDescent="0.2">
      <c r="A909" s="275"/>
      <c r="B909" s="78"/>
      <c r="C909" s="189"/>
      <c r="D909" s="185"/>
      <c r="E909" s="186"/>
      <c r="F909" s="187"/>
    </row>
    <row r="910" spans="1:6" x14ac:dyDescent="0.2">
      <c r="A910" s="275"/>
      <c r="B910" s="78"/>
      <c r="C910" s="189"/>
      <c r="D910" s="185"/>
      <c r="E910" s="186"/>
      <c r="F910" s="187"/>
    </row>
    <row r="911" spans="1:6" x14ac:dyDescent="0.2">
      <c r="A911" s="275"/>
      <c r="B911" s="78"/>
      <c r="C911" s="189"/>
      <c r="D911" s="185"/>
      <c r="E911" s="186"/>
      <c r="F911" s="187"/>
    </row>
    <row r="912" spans="1:6" x14ac:dyDescent="0.2">
      <c r="A912" s="275"/>
      <c r="B912" s="78"/>
      <c r="C912" s="189"/>
      <c r="D912" s="185"/>
      <c r="E912" s="186"/>
      <c r="F912" s="187"/>
    </row>
    <row r="913" spans="1:6" x14ac:dyDescent="0.2">
      <c r="A913" s="275"/>
      <c r="B913" s="78"/>
      <c r="C913" s="189"/>
      <c r="D913" s="185"/>
      <c r="E913" s="186"/>
      <c r="F913" s="187"/>
    </row>
    <row r="914" spans="1:6" x14ac:dyDescent="0.2">
      <c r="A914" s="275"/>
      <c r="B914" s="78"/>
      <c r="C914" s="189"/>
      <c r="D914" s="185"/>
      <c r="E914" s="186"/>
      <c r="F914" s="187"/>
    </row>
    <row r="915" spans="1:6" x14ac:dyDescent="0.2">
      <c r="A915" s="275"/>
      <c r="B915" s="78"/>
      <c r="C915" s="189"/>
      <c r="D915" s="185"/>
      <c r="E915" s="186"/>
      <c r="F915" s="187"/>
    </row>
    <row r="916" spans="1:6" x14ac:dyDescent="0.2">
      <c r="A916" s="275"/>
      <c r="B916" s="78"/>
      <c r="C916" s="189"/>
      <c r="D916" s="185"/>
      <c r="E916" s="186"/>
      <c r="F916" s="187"/>
    </row>
    <row r="917" spans="1:6" x14ac:dyDescent="0.2">
      <c r="A917" s="275"/>
      <c r="B917" s="78"/>
      <c r="C917" s="189"/>
      <c r="D917" s="185"/>
      <c r="E917" s="186"/>
      <c r="F917" s="187"/>
    </row>
    <row r="918" spans="1:6" x14ac:dyDescent="0.2">
      <c r="A918" s="275"/>
      <c r="B918" s="78"/>
      <c r="C918" s="189"/>
      <c r="D918" s="185"/>
      <c r="E918" s="186"/>
      <c r="F918" s="187"/>
    </row>
    <row r="919" spans="1:6" x14ac:dyDescent="0.2">
      <c r="A919" s="275"/>
      <c r="B919" s="78"/>
      <c r="C919" s="189"/>
      <c r="D919" s="185"/>
      <c r="E919" s="186"/>
      <c r="F919" s="187"/>
    </row>
    <row r="920" spans="1:6" x14ac:dyDescent="0.2">
      <c r="A920" s="275"/>
      <c r="B920" s="78"/>
      <c r="C920" s="189"/>
      <c r="D920" s="185"/>
      <c r="E920" s="186"/>
      <c r="F920" s="187"/>
    </row>
    <row r="921" spans="1:6" x14ac:dyDescent="0.2">
      <c r="A921" s="275"/>
      <c r="B921" s="78"/>
      <c r="C921" s="189"/>
      <c r="D921" s="185"/>
      <c r="E921" s="186"/>
      <c r="F921" s="187"/>
    </row>
    <row r="922" spans="1:6" x14ac:dyDescent="0.2">
      <c r="A922" s="275"/>
      <c r="B922" s="78"/>
      <c r="C922" s="189"/>
      <c r="D922" s="185"/>
      <c r="E922" s="186"/>
      <c r="F922" s="187"/>
    </row>
    <row r="923" spans="1:6" x14ac:dyDescent="0.2">
      <c r="A923" s="275"/>
      <c r="B923" s="78"/>
      <c r="C923" s="189"/>
      <c r="D923" s="185"/>
      <c r="E923" s="186"/>
      <c r="F923" s="187"/>
    </row>
    <row r="924" spans="1:6" x14ac:dyDescent="0.2">
      <c r="A924" s="275"/>
      <c r="B924" s="78"/>
      <c r="C924" s="189"/>
      <c r="D924" s="185"/>
      <c r="E924" s="186"/>
      <c r="F924" s="187"/>
    </row>
    <row r="925" spans="1:6" x14ac:dyDescent="0.2">
      <c r="A925" s="275"/>
      <c r="B925" s="78"/>
      <c r="C925" s="189"/>
      <c r="D925" s="185"/>
      <c r="E925" s="186"/>
      <c r="F925" s="187"/>
    </row>
    <row r="926" spans="1:6" x14ac:dyDescent="0.2">
      <c r="A926" s="275"/>
      <c r="B926" s="78"/>
      <c r="C926" s="189"/>
      <c r="D926" s="185"/>
      <c r="E926" s="186"/>
      <c r="F926" s="187"/>
    </row>
    <row r="927" spans="1:6" x14ac:dyDescent="0.2">
      <c r="A927" s="275"/>
      <c r="B927" s="78"/>
      <c r="C927" s="189"/>
      <c r="D927" s="185"/>
      <c r="E927" s="186"/>
      <c r="F927" s="187"/>
    </row>
    <row r="928" spans="1:6" x14ac:dyDescent="0.2">
      <c r="A928" s="275"/>
      <c r="B928" s="78"/>
      <c r="C928" s="189"/>
      <c r="D928" s="185"/>
      <c r="E928" s="186"/>
      <c r="F928" s="187"/>
    </row>
    <row r="929" spans="1:6" x14ac:dyDescent="0.2">
      <c r="A929" s="275"/>
      <c r="B929" s="78"/>
      <c r="C929" s="189"/>
      <c r="D929" s="185"/>
      <c r="E929" s="186"/>
      <c r="F929" s="187"/>
    </row>
    <row r="930" spans="1:6" x14ac:dyDescent="0.2">
      <c r="A930" s="275"/>
      <c r="B930" s="78"/>
      <c r="C930" s="189"/>
      <c r="D930" s="185"/>
      <c r="E930" s="186"/>
      <c r="F930" s="187"/>
    </row>
    <row r="931" spans="1:6" x14ac:dyDescent="0.2">
      <c r="A931" s="275"/>
      <c r="B931" s="78"/>
      <c r="C931" s="189"/>
      <c r="D931" s="185"/>
      <c r="E931" s="186"/>
      <c r="F931" s="187"/>
    </row>
    <row r="932" spans="1:6" x14ac:dyDescent="0.2">
      <c r="A932" s="275"/>
      <c r="B932" s="78"/>
      <c r="C932" s="189"/>
      <c r="D932" s="185"/>
      <c r="E932" s="186"/>
      <c r="F932" s="187"/>
    </row>
    <row r="933" spans="1:6" x14ac:dyDescent="0.2">
      <c r="A933" s="275"/>
      <c r="B933" s="78"/>
      <c r="C933" s="189"/>
      <c r="D933" s="185"/>
      <c r="E933" s="186"/>
      <c r="F933" s="187"/>
    </row>
    <row r="934" spans="1:6" x14ac:dyDescent="0.2">
      <c r="A934" s="275"/>
      <c r="B934" s="78"/>
      <c r="C934" s="189"/>
      <c r="D934" s="185"/>
      <c r="E934" s="186"/>
      <c r="F934" s="187"/>
    </row>
    <row r="935" spans="1:6" x14ac:dyDescent="0.2">
      <c r="A935" s="275"/>
      <c r="B935" s="78"/>
      <c r="C935" s="189"/>
      <c r="D935" s="185"/>
      <c r="E935" s="186"/>
      <c r="F935" s="187"/>
    </row>
    <row r="936" spans="1:6" x14ac:dyDescent="0.2">
      <c r="A936" s="275"/>
      <c r="B936" s="78"/>
      <c r="C936" s="189"/>
      <c r="D936" s="185"/>
      <c r="E936" s="186"/>
      <c r="F936" s="187"/>
    </row>
    <row r="937" spans="1:6" x14ac:dyDescent="0.2">
      <c r="A937" s="275"/>
      <c r="B937" s="78"/>
      <c r="C937" s="189"/>
      <c r="D937" s="185"/>
      <c r="E937" s="186"/>
      <c r="F937" s="187"/>
    </row>
    <row r="938" spans="1:6" x14ac:dyDescent="0.2">
      <c r="A938" s="275"/>
      <c r="B938" s="78"/>
      <c r="C938" s="189"/>
      <c r="D938" s="185"/>
      <c r="E938" s="186"/>
      <c r="F938" s="187"/>
    </row>
    <row r="939" spans="1:6" x14ac:dyDescent="0.2">
      <c r="A939" s="275"/>
      <c r="B939" s="78"/>
      <c r="C939" s="189"/>
      <c r="D939" s="185"/>
      <c r="E939" s="186"/>
      <c r="F939" s="187"/>
    </row>
    <row r="940" spans="1:6" x14ac:dyDescent="0.2">
      <c r="A940" s="275"/>
      <c r="B940" s="78"/>
      <c r="C940" s="189"/>
      <c r="D940" s="185"/>
      <c r="E940" s="186"/>
      <c r="F940" s="187"/>
    </row>
    <row r="941" spans="1:6" x14ac:dyDescent="0.2">
      <c r="A941" s="275"/>
      <c r="B941" s="78"/>
      <c r="C941" s="189"/>
      <c r="D941" s="185"/>
      <c r="E941" s="186"/>
      <c r="F941" s="187"/>
    </row>
    <row r="942" spans="1:6" x14ac:dyDescent="0.2">
      <c r="A942" s="275"/>
      <c r="B942" s="78"/>
      <c r="C942" s="189"/>
      <c r="D942" s="185"/>
      <c r="E942" s="186"/>
      <c r="F942" s="187"/>
    </row>
    <row r="943" spans="1:6" x14ac:dyDescent="0.2">
      <c r="A943" s="275"/>
      <c r="B943" s="78"/>
      <c r="C943" s="189"/>
      <c r="D943" s="185"/>
      <c r="E943" s="186"/>
      <c r="F943" s="187"/>
    </row>
    <row r="944" spans="1:6" x14ac:dyDescent="0.2">
      <c r="A944" s="275"/>
      <c r="B944" s="78"/>
      <c r="C944" s="189"/>
      <c r="D944" s="185"/>
      <c r="E944" s="186"/>
      <c r="F944" s="187"/>
    </row>
    <row r="945" spans="1:6" x14ac:dyDescent="0.2">
      <c r="A945" s="275"/>
      <c r="B945" s="78"/>
      <c r="C945" s="189"/>
      <c r="D945" s="185"/>
      <c r="E945" s="186"/>
      <c r="F945" s="187"/>
    </row>
    <row r="946" spans="1:6" x14ac:dyDescent="0.2">
      <c r="A946" s="275"/>
      <c r="B946" s="78"/>
      <c r="C946" s="189"/>
      <c r="D946" s="185"/>
      <c r="E946" s="186"/>
      <c r="F946" s="187"/>
    </row>
    <row r="947" spans="1:6" x14ac:dyDescent="0.2">
      <c r="A947" s="275"/>
      <c r="B947" s="78"/>
      <c r="C947" s="189"/>
      <c r="D947" s="185"/>
      <c r="E947" s="186"/>
      <c r="F947" s="187"/>
    </row>
    <row r="948" spans="1:6" x14ac:dyDescent="0.2">
      <c r="A948" s="275"/>
      <c r="B948" s="78"/>
      <c r="C948" s="189"/>
      <c r="D948" s="185"/>
      <c r="E948" s="186"/>
      <c r="F948" s="187"/>
    </row>
    <row r="949" spans="1:6" x14ac:dyDescent="0.2">
      <c r="A949" s="275"/>
      <c r="B949" s="78"/>
      <c r="C949" s="189"/>
      <c r="D949" s="185"/>
      <c r="E949" s="186"/>
      <c r="F949" s="187"/>
    </row>
    <row r="950" spans="1:6" x14ac:dyDescent="0.2">
      <c r="A950" s="275"/>
      <c r="B950" s="78"/>
      <c r="C950" s="189"/>
      <c r="D950" s="185"/>
      <c r="E950" s="186"/>
      <c r="F950" s="187"/>
    </row>
    <row r="951" spans="1:6" x14ac:dyDescent="0.2">
      <c r="A951" s="275"/>
      <c r="B951" s="78"/>
      <c r="C951" s="189"/>
      <c r="D951" s="185"/>
      <c r="E951" s="186"/>
      <c r="F951" s="187"/>
    </row>
    <row r="952" spans="1:6" x14ac:dyDescent="0.2">
      <c r="A952" s="275"/>
      <c r="B952" s="78"/>
      <c r="C952" s="189"/>
      <c r="D952" s="185"/>
      <c r="E952" s="186"/>
      <c r="F952" s="187"/>
    </row>
    <row r="953" spans="1:6" x14ac:dyDescent="0.2">
      <c r="A953" s="275"/>
      <c r="B953" s="78"/>
      <c r="C953" s="189"/>
      <c r="D953" s="185"/>
      <c r="E953" s="186"/>
      <c r="F953" s="187"/>
    </row>
    <row r="954" spans="1:6" x14ac:dyDescent="0.2">
      <c r="A954" s="275"/>
      <c r="B954" s="78"/>
      <c r="C954" s="189"/>
      <c r="D954" s="185"/>
      <c r="E954" s="186"/>
      <c r="F954" s="187"/>
    </row>
    <row r="955" spans="1:6" x14ac:dyDescent="0.2">
      <c r="A955" s="275"/>
      <c r="B955" s="78"/>
      <c r="C955" s="189"/>
      <c r="D955" s="185"/>
      <c r="E955" s="186"/>
      <c r="F955" s="187"/>
    </row>
    <row r="956" spans="1:6" x14ac:dyDescent="0.2">
      <c r="A956" s="275"/>
      <c r="B956" s="78"/>
      <c r="C956" s="189"/>
      <c r="D956" s="185"/>
      <c r="E956" s="186"/>
      <c r="F956" s="187"/>
    </row>
    <row r="957" spans="1:6" x14ac:dyDescent="0.2">
      <c r="A957" s="275"/>
      <c r="B957" s="78"/>
      <c r="C957" s="189"/>
      <c r="D957" s="185"/>
      <c r="E957" s="186"/>
      <c r="F957" s="187"/>
    </row>
    <row r="958" spans="1:6" x14ac:dyDescent="0.2">
      <c r="A958" s="275"/>
      <c r="B958" s="78"/>
      <c r="C958" s="189"/>
      <c r="D958" s="185"/>
      <c r="E958" s="186"/>
      <c r="F958" s="187"/>
    </row>
    <row r="959" spans="1:6" x14ac:dyDescent="0.2">
      <c r="A959" s="275"/>
      <c r="B959" s="78"/>
      <c r="C959" s="189"/>
      <c r="D959" s="185"/>
      <c r="E959" s="186"/>
      <c r="F959" s="187"/>
    </row>
    <row r="960" spans="1:6" x14ac:dyDescent="0.2">
      <c r="A960" s="275"/>
      <c r="B960" s="78"/>
      <c r="C960" s="189"/>
      <c r="D960" s="185"/>
      <c r="E960" s="186"/>
      <c r="F960" s="187"/>
    </row>
    <row r="961" spans="1:6" x14ac:dyDescent="0.2">
      <c r="A961" s="275"/>
      <c r="B961" s="78"/>
      <c r="C961" s="189"/>
      <c r="D961" s="185"/>
      <c r="E961" s="186"/>
      <c r="F961" s="187"/>
    </row>
    <row r="962" spans="1:6" x14ac:dyDescent="0.2">
      <c r="A962" s="275"/>
      <c r="B962" s="78"/>
      <c r="C962" s="189"/>
      <c r="D962" s="185"/>
      <c r="E962" s="186"/>
      <c r="F962" s="187"/>
    </row>
    <row r="963" spans="1:6" x14ac:dyDescent="0.2">
      <c r="A963" s="275"/>
      <c r="B963" s="78"/>
      <c r="C963" s="189"/>
      <c r="D963" s="185"/>
      <c r="E963" s="186"/>
      <c r="F963" s="187"/>
    </row>
    <row r="964" spans="1:6" x14ac:dyDescent="0.2">
      <c r="A964" s="275"/>
      <c r="B964" s="78"/>
      <c r="C964" s="189"/>
      <c r="D964" s="185"/>
      <c r="E964" s="186"/>
      <c r="F964" s="187"/>
    </row>
    <row r="965" spans="1:6" x14ac:dyDescent="0.2">
      <c r="A965" s="275"/>
      <c r="B965" s="78"/>
      <c r="C965" s="189"/>
      <c r="D965" s="185"/>
      <c r="E965" s="186"/>
      <c r="F965" s="187"/>
    </row>
    <row r="966" spans="1:6" x14ac:dyDescent="0.2">
      <c r="A966" s="275"/>
      <c r="B966" s="78"/>
      <c r="C966" s="189"/>
      <c r="D966" s="185"/>
      <c r="E966" s="186"/>
      <c r="F966" s="187"/>
    </row>
    <row r="967" spans="1:6" x14ac:dyDescent="0.2">
      <c r="A967" s="275"/>
      <c r="B967" s="78"/>
      <c r="C967" s="189"/>
      <c r="D967" s="185"/>
      <c r="E967" s="186"/>
      <c r="F967" s="187"/>
    </row>
    <row r="968" spans="1:6" x14ac:dyDescent="0.2">
      <c r="A968" s="275"/>
      <c r="B968" s="78"/>
      <c r="C968" s="189"/>
      <c r="D968" s="185"/>
      <c r="E968" s="186"/>
      <c r="F968" s="187"/>
    </row>
    <row r="969" spans="1:6" x14ac:dyDescent="0.2">
      <c r="A969" s="275"/>
      <c r="B969" s="78"/>
      <c r="C969" s="189"/>
      <c r="D969" s="185"/>
      <c r="E969" s="186"/>
      <c r="F969" s="187"/>
    </row>
    <row r="970" spans="1:6" x14ac:dyDescent="0.2">
      <c r="A970" s="275"/>
      <c r="B970" s="78"/>
      <c r="C970" s="189"/>
      <c r="D970" s="185"/>
      <c r="E970" s="186"/>
      <c r="F970" s="187"/>
    </row>
    <row r="971" spans="1:6" x14ac:dyDescent="0.2">
      <c r="A971" s="275"/>
      <c r="B971" s="78"/>
      <c r="C971" s="189"/>
      <c r="D971" s="185"/>
      <c r="E971" s="186"/>
      <c r="F971" s="187"/>
    </row>
    <row r="972" spans="1:6" x14ac:dyDescent="0.2">
      <c r="A972" s="275"/>
      <c r="B972" s="78"/>
      <c r="C972" s="189"/>
      <c r="D972" s="185"/>
      <c r="E972" s="186"/>
      <c r="F972" s="187"/>
    </row>
    <row r="973" spans="1:6" x14ac:dyDescent="0.2">
      <c r="A973" s="275"/>
      <c r="B973" s="78"/>
      <c r="C973" s="189"/>
      <c r="D973" s="185"/>
      <c r="E973" s="186"/>
      <c r="F973" s="187"/>
    </row>
    <row r="974" spans="1:6" x14ac:dyDescent="0.2">
      <c r="A974" s="275"/>
      <c r="B974" s="78"/>
      <c r="C974" s="189"/>
      <c r="D974" s="185"/>
      <c r="E974" s="186"/>
      <c r="F974" s="187"/>
    </row>
    <row r="975" spans="1:6" x14ac:dyDescent="0.2">
      <c r="A975" s="275"/>
      <c r="B975" s="78"/>
      <c r="C975" s="189"/>
      <c r="D975" s="185"/>
      <c r="E975" s="186"/>
      <c r="F975" s="187"/>
    </row>
    <row r="976" spans="1:6" x14ac:dyDescent="0.2">
      <c r="A976" s="275"/>
      <c r="B976" s="78"/>
      <c r="C976" s="189"/>
      <c r="D976" s="185"/>
      <c r="E976" s="186"/>
      <c r="F976" s="187"/>
    </row>
    <row r="977" spans="1:6" x14ac:dyDescent="0.2">
      <c r="A977" s="275"/>
      <c r="B977" s="78"/>
      <c r="C977" s="189"/>
      <c r="D977" s="185"/>
      <c r="E977" s="186"/>
      <c r="F977" s="187"/>
    </row>
    <row r="978" spans="1:6" x14ac:dyDescent="0.2">
      <c r="A978" s="275"/>
      <c r="B978" s="78"/>
      <c r="C978" s="189"/>
      <c r="D978" s="185"/>
      <c r="E978" s="186"/>
      <c r="F978" s="187"/>
    </row>
    <row r="979" spans="1:6" x14ac:dyDescent="0.2">
      <c r="A979" s="275"/>
      <c r="B979" s="78"/>
      <c r="C979" s="189"/>
      <c r="D979" s="185"/>
      <c r="E979" s="186"/>
      <c r="F979" s="187"/>
    </row>
    <row r="980" spans="1:6" x14ac:dyDescent="0.2">
      <c r="A980" s="275"/>
      <c r="B980" s="78"/>
      <c r="C980" s="189"/>
      <c r="D980" s="185"/>
      <c r="E980" s="186"/>
      <c r="F980" s="187"/>
    </row>
    <row r="981" spans="1:6" x14ac:dyDescent="0.2">
      <c r="A981" s="275"/>
      <c r="B981" s="78"/>
      <c r="C981" s="189"/>
      <c r="D981" s="185"/>
      <c r="E981" s="186"/>
      <c r="F981" s="187"/>
    </row>
    <row r="982" spans="1:6" x14ac:dyDescent="0.2">
      <c r="A982" s="275"/>
      <c r="B982" s="78"/>
      <c r="C982" s="189"/>
      <c r="D982" s="185"/>
      <c r="E982" s="186"/>
      <c r="F982" s="187"/>
    </row>
    <row r="983" spans="1:6" x14ac:dyDescent="0.2">
      <c r="A983" s="275"/>
      <c r="B983" s="78"/>
      <c r="C983" s="189"/>
      <c r="D983" s="185"/>
      <c r="E983" s="186"/>
      <c r="F983" s="187"/>
    </row>
    <row r="984" spans="1:6" x14ac:dyDescent="0.2">
      <c r="A984" s="275"/>
      <c r="B984" s="78"/>
      <c r="C984" s="189"/>
      <c r="D984" s="185"/>
      <c r="E984" s="186"/>
      <c r="F984" s="187"/>
    </row>
    <row r="985" spans="1:6" x14ac:dyDescent="0.2">
      <c r="A985" s="275"/>
      <c r="B985" s="78"/>
      <c r="C985" s="189"/>
      <c r="D985" s="185"/>
      <c r="E985" s="186"/>
      <c r="F985" s="187"/>
    </row>
    <row r="986" spans="1:6" x14ac:dyDescent="0.2">
      <c r="A986" s="275"/>
      <c r="B986" s="78"/>
      <c r="C986" s="189"/>
      <c r="D986" s="185"/>
      <c r="E986" s="186"/>
      <c r="F986" s="187"/>
    </row>
    <row r="987" spans="1:6" x14ac:dyDescent="0.2">
      <c r="A987" s="275"/>
      <c r="B987" s="78"/>
      <c r="C987" s="189"/>
      <c r="D987" s="185"/>
      <c r="E987" s="186"/>
      <c r="F987" s="187"/>
    </row>
    <row r="988" spans="1:6" x14ac:dyDescent="0.2">
      <c r="A988" s="275"/>
      <c r="B988" s="78"/>
      <c r="C988" s="189"/>
      <c r="D988" s="185"/>
      <c r="E988" s="186"/>
      <c r="F988" s="187"/>
    </row>
    <row r="989" spans="1:6" x14ac:dyDescent="0.2">
      <c r="A989" s="275"/>
      <c r="B989" s="78"/>
      <c r="C989" s="189"/>
      <c r="D989" s="185"/>
      <c r="E989" s="186"/>
      <c r="F989" s="187"/>
    </row>
    <row r="990" spans="1:6" x14ac:dyDescent="0.2">
      <c r="A990" s="275"/>
      <c r="B990" s="78"/>
      <c r="C990" s="189"/>
      <c r="D990" s="185"/>
      <c r="E990" s="186"/>
      <c r="F990" s="187"/>
    </row>
    <row r="991" spans="1:6" x14ac:dyDescent="0.2">
      <c r="A991" s="275"/>
      <c r="B991" s="78"/>
      <c r="C991" s="189"/>
      <c r="D991" s="185"/>
      <c r="E991" s="186"/>
      <c r="F991" s="187"/>
    </row>
    <row r="992" spans="1:6" x14ac:dyDescent="0.2">
      <c r="A992" s="275"/>
      <c r="B992" s="78"/>
      <c r="C992" s="189"/>
      <c r="D992" s="185"/>
      <c r="E992" s="186"/>
      <c r="F992" s="187"/>
    </row>
    <row r="993" spans="1:6" x14ac:dyDescent="0.2">
      <c r="A993" s="275"/>
      <c r="B993" s="78"/>
      <c r="C993" s="189"/>
      <c r="D993" s="185"/>
      <c r="E993" s="186"/>
      <c r="F993" s="187"/>
    </row>
    <row r="994" spans="1:6" x14ac:dyDescent="0.2">
      <c r="A994" s="275"/>
      <c r="B994" s="78"/>
      <c r="C994" s="189"/>
      <c r="D994" s="185"/>
      <c r="E994" s="186"/>
      <c r="F994" s="187"/>
    </row>
    <row r="995" spans="1:6" x14ac:dyDescent="0.2">
      <c r="A995" s="275"/>
      <c r="B995" s="78"/>
      <c r="C995" s="189"/>
      <c r="D995" s="185"/>
      <c r="E995" s="186"/>
      <c r="F995" s="187"/>
    </row>
    <row r="996" spans="1:6" x14ac:dyDescent="0.2">
      <c r="A996" s="275"/>
      <c r="B996" s="78"/>
      <c r="C996" s="189"/>
      <c r="D996" s="185"/>
      <c r="E996" s="186"/>
      <c r="F996" s="187"/>
    </row>
    <row r="997" spans="1:6" x14ac:dyDescent="0.2">
      <c r="A997" s="275"/>
      <c r="B997" s="78"/>
      <c r="C997" s="189"/>
      <c r="D997" s="185"/>
      <c r="E997" s="186"/>
      <c r="F997" s="187"/>
    </row>
    <row r="998" spans="1:6" x14ac:dyDescent="0.2">
      <c r="A998" s="275"/>
      <c r="B998" s="78"/>
      <c r="C998" s="189"/>
      <c r="D998" s="185"/>
      <c r="E998" s="186"/>
      <c r="F998" s="187"/>
    </row>
    <row r="999" spans="1:6" x14ac:dyDescent="0.2">
      <c r="A999" s="275"/>
      <c r="B999" s="78"/>
      <c r="C999" s="189"/>
      <c r="D999" s="185"/>
      <c r="E999" s="186"/>
      <c r="F999" s="187"/>
    </row>
    <row r="1000" spans="1:6" x14ac:dyDescent="0.2">
      <c r="A1000" s="275"/>
      <c r="B1000" s="78"/>
      <c r="C1000" s="189"/>
      <c r="D1000" s="185"/>
      <c r="E1000" s="186"/>
      <c r="F1000" s="187"/>
    </row>
    <row r="1001" spans="1:6" x14ac:dyDescent="0.2">
      <c r="A1001" s="275"/>
      <c r="B1001" s="78"/>
      <c r="C1001" s="189"/>
      <c r="D1001" s="185"/>
      <c r="E1001" s="186"/>
      <c r="F1001" s="187"/>
    </row>
    <row r="1002" spans="1:6" x14ac:dyDescent="0.2">
      <c r="A1002" s="275"/>
      <c r="B1002" s="78"/>
      <c r="C1002" s="189"/>
      <c r="D1002" s="185"/>
      <c r="E1002" s="186"/>
      <c r="F1002" s="187"/>
    </row>
    <row r="1003" spans="1:6" x14ac:dyDescent="0.2">
      <c r="A1003" s="275"/>
      <c r="B1003" s="78"/>
      <c r="C1003" s="189"/>
      <c r="D1003" s="185"/>
      <c r="E1003" s="186"/>
      <c r="F1003" s="187"/>
    </row>
    <row r="1004" spans="1:6" x14ac:dyDescent="0.2">
      <c r="A1004" s="275"/>
      <c r="B1004" s="78"/>
      <c r="C1004" s="189"/>
      <c r="D1004" s="185"/>
      <c r="E1004" s="186"/>
      <c r="F1004" s="187"/>
    </row>
    <row r="1005" spans="1:6" x14ac:dyDescent="0.2">
      <c r="A1005" s="275"/>
      <c r="B1005" s="78"/>
      <c r="C1005" s="189"/>
      <c r="D1005" s="185"/>
      <c r="E1005" s="186"/>
      <c r="F1005" s="187"/>
    </row>
    <row r="1006" spans="1:6" x14ac:dyDescent="0.2">
      <c r="A1006" s="275"/>
      <c r="B1006" s="78"/>
      <c r="C1006" s="189"/>
      <c r="D1006" s="185"/>
      <c r="E1006" s="186"/>
      <c r="F1006" s="187"/>
    </row>
    <row r="1007" spans="1:6" x14ac:dyDescent="0.2">
      <c r="A1007" s="275"/>
      <c r="B1007" s="78"/>
      <c r="C1007" s="189"/>
      <c r="D1007" s="185"/>
      <c r="E1007" s="186"/>
      <c r="F1007" s="187"/>
    </row>
    <row r="1008" spans="1:6" x14ac:dyDescent="0.2">
      <c r="A1008" s="275"/>
      <c r="B1008" s="78"/>
      <c r="C1008" s="189"/>
      <c r="D1008" s="185"/>
      <c r="E1008" s="186"/>
      <c r="F1008" s="187"/>
    </row>
    <row r="1009" spans="1:6" x14ac:dyDescent="0.2">
      <c r="A1009" s="275"/>
      <c r="B1009" s="78"/>
      <c r="C1009" s="189"/>
      <c r="D1009" s="185"/>
      <c r="E1009" s="186"/>
      <c r="F1009" s="187"/>
    </row>
    <row r="1010" spans="1:6" x14ac:dyDescent="0.2">
      <c r="A1010" s="275"/>
      <c r="B1010" s="78"/>
      <c r="C1010" s="189"/>
      <c r="D1010" s="185"/>
      <c r="E1010" s="186"/>
      <c r="F1010" s="187"/>
    </row>
    <row r="1011" spans="1:6" x14ac:dyDescent="0.2">
      <c r="A1011" s="275"/>
      <c r="B1011" s="78"/>
      <c r="C1011" s="189"/>
      <c r="D1011" s="185"/>
      <c r="E1011" s="186"/>
      <c r="F1011" s="187"/>
    </row>
    <row r="1012" spans="1:6" x14ac:dyDescent="0.2">
      <c r="A1012" s="275"/>
      <c r="B1012" s="78"/>
      <c r="C1012" s="189"/>
      <c r="D1012" s="185"/>
      <c r="E1012" s="186"/>
      <c r="F1012" s="187"/>
    </row>
    <row r="1013" spans="1:6" x14ac:dyDescent="0.2">
      <c r="A1013" s="275"/>
      <c r="B1013" s="78"/>
      <c r="C1013" s="189"/>
      <c r="D1013" s="185"/>
      <c r="E1013" s="186"/>
      <c r="F1013" s="187"/>
    </row>
    <row r="1014" spans="1:6" x14ac:dyDescent="0.2">
      <c r="A1014" s="275"/>
      <c r="B1014" s="78"/>
      <c r="C1014" s="189"/>
      <c r="D1014" s="185"/>
      <c r="E1014" s="186"/>
      <c r="F1014" s="187"/>
    </row>
    <row r="1015" spans="1:6" x14ac:dyDescent="0.2">
      <c r="A1015" s="275"/>
      <c r="B1015" s="78"/>
      <c r="C1015" s="189"/>
      <c r="D1015" s="185"/>
      <c r="E1015" s="186"/>
      <c r="F1015" s="187"/>
    </row>
    <row r="1016" spans="1:6" x14ac:dyDescent="0.2">
      <c r="A1016" s="275"/>
      <c r="B1016" s="78"/>
      <c r="C1016" s="189"/>
      <c r="D1016" s="185"/>
      <c r="E1016" s="186"/>
      <c r="F1016" s="187"/>
    </row>
    <row r="1017" spans="1:6" x14ac:dyDescent="0.2">
      <c r="A1017" s="275"/>
      <c r="B1017" s="78"/>
      <c r="C1017" s="189"/>
      <c r="D1017" s="185"/>
      <c r="E1017" s="186"/>
      <c r="F1017" s="187"/>
    </row>
    <row r="1018" spans="1:6" x14ac:dyDescent="0.2">
      <c r="A1018" s="275"/>
      <c r="B1018" s="78"/>
      <c r="C1018" s="189"/>
      <c r="D1018" s="185"/>
      <c r="E1018" s="186"/>
      <c r="F1018" s="187"/>
    </row>
    <row r="1019" spans="1:6" x14ac:dyDescent="0.2">
      <c r="A1019" s="275"/>
      <c r="B1019" s="78"/>
      <c r="C1019" s="189"/>
      <c r="D1019" s="185"/>
      <c r="E1019" s="186"/>
      <c r="F1019" s="187"/>
    </row>
    <row r="1020" spans="1:6" x14ac:dyDescent="0.2">
      <c r="A1020" s="275"/>
      <c r="B1020" s="78"/>
      <c r="C1020" s="189"/>
      <c r="D1020" s="185"/>
      <c r="E1020" s="186"/>
      <c r="F1020" s="187"/>
    </row>
    <row r="1021" spans="1:6" x14ac:dyDescent="0.2">
      <c r="A1021" s="275"/>
      <c r="B1021" s="78"/>
      <c r="C1021" s="189"/>
      <c r="D1021" s="185"/>
      <c r="E1021" s="186"/>
      <c r="F1021" s="187"/>
    </row>
    <row r="1022" spans="1:6" x14ac:dyDescent="0.2">
      <c r="A1022" s="275"/>
      <c r="B1022" s="78"/>
      <c r="C1022" s="189"/>
      <c r="D1022" s="185"/>
      <c r="E1022" s="186"/>
      <c r="F1022" s="187"/>
    </row>
    <row r="1023" spans="1:6" x14ac:dyDescent="0.2">
      <c r="A1023" s="275"/>
      <c r="B1023" s="78"/>
      <c r="C1023" s="189"/>
      <c r="D1023" s="185"/>
      <c r="E1023" s="186"/>
      <c r="F1023" s="187"/>
    </row>
    <row r="1024" spans="1:6" x14ac:dyDescent="0.2">
      <c r="A1024" s="275"/>
      <c r="B1024" s="78"/>
      <c r="C1024" s="189"/>
      <c r="D1024" s="185"/>
      <c r="E1024" s="186"/>
      <c r="F1024" s="187"/>
    </row>
    <row r="1025" spans="1:6" x14ac:dyDescent="0.2">
      <c r="A1025" s="275"/>
      <c r="B1025" s="78"/>
      <c r="C1025" s="189"/>
      <c r="D1025" s="185"/>
      <c r="E1025" s="186"/>
      <c r="F1025" s="187"/>
    </row>
    <row r="1026" spans="1:6" x14ac:dyDescent="0.2">
      <c r="A1026" s="275"/>
      <c r="B1026" s="78"/>
      <c r="C1026" s="189"/>
      <c r="D1026" s="185"/>
      <c r="E1026" s="186"/>
      <c r="F1026" s="187"/>
    </row>
    <row r="1027" spans="1:6" x14ac:dyDescent="0.2">
      <c r="A1027" s="275"/>
      <c r="B1027" s="78"/>
      <c r="C1027" s="189"/>
      <c r="D1027" s="185"/>
      <c r="E1027" s="186"/>
      <c r="F1027" s="187"/>
    </row>
    <row r="1028" spans="1:6" x14ac:dyDescent="0.2">
      <c r="A1028" s="275"/>
      <c r="B1028" s="78"/>
      <c r="C1028" s="189"/>
      <c r="D1028" s="185"/>
      <c r="E1028" s="186"/>
      <c r="F1028" s="187"/>
    </row>
    <row r="1029" spans="1:6" x14ac:dyDescent="0.2">
      <c r="A1029" s="275"/>
      <c r="B1029" s="78"/>
      <c r="C1029" s="189"/>
      <c r="D1029" s="185"/>
      <c r="E1029" s="186"/>
      <c r="F1029" s="187"/>
    </row>
    <row r="1030" spans="1:6" x14ac:dyDescent="0.2">
      <c r="A1030" s="275"/>
      <c r="B1030" s="78"/>
      <c r="C1030" s="189"/>
      <c r="D1030" s="185"/>
      <c r="E1030" s="186"/>
      <c r="F1030" s="187"/>
    </row>
    <row r="1031" spans="1:6" x14ac:dyDescent="0.2">
      <c r="A1031" s="275"/>
      <c r="B1031" s="78"/>
      <c r="C1031" s="189"/>
      <c r="D1031" s="185"/>
      <c r="E1031" s="186"/>
      <c r="F1031" s="187"/>
    </row>
    <row r="1032" spans="1:6" x14ac:dyDescent="0.2">
      <c r="A1032" s="275"/>
      <c r="B1032" s="78"/>
      <c r="C1032" s="189"/>
      <c r="D1032" s="185"/>
      <c r="E1032" s="186"/>
      <c r="F1032" s="187"/>
    </row>
    <row r="1033" spans="1:6" x14ac:dyDescent="0.2">
      <c r="A1033" s="275"/>
      <c r="B1033" s="78"/>
      <c r="C1033" s="189"/>
      <c r="D1033" s="185"/>
      <c r="E1033" s="186"/>
      <c r="F1033" s="187"/>
    </row>
    <row r="1034" spans="1:6" x14ac:dyDescent="0.2">
      <c r="A1034" s="275"/>
      <c r="B1034" s="78"/>
      <c r="C1034" s="189"/>
      <c r="D1034" s="185"/>
      <c r="E1034" s="186"/>
      <c r="F1034" s="187"/>
    </row>
    <row r="1035" spans="1:6" x14ac:dyDescent="0.2">
      <c r="A1035" s="275"/>
      <c r="B1035" s="78"/>
      <c r="C1035" s="189"/>
      <c r="D1035" s="185"/>
      <c r="E1035" s="186"/>
      <c r="F1035" s="187"/>
    </row>
    <row r="1036" spans="1:6" x14ac:dyDescent="0.2">
      <c r="A1036" s="275"/>
      <c r="B1036" s="78"/>
      <c r="C1036" s="189"/>
      <c r="D1036" s="185"/>
      <c r="E1036" s="186"/>
      <c r="F1036" s="187"/>
    </row>
    <row r="1037" spans="1:6" x14ac:dyDescent="0.2">
      <c r="A1037" s="275"/>
      <c r="B1037" s="78"/>
      <c r="C1037" s="189"/>
      <c r="D1037" s="185"/>
      <c r="E1037" s="186"/>
      <c r="F1037" s="187"/>
    </row>
    <row r="1038" spans="1:6" x14ac:dyDescent="0.2">
      <c r="A1038" s="275"/>
      <c r="B1038" s="78"/>
      <c r="C1038" s="189"/>
      <c r="D1038" s="185"/>
      <c r="E1038" s="186"/>
      <c r="F1038" s="187"/>
    </row>
    <row r="1039" spans="1:6" x14ac:dyDescent="0.2">
      <c r="A1039" s="275"/>
      <c r="B1039" s="78"/>
      <c r="C1039" s="189"/>
      <c r="D1039" s="185"/>
      <c r="E1039" s="186"/>
      <c r="F1039" s="187"/>
    </row>
    <row r="1040" spans="1:6" x14ac:dyDescent="0.2">
      <c r="A1040" s="275"/>
      <c r="B1040" s="78"/>
      <c r="C1040" s="189"/>
      <c r="D1040" s="185"/>
      <c r="E1040" s="186"/>
      <c r="F1040" s="187"/>
    </row>
    <row r="1041" spans="1:6" x14ac:dyDescent="0.2">
      <c r="A1041" s="275"/>
      <c r="B1041" s="78"/>
      <c r="C1041" s="189"/>
      <c r="D1041" s="185"/>
      <c r="E1041" s="186"/>
      <c r="F1041" s="187"/>
    </row>
    <row r="1042" spans="1:6" x14ac:dyDescent="0.2">
      <c r="A1042" s="275"/>
      <c r="B1042" s="78"/>
      <c r="C1042" s="189"/>
      <c r="D1042" s="185"/>
      <c r="E1042" s="186"/>
      <c r="F1042" s="187"/>
    </row>
    <row r="1043" spans="1:6" x14ac:dyDescent="0.2">
      <c r="A1043" s="275"/>
      <c r="B1043" s="78"/>
      <c r="C1043" s="189"/>
      <c r="D1043" s="185"/>
      <c r="E1043" s="186"/>
      <c r="F1043" s="187"/>
    </row>
    <row r="1044" spans="1:6" x14ac:dyDescent="0.2">
      <c r="A1044" s="275"/>
      <c r="B1044" s="78"/>
      <c r="C1044" s="189"/>
      <c r="D1044" s="185"/>
      <c r="E1044" s="186"/>
      <c r="F1044" s="187"/>
    </row>
    <row r="1045" spans="1:6" x14ac:dyDescent="0.2">
      <c r="A1045" s="275"/>
      <c r="B1045" s="78"/>
      <c r="C1045" s="189"/>
      <c r="D1045" s="185"/>
      <c r="E1045" s="186"/>
      <c r="F1045" s="187"/>
    </row>
    <row r="1046" spans="1:6" x14ac:dyDescent="0.2">
      <c r="A1046" s="275"/>
      <c r="B1046" s="78"/>
      <c r="C1046" s="189"/>
      <c r="D1046" s="185"/>
      <c r="E1046" s="186"/>
      <c r="F1046" s="187"/>
    </row>
    <row r="1047" spans="1:6" x14ac:dyDescent="0.2">
      <c r="A1047" s="275"/>
      <c r="B1047" s="78"/>
      <c r="C1047" s="189"/>
      <c r="D1047" s="185"/>
      <c r="E1047" s="186"/>
      <c r="F1047" s="187"/>
    </row>
    <row r="1048" spans="1:6" x14ac:dyDescent="0.2">
      <c r="A1048" s="275"/>
      <c r="B1048" s="78"/>
      <c r="C1048" s="189"/>
      <c r="D1048" s="185"/>
      <c r="E1048" s="186"/>
      <c r="F1048" s="187"/>
    </row>
    <row r="1049" spans="1:6" x14ac:dyDescent="0.2">
      <c r="A1049" s="275"/>
      <c r="B1049" s="78"/>
      <c r="C1049" s="189"/>
      <c r="D1049" s="185"/>
      <c r="E1049" s="186"/>
      <c r="F1049" s="187"/>
    </row>
    <row r="1050" spans="1:6" x14ac:dyDescent="0.2">
      <c r="A1050" s="275"/>
      <c r="B1050" s="78"/>
      <c r="C1050" s="189"/>
      <c r="D1050" s="185"/>
      <c r="E1050" s="186"/>
      <c r="F1050" s="187"/>
    </row>
    <row r="1051" spans="1:6" x14ac:dyDescent="0.2">
      <c r="A1051" s="275"/>
      <c r="B1051" s="78"/>
      <c r="C1051" s="189"/>
      <c r="D1051" s="185"/>
      <c r="E1051" s="186"/>
      <c r="F1051" s="187"/>
    </row>
    <row r="1052" spans="1:6" x14ac:dyDescent="0.2">
      <c r="A1052" s="275"/>
      <c r="B1052" s="78"/>
      <c r="C1052" s="189"/>
      <c r="D1052" s="185"/>
      <c r="E1052" s="186"/>
      <c r="F1052" s="187"/>
    </row>
    <row r="1053" spans="1:6" x14ac:dyDescent="0.2">
      <c r="A1053" s="275"/>
      <c r="B1053" s="78"/>
      <c r="C1053" s="189"/>
      <c r="D1053" s="185"/>
      <c r="E1053" s="186"/>
      <c r="F1053" s="187"/>
    </row>
    <row r="1054" spans="1:6" x14ac:dyDescent="0.2">
      <c r="A1054" s="275"/>
      <c r="B1054" s="78"/>
      <c r="C1054" s="189"/>
      <c r="D1054" s="185"/>
      <c r="E1054" s="186"/>
      <c r="F1054" s="187"/>
    </row>
    <row r="1055" spans="1:6" x14ac:dyDescent="0.2">
      <c r="A1055" s="275"/>
      <c r="B1055" s="78"/>
      <c r="C1055" s="189"/>
      <c r="D1055" s="185"/>
      <c r="E1055" s="186"/>
      <c r="F1055" s="187"/>
    </row>
    <row r="1056" spans="1:6" x14ac:dyDescent="0.2">
      <c r="A1056" s="275"/>
      <c r="B1056" s="78"/>
      <c r="C1056" s="189"/>
      <c r="D1056" s="185"/>
      <c r="E1056" s="186"/>
      <c r="F1056" s="187"/>
    </row>
    <row r="1057" spans="1:6" x14ac:dyDescent="0.2">
      <c r="A1057" s="275"/>
      <c r="B1057" s="78"/>
      <c r="C1057" s="189"/>
      <c r="D1057" s="185"/>
      <c r="E1057" s="186"/>
      <c r="F1057" s="187"/>
    </row>
    <row r="1058" spans="1:6" x14ac:dyDescent="0.2">
      <c r="A1058" s="275"/>
      <c r="B1058" s="78"/>
      <c r="C1058" s="189"/>
      <c r="D1058" s="185"/>
      <c r="E1058" s="186"/>
      <c r="F1058" s="187"/>
    </row>
    <row r="1059" spans="1:6" x14ac:dyDescent="0.2">
      <c r="A1059" s="275"/>
      <c r="B1059" s="78"/>
      <c r="C1059" s="189"/>
      <c r="D1059" s="185"/>
      <c r="E1059" s="186"/>
      <c r="F1059" s="187"/>
    </row>
    <row r="1060" spans="1:6" x14ac:dyDescent="0.2">
      <c r="A1060" s="275"/>
      <c r="B1060" s="78"/>
      <c r="C1060" s="189"/>
      <c r="D1060" s="185"/>
      <c r="E1060" s="186"/>
      <c r="F1060" s="187"/>
    </row>
    <row r="1061" spans="1:6" x14ac:dyDescent="0.2">
      <c r="A1061" s="275"/>
      <c r="B1061" s="78"/>
      <c r="C1061" s="189"/>
      <c r="D1061" s="185"/>
      <c r="E1061" s="186"/>
      <c r="F1061" s="187"/>
    </row>
    <row r="1062" spans="1:6" x14ac:dyDescent="0.2">
      <c r="A1062" s="275"/>
      <c r="B1062" s="78"/>
      <c r="C1062" s="189"/>
      <c r="D1062" s="185"/>
      <c r="E1062" s="186"/>
      <c r="F1062" s="187"/>
    </row>
    <row r="1063" spans="1:6" x14ac:dyDescent="0.2">
      <c r="A1063" s="275"/>
      <c r="B1063" s="78"/>
      <c r="C1063" s="189"/>
      <c r="D1063" s="185"/>
      <c r="E1063" s="186"/>
      <c r="F1063" s="187"/>
    </row>
    <row r="1064" spans="1:6" x14ac:dyDescent="0.2">
      <c r="A1064" s="275"/>
      <c r="B1064" s="78"/>
      <c r="C1064" s="189"/>
      <c r="D1064" s="185"/>
      <c r="E1064" s="186"/>
      <c r="F1064" s="187"/>
    </row>
    <row r="1065" spans="1:6" x14ac:dyDescent="0.2">
      <c r="A1065" s="275"/>
      <c r="B1065" s="78"/>
      <c r="C1065" s="189"/>
      <c r="D1065" s="185"/>
      <c r="E1065" s="186"/>
      <c r="F1065" s="187"/>
    </row>
    <row r="1066" spans="1:6" x14ac:dyDescent="0.2">
      <c r="A1066" s="275"/>
      <c r="B1066" s="78"/>
      <c r="C1066" s="189"/>
      <c r="D1066" s="185"/>
      <c r="E1066" s="186"/>
      <c r="F1066" s="187"/>
    </row>
    <row r="1067" spans="1:6" x14ac:dyDescent="0.2">
      <c r="A1067" s="275"/>
      <c r="B1067" s="78"/>
      <c r="C1067" s="189"/>
      <c r="D1067" s="185"/>
      <c r="E1067" s="186"/>
      <c r="F1067" s="187"/>
    </row>
    <row r="1068" spans="1:6" x14ac:dyDescent="0.2">
      <c r="A1068" s="275"/>
      <c r="B1068" s="78"/>
      <c r="C1068" s="189"/>
      <c r="D1068" s="185"/>
      <c r="E1068" s="186"/>
      <c r="F1068" s="187"/>
    </row>
    <row r="1069" spans="1:6" x14ac:dyDescent="0.2">
      <c r="A1069" s="275"/>
      <c r="B1069" s="78"/>
      <c r="C1069" s="189"/>
      <c r="D1069" s="185"/>
      <c r="E1069" s="186"/>
      <c r="F1069" s="187"/>
    </row>
    <row r="1070" spans="1:6" x14ac:dyDescent="0.2">
      <c r="A1070" s="275"/>
      <c r="B1070" s="78"/>
      <c r="C1070" s="189"/>
      <c r="D1070" s="185"/>
      <c r="E1070" s="186"/>
      <c r="F1070" s="187"/>
    </row>
    <row r="1071" spans="1:6" x14ac:dyDescent="0.2">
      <c r="A1071" s="275"/>
      <c r="B1071" s="78"/>
      <c r="C1071" s="189"/>
      <c r="D1071" s="185"/>
      <c r="E1071" s="186"/>
      <c r="F1071" s="187"/>
    </row>
    <row r="1072" spans="1:6" x14ac:dyDescent="0.2">
      <c r="A1072" s="275"/>
      <c r="B1072" s="78"/>
      <c r="C1072" s="189"/>
      <c r="D1072" s="185"/>
      <c r="E1072" s="186"/>
      <c r="F1072" s="187"/>
    </row>
    <row r="1073" spans="1:6" x14ac:dyDescent="0.2">
      <c r="A1073" s="275"/>
      <c r="B1073" s="78"/>
      <c r="C1073" s="189"/>
      <c r="D1073" s="185"/>
      <c r="E1073" s="186"/>
      <c r="F1073" s="187"/>
    </row>
    <row r="1074" spans="1:6" x14ac:dyDescent="0.2">
      <c r="A1074" s="275"/>
      <c r="B1074" s="78"/>
      <c r="C1074" s="189"/>
      <c r="D1074" s="185"/>
      <c r="E1074" s="186"/>
      <c r="F1074" s="187"/>
    </row>
    <row r="1075" spans="1:6" x14ac:dyDescent="0.2">
      <c r="A1075" s="275"/>
      <c r="B1075" s="78"/>
      <c r="C1075" s="189"/>
      <c r="D1075" s="185"/>
      <c r="E1075" s="186"/>
      <c r="F1075" s="187"/>
    </row>
    <row r="1076" spans="1:6" x14ac:dyDescent="0.2">
      <c r="A1076" s="275"/>
      <c r="B1076" s="78"/>
      <c r="C1076" s="189"/>
      <c r="D1076" s="185"/>
      <c r="E1076" s="186"/>
      <c r="F1076" s="187"/>
    </row>
    <row r="1077" spans="1:6" x14ac:dyDescent="0.2">
      <c r="A1077" s="275"/>
      <c r="B1077" s="78"/>
      <c r="C1077" s="189"/>
      <c r="D1077" s="185"/>
      <c r="E1077" s="186"/>
      <c r="F1077" s="187"/>
    </row>
    <row r="1078" spans="1:6" x14ac:dyDescent="0.2">
      <c r="A1078" s="275"/>
      <c r="B1078" s="78"/>
      <c r="C1078" s="189"/>
      <c r="D1078" s="185"/>
      <c r="E1078" s="186"/>
      <c r="F1078" s="187"/>
    </row>
    <row r="1079" spans="1:6" x14ac:dyDescent="0.2">
      <c r="A1079" s="275"/>
      <c r="B1079" s="78"/>
      <c r="C1079" s="189"/>
      <c r="D1079" s="185"/>
      <c r="E1079" s="186"/>
      <c r="F1079" s="187"/>
    </row>
    <row r="1080" spans="1:6" x14ac:dyDescent="0.2">
      <c r="A1080" s="275"/>
      <c r="B1080" s="78"/>
      <c r="C1080" s="189"/>
      <c r="D1080" s="185"/>
      <c r="E1080" s="186"/>
      <c r="F1080" s="187"/>
    </row>
    <row r="1081" spans="1:6" x14ac:dyDescent="0.2">
      <c r="A1081" s="275"/>
      <c r="B1081" s="78"/>
      <c r="C1081" s="189"/>
      <c r="D1081" s="185"/>
      <c r="E1081" s="186"/>
      <c r="F1081" s="187"/>
    </row>
    <row r="1082" spans="1:6" x14ac:dyDescent="0.2">
      <c r="A1082" s="275"/>
      <c r="B1082" s="78"/>
      <c r="C1082" s="189"/>
      <c r="D1082" s="185"/>
      <c r="E1082" s="186"/>
      <c r="F1082" s="187"/>
    </row>
    <row r="1083" spans="1:6" x14ac:dyDescent="0.2">
      <c r="A1083" s="275"/>
      <c r="B1083" s="78"/>
      <c r="C1083" s="189"/>
      <c r="D1083" s="185"/>
      <c r="E1083" s="186"/>
      <c r="F1083" s="187"/>
    </row>
    <row r="1084" spans="1:6" x14ac:dyDescent="0.2">
      <c r="A1084" s="275"/>
      <c r="B1084" s="78"/>
      <c r="C1084" s="189"/>
      <c r="D1084" s="185"/>
      <c r="E1084" s="186"/>
      <c r="F1084" s="187"/>
    </row>
    <row r="1085" spans="1:6" x14ac:dyDescent="0.2">
      <c r="A1085" s="275"/>
      <c r="B1085" s="78"/>
      <c r="C1085" s="189"/>
      <c r="D1085" s="185"/>
      <c r="E1085" s="186"/>
      <c r="F1085" s="187"/>
    </row>
    <row r="1086" spans="1:6" x14ac:dyDescent="0.2">
      <c r="A1086" s="275"/>
      <c r="B1086" s="78"/>
      <c r="C1086" s="189"/>
      <c r="D1086" s="185"/>
      <c r="E1086" s="186"/>
      <c r="F1086" s="187"/>
    </row>
    <row r="1087" spans="1:6" x14ac:dyDescent="0.2">
      <c r="A1087" s="275"/>
      <c r="B1087" s="78"/>
      <c r="C1087" s="189"/>
      <c r="D1087" s="185"/>
      <c r="E1087" s="186"/>
      <c r="F1087" s="187"/>
    </row>
    <row r="1088" spans="1:6" x14ac:dyDescent="0.2">
      <c r="A1088" s="275"/>
      <c r="B1088" s="78"/>
      <c r="C1088" s="189"/>
      <c r="D1088" s="185"/>
      <c r="E1088" s="186"/>
      <c r="F1088" s="187"/>
    </row>
    <row r="1089" spans="1:6" x14ac:dyDescent="0.2">
      <c r="A1089" s="275"/>
      <c r="B1089" s="78"/>
      <c r="C1089" s="189"/>
      <c r="D1089" s="185"/>
      <c r="E1089" s="186"/>
      <c r="F1089" s="187"/>
    </row>
    <row r="1090" spans="1:6" x14ac:dyDescent="0.2">
      <c r="A1090" s="275"/>
      <c r="B1090" s="78"/>
      <c r="C1090" s="189"/>
      <c r="D1090" s="185"/>
      <c r="E1090" s="186"/>
      <c r="F1090" s="187"/>
    </row>
    <row r="1091" spans="1:6" x14ac:dyDescent="0.2">
      <c r="A1091" s="275"/>
      <c r="B1091" s="78"/>
      <c r="C1091" s="189"/>
      <c r="D1091" s="185"/>
      <c r="E1091" s="186"/>
      <c r="F1091" s="187"/>
    </row>
    <row r="1092" spans="1:6" x14ac:dyDescent="0.2">
      <c r="A1092" s="275"/>
      <c r="B1092" s="78"/>
      <c r="C1092" s="189"/>
      <c r="D1092" s="185"/>
      <c r="E1092" s="186"/>
      <c r="F1092" s="187"/>
    </row>
    <row r="1093" spans="1:6" x14ac:dyDescent="0.2">
      <c r="A1093" s="275"/>
      <c r="B1093" s="78"/>
      <c r="C1093" s="189"/>
      <c r="D1093" s="185"/>
      <c r="E1093" s="186"/>
      <c r="F1093" s="187"/>
    </row>
    <row r="1094" spans="1:6" x14ac:dyDescent="0.2">
      <c r="A1094" s="275"/>
      <c r="B1094" s="78"/>
      <c r="C1094" s="189"/>
      <c r="D1094" s="185"/>
      <c r="E1094" s="186"/>
      <c r="F1094" s="187"/>
    </row>
    <row r="1095" spans="1:6" x14ac:dyDescent="0.2">
      <c r="A1095" s="275"/>
      <c r="B1095" s="78"/>
      <c r="C1095" s="189"/>
      <c r="D1095" s="185"/>
      <c r="E1095" s="186"/>
      <c r="F1095" s="187"/>
    </row>
    <row r="1096" spans="1:6" x14ac:dyDescent="0.2">
      <c r="A1096" s="275"/>
      <c r="B1096" s="78"/>
      <c r="C1096" s="189"/>
      <c r="D1096" s="185"/>
      <c r="E1096" s="186"/>
      <c r="F1096" s="187"/>
    </row>
    <row r="1097" spans="1:6" x14ac:dyDescent="0.2">
      <c r="A1097" s="275"/>
      <c r="B1097" s="78"/>
      <c r="C1097" s="189"/>
      <c r="D1097" s="185"/>
      <c r="E1097" s="186"/>
      <c r="F1097" s="187"/>
    </row>
    <row r="1098" spans="1:6" x14ac:dyDescent="0.2">
      <c r="A1098" s="275"/>
      <c r="B1098" s="78"/>
      <c r="C1098" s="189"/>
      <c r="D1098" s="185"/>
      <c r="E1098" s="186"/>
      <c r="F1098" s="187"/>
    </row>
    <row r="1099" spans="1:6" x14ac:dyDescent="0.2">
      <c r="A1099" s="275"/>
      <c r="B1099" s="78"/>
      <c r="C1099" s="189"/>
      <c r="D1099" s="185"/>
      <c r="E1099" s="186"/>
      <c r="F1099" s="187"/>
    </row>
    <row r="1100" spans="1:6" x14ac:dyDescent="0.2">
      <c r="A1100" s="275"/>
      <c r="B1100" s="78"/>
      <c r="C1100" s="189"/>
      <c r="D1100" s="185"/>
      <c r="E1100" s="186"/>
      <c r="F1100" s="187"/>
    </row>
    <row r="1101" spans="1:6" x14ac:dyDescent="0.2">
      <c r="A1101" s="275"/>
      <c r="B1101" s="78"/>
      <c r="C1101" s="189"/>
      <c r="D1101" s="185"/>
      <c r="E1101" s="186"/>
      <c r="F1101" s="187"/>
    </row>
    <row r="1102" spans="1:6" x14ac:dyDescent="0.2">
      <c r="A1102" s="275"/>
      <c r="B1102" s="78"/>
      <c r="C1102" s="189"/>
      <c r="D1102" s="185"/>
      <c r="E1102" s="186"/>
      <c r="F1102" s="187"/>
    </row>
    <row r="1103" spans="1:6" x14ac:dyDescent="0.2">
      <c r="A1103" s="275"/>
      <c r="B1103" s="78"/>
      <c r="C1103" s="189"/>
      <c r="D1103" s="185"/>
      <c r="E1103" s="186"/>
      <c r="F1103" s="187"/>
    </row>
    <row r="1104" spans="1:6" x14ac:dyDescent="0.2">
      <c r="A1104" s="275"/>
      <c r="B1104" s="78"/>
      <c r="C1104" s="189"/>
      <c r="D1104" s="185"/>
      <c r="E1104" s="186"/>
      <c r="F1104" s="187"/>
    </row>
    <row r="1105" spans="1:6" x14ac:dyDescent="0.2">
      <c r="A1105" s="275"/>
      <c r="B1105" s="78"/>
      <c r="C1105" s="189"/>
      <c r="D1105" s="185"/>
      <c r="E1105" s="186"/>
      <c r="F1105" s="187"/>
    </row>
    <row r="1106" spans="1:6" x14ac:dyDescent="0.2">
      <c r="A1106" s="275"/>
      <c r="B1106" s="78"/>
      <c r="C1106" s="189"/>
      <c r="D1106" s="185"/>
      <c r="E1106" s="186"/>
      <c r="F1106" s="187"/>
    </row>
    <row r="1107" spans="1:6" x14ac:dyDescent="0.2">
      <c r="A1107" s="275"/>
      <c r="B1107" s="78"/>
      <c r="C1107" s="189"/>
      <c r="D1107" s="185"/>
      <c r="E1107" s="186"/>
      <c r="F1107" s="187"/>
    </row>
    <row r="1108" spans="1:6" x14ac:dyDescent="0.2">
      <c r="A1108" s="275"/>
      <c r="B1108" s="78"/>
      <c r="C1108" s="189"/>
      <c r="D1108" s="185"/>
      <c r="E1108" s="186"/>
      <c r="F1108" s="187"/>
    </row>
    <row r="1109" spans="1:6" x14ac:dyDescent="0.2">
      <c r="A1109" s="275"/>
      <c r="B1109" s="78"/>
      <c r="C1109" s="189"/>
      <c r="D1109" s="185"/>
      <c r="E1109" s="186"/>
      <c r="F1109" s="187"/>
    </row>
    <row r="1110" spans="1:6" x14ac:dyDescent="0.2">
      <c r="A1110" s="275"/>
      <c r="B1110" s="78"/>
      <c r="C1110" s="189"/>
      <c r="D1110" s="185"/>
      <c r="E1110" s="186"/>
      <c r="F1110" s="187"/>
    </row>
    <row r="1111" spans="1:6" x14ac:dyDescent="0.2">
      <c r="A1111" s="275"/>
      <c r="B1111" s="78"/>
      <c r="C1111" s="189"/>
      <c r="D1111" s="185"/>
      <c r="E1111" s="186"/>
      <c r="F1111" s="187"/>
    </row>
    <row r="1112" spans="1:6" x14ac:dyDescent="0.2">
      <c r="A1112" s="275"/>
      <c r="B1112" s="78"/>
      <c r="C1112" s="189"/>
      <c r="D1112" s="185"/>
      <c r="E1112" s="186"/>
      <c r="F1112" s="187"/>
    </row>
    <row r="1113" spans="1:6" x14ac:dyDescent="0.2">
      <c r="A1113" s="275"/>
      <c r="B1113" s="78"/>
      <c r="C1113" s="189"/>
      <c r="D1113" s="185"/>
      <c r="E1113" s="186"/>
      <c r="F1113" s="187"/>
    </row>
    <row r="1114" spans="1:6" x14ac:dyDescent="0.2">
      <c r="A1114" s="275"/>
      <c r="B1114" s="78"/>
      <c r="C1114" s="189"/>
      <c r="D1114" s="185"/>
      <c r="E1114" s="186"/>
      <c r="F1114" s="187"/>
    </row>
    <row r="1115" spans="1:6" x14ac:dyDescent="0.2">
      <c r="A1115" s="275"/>
      <c r="B1115" s="78"/>
      <c r="C1115" s="189"/>
      <c r="D1115" s="185"/>
      <c r="E1115" s="186"/>
      <c r="F1115" s="187"/>
    </row>
    <row r="1116" spans="1:6" x14ac:dyDescent="0.2">
      <c r="A1116" s="275"/>
      <c r="B1116" s="78"/>
      <c r="C1116" s="189"/>
      <c r="D1116" s="185"/>
      <c r="E1116" s="186"/>
      <c r="F1116" s="187"/>
    </row>
    <row r="1117" spans="1:6" x14ac:dyDescent="0.2">
      <c r="A1117" s="275"/>
      <c r="B1117" s="78"/>
      <c r="C1117" s="189"/>
      <c r="D1117" s="185"/>
      <c r="E1117" s="186"/>
      <c r="F1117" s="187"/>
    </row>
    <row r="1118" spans="1:6" x14ac:dyDescent="0.2">
      <c r="A1118" s="275"/>
      <c r="B1118" s="78"/>
      <c r="C1118" s="189"/>
      <c r="D1118" s="185"/>
      <c r="E1118" s="186"/>
      <c r="F1118" s="187"/>
    </row>
    <row r="1119" spans="1:6" x14ac:dyDescent="0.2">
      <c r="A1119" s="275"/>
      <c r="B1119" s="78"/>
      <c r="C1119" s="189"/>
      <c r="D1119" s="185"/>
      <c r="E1119" s="186"/>
      <c r="F1119" s="187"/>
    </row>
    <row r="1120" spans="1:6" x14ac:dyDescent="0.2">
      <c r="A1120" s="275"/>
      <c r="B1120" s="78"/>
      <c r="C1120" s="189"/>
      <c r="D1120" s="185"/>
      <c r="E1120" s="186"/>
      <c r="F1120" s="187"/>
    </row>
    <row r="1121" spans="1:6" x14ac:dyDescent="0.2">
      <c r="A1121" s="275"/>
      <c r="B1121" s="78"/>
      <c r="C1121" s="189"/>
      <c r="D1121" s="185"/>
      <c r="E1121" s="186"/>
      <c r="F1121" s="187"/>
    </row>
    <row r="1122" spans="1:6" x14ac:dyDescent="0.2">
      <c r="A1122" s="275"/>
      <c r="B1122" s="78"/>
      <c r="C1122" s="189"/>
      <c r="D1122" s="185"/>
      <c r="E1122" s="186"/>
      <c r="F1122" s="187"/>
    </row>
    <row r="1123" spans="1:6" x14ac:dyDescent="0.2">
      <c r="A1123" s="275"/>
      <c r="B1123" s="78"/>
      <c r="C1123" s="189"/>
      <c r="D1123" s="185"/>
      <c r="E1123" s="186"/>
      <c r="F1123" s="187"/>
    </row>
    <row r="1124" spans="1:6" x14ac:dyDescent="0.2">
      <c r="A1124" s="275"/>
      <c r="B1124" s="78"/>
      <c r="C1124" s="189"/>
      <c r="D1124" s="185"/>
      <c r="E1124" s="186"/>
      <c r="F1124" s="187"/>
    </row>
    <row r="1125" spans="1:6" x14ac:dyDescent="0.2">
      <c r="A1125" s="275"/>
      <c r="B1125" s="78"/>
      <c r="C1125" s="189"/>
      <c r="D1125" s="185"/>
      <c r="E1125" s="186"/>
      <c r="F1125" s="187"/>
    </row>
    <row r="1126" spans="1:6" x14ac:dyDescent="0.2">
      <c r="A1126" s="275"/>
      <c r="B1126" s="78"/>
      <c r="C1126" s="189"/>
      <c r="D1126" s="185"/>
      <c r="E1126" s="186"/>
      <c r="F1126" s="187"/>
    </row>
    <row r="1127" spans="1:6" x14ac:dyDescent="0.2">
      <c r="A1127" s="275"/>
      <c r="B1127" s="78"/>
      <c r="C1127" s="189"/>
      <c r="D1127" s="185"/>
      <c r="E1127" s="186"/>
      <c r="F1127" s="187"/>
    </row>
    <row r="1128" spans="1:6" x14ac:dyDescent="0.2">
      <c r="A1128" s="275"/>
      <c r="B1128" s="78"/>
      <c r="C1128" s="189"/>
      <c r="D1128" s="185"/>
      <c r="E1128" s="186"/>
      <c r="F1128" s="187"/>
    </row>
    <row r="1129" spans="1:6" x14ac:dyDescent="0.2">
      <c r="A1129" s="275"/>
      <c r="B1129" s="78"/>
      <c r="C1129" s="189"/>
      <c r="D1129" s="185"/>
      <c r="E1129" s="186"/>
      <c r="F1129" s="187"/>
    </row>
    <row r="1130" spans="1:6" x14ac:dyDescent="0.2">
      <c r="A1130" s="275"/>
      <c r="B1130" s="78"/>
      <c r="C1130" s="189"/>
      <c r="D1130" s="185"/>
      <c r="E1130" s="186"/>
      <c r="F1130" s="187"/>
    </row>
    <row r="1131" spans="1:6" x14ac:dyDescent="0.2">
      <c r="A1131" s="275"/>
      <c r="B1131" s="78"/>
      <c r="C1131" s="189"/>
      <c r="D1131" s="185"/>
      <c r="E1131" s="186"/>
      <c r="F1131" s="187"/>
    </row>
    <row r="1132" spans="1:6" x14ac:dyDescent="0.2">
      <c r="A1132" s="275"/>
      <c r="B1132" s="78"/>
      <c r="C1132" s="189"/>
      <c r="D1132" s="185"/>
      <c r="E1132" s="186"/>
      <c r="F1132" s="187"/>
    </row>
    <row r="1133" spans="1:6" x14ac:dyDescent="0.2">
      <c r="A1133" s="275"/>
      <c r="B1133" s="78"/>
      <c r="C1133" s="189"/>
      <c r="D1133" s="185"/>
      <c r="E1133" s="186"/>
      <c r="F1133" s="187"/>
    </row>
    <row r="1134" spans="1:6" x14ac:dyDescent="0.2">
      <c r="A1134" s="275"/>
      <c r="B1134" s="78"/>
      <c r="C1134" s="189"/>
      <c r="D1134" s="185"/>
      <c r="E1134" s="186"/>
      <c r="F1134" s="187"/>
    </row>
    <row r="1135" spans="1:6" x14ac:dyDescent="0.2">
      <c r="A1135" s="275"/>
      <c r="B1135" s="78"/>
      <c r="C1135" s="189"/>
      <c r="D1135" s="185"/>
      <c r="E1135" s="186"/>
      <c r="F1135" s="187"/>
    </row>
    <row r="1136" spans="1:6" x14ac:dyDescent="0.2">
      <c r="A1136" s="275"/>
      <c r="B1136" s="78"/>
      <c r="C1136" s="189"/>
      <c r="D1136" s="185"/>
      <c r="E1136" s="186"/>
      <c r="F1136" s="187"/>
    </row>
    <row r="1137" spans="1:6" x14ac:dyDescent="0.2">
      <c r="A1137" s="275"/>
      <c r="B1137" s="78"/>
      <c r="C1137" s="189"/>
      <c r="D1137" s="185"/>
      <c r="E1137" s="186"/>
      <c r="F1137" s="187"/>
    </row>
    <row r="1138" spans="1:6" x14ac:dyDescent="0.2">
      <c r="A1138" s="275"/>
      <c r="B1138" s="78"/>
      <c r="C1138" s="189"/>
      <c r="D1138" s="185"/>
      <c r="E1138" s="186"/>
      <c r="F1138" s="187"/>
    </row>
    <row r="1139" spans="1:6" x14ac:dyDescent="0.2">
      <c r="A1139" s="275"/>
      <c r="B1139" s="78"/>
      <c r="C1139" s="189"/>
      <c r="D1139" s="185"/>
      <c r="E1139" s="186"/>
      <c r="F1139" s="187"/>
    </row>
    <row r="1140" spans="1:6" x14ac:dyDescent="0.2">
      <c r="A1140" s="275"/>
      <c r="B1140" s="78"/>
      <c r="C1140" s="189"/>
      <c r="D1140" s="185"/>
      <c r="E1140" s="186"/>
      <c r="F1140" s="187"/>
    </row>
    <row r="1141" spans="1:6" x14ac:dyDescent="0.2">
      <c r="A1141" s="275"/>
      <c r="B1141" s="78"/>
      <c r="C1141" s="189"/>
      <c r="D1141" s="185"/>
      <c r="E1141" s="186"/>
      <c r="F1141" s="187"/>
    </row>
    <row r="1142" spans="1:6" x14ac:dyDescent="0.2">
      <c r="A1142" s="275"/>
      <c r="B1142" s="78"/>
      <c r="C1142" s="189"/>
      <c r="D1142" s="185"/>
      <c r="E1142" s="186"/>
      <c r="F1142" s="187"/>
    </row>
    <row r="1143" spans="1:6" x14ac:dyDescent="0.2">
      <c r="A1143" s="275"/>
      <c r="B1143" s="78"/>
      <c r="C1143" s="189"/>
      <c r="D1143" s="185"/>
      <c r="E1143" s="186"/>
      <c r="F1143" s="187"/>
    </row>
    <row r="1144" spans="1:6" x14ac:dyDescent="0.2">
      <c r="A1144" s="275"/>
      <c r="B1144" s="78"/>
      <c r="C1144" s="189"/>
      <c r="D1144" s="185"/>
      <c r="E1144" s="186"/>
      <c r="F1144" s="187"/>
    </row>
    <row r="1145" spans="1:6" x14ac:dyDescent="0.2">
      <c r="A1145" s="275"/>
      <c r="B1145" s="78"/>
      <c r="C1145" s="189"/>
      <c r="D1145" s="185"/>
      <c r="E1145" s="186"/>
      <c r="F1145" s="187"/>
    </row>
    <row r="1146" spans="1:6" x14ac:dyDescent="0.2">
      <c r="A1146" s="275"/>
      <c r="B1146" s="78"/>
      <c r="C1146" s="189"/>
      <c r="D1146" s="185"/>
      <c r="E1146" s="186"/>
      <c r="F1146" s="187"/>
    </row>
    <row r="1147" spans="1:6" x14ac:dyDescent="0.2">
      <c r="A1147" s="275"/>
      <c r="B1147" s="78"/>
      <c r="C1147" s="189"/>
      <c r="D1147" s="185"/>
      <c r="E1147" s="186"/>
      <c r="F1147" s="187"/>
    </row>
    <row r="1148" spans="1:6" x14ac:dyDescent="0.2">
      <c r="A1148" s="275"/>
      <c r="B1148" s="78"/>
      <c r="C1148" s="189"/>
      <c r="D1148" s="185"/>
      <c r="E1148" s="186"/>
      <c r="F1148" s="187"/>
    </row>
    <row r="1149" spans="1:6" x14ac:dyDescent="0.2">
      <c r="A1149" s="275"/>
      <c r="B1149" s="78"/>
      <c r="C1149" s="189"/>
      <c r="D1149" s="185"/>
      <c r="E1149" s="186"/>
      <c r="F1149" s="187"/>
    </row>
    <row r="1150" spans="1:6" x14ac:dyDescent="0.2">
      <c r="A1150" s="275"/>
      <c r="B1150" s="78"/>
      <c r="C1150" s="189"/>
      <c r="D1150" s="185"/>
      <c r="E1150" s="186"/>
      <c r="F1150" s="187"/>
    </row>
    <row r="1151" spans="1:6" x14ac:dyDescent="0.2">
      <c r="A1151" s="275"/>
      <c r="B1151" s="78"/>
      <c r="C1151" s="189"/>
      <c r="D1151" s="185"/>
      <c r="E1151" s="186"/>
      <c r="F1151" s="187"/>
    </row>
    <row r="1152" spans="1:6" x14ac:dyDescent="0.2">
      <c r="A1152" s="275"/>
      <c r="B1152" s="78"/>
      <c r="C1152" s="189"/>
      <c r="D1152" s="185"/>
      <c r="E1152" s="186"/>
      <c r="F1152" s="187"/>
    </row>
    <row r="1153" spans="1:6" x14ac:dyDescent="0.2">
      <c r="A1153" s="275"/>
      <c r="B1153" s="78"/>
      <c r="C1153" s="189"/>
      <c r="D1153" s="185"/>
      <c r="E1153" s="186"/>
      <c r="F1153" s="187"/>
    </row>
    <row r="1154" spans="1:6" x14ac:dyDescent="0.2">
      <c r="A1154" s="275"/>
      <c r="B1154" s="78"/>
      <c r="C1154" s="189"/>
      <c r="D1154" s="185"/>
      <c r="E1154" s="186"/>
      <c r="F1154" s="187"/>
    </row>
    <row r="1155" spans="1:6" x14ac:dyDescent="0.2">
      <c r="A1155" s="275"/>
      <c r="B1155" s="78"/>
      <c r="C1155" s="189"/>
      <c r="D1155" s="185"/>
      <c r="E1155" s="186"/>
      <c r="F1155" s="187"/>
    </row>
    <row r="1156" spans="1:6" x14ac:dyDescent="0.2">
      <c r="A1156" s="275"/>
      <c r="B1156" s="78"/>
      <c r="C1156" s="189"/>
      <c r="D1156" s="185"/>
      <c r="E1156" s="186"/>
      <c r="F1156" s="187"/>
    </row>
    <row r="1157" spans="1:6" x14ac:dyDescent="0.2">
      <c r="A1157" s="275"/>
      <c r="B1157" s="78"/>
      <c r="C1157" s="189"/>
      <c r="D1157" s="185"/>
      <c r="E1157" s="186"/>
      <c r="F1157" s="187"/>
    </row>
    <row r="1158" spans="1:6" x14ac:dyDescent="0.2">
      <c r="A1158" s="275"/>
      <c r="B1158" s="78"/>
      <c r="C1158" s="189"/>
      <c r="D1158" s="185"/>
      <c r="E1158" s="186"/>
      <c r="F1158" s="187"/>
    </row>
    <row r="1159" spans="1:6" x14ac:dyDescent="0.2">
      <c r="A1159" s="275"/>
      <c r="B1159" s="78"/>
      <c r="C1159" s="189"/>
      <c r="D1159" s="185"/>
      <c r="E1159" s="186"/>
      <c r="F1159" s="187"/>
    </row>
    <row r="1160" spans="1:6" x14ac:dyDescent="0.2">
      <c r="A1160" s="275"/>
      <c r="B1160" s="78"/>
      <c r="C1160" s="189"/>
      <c r="D1160" s="185"/>
      <c r="E1160" s="186"/>
      <c r="F1160" s="187"/>
    </row>
    <row r="1161" spans="1:6" x14ac:dyDescent="0.2">
      <c r="A1161" s="275"/>
      <c r="B1161" s="78"/>
      <c r="C1161" s="189"/>
      <c r="D1161" s="185"/>
      <c r="E1161" s="186"/>
      <c r="F1161" s="187"/>
    </row>
    <row r="1162" spans="1:6" x14ac:dyDescent="0.2">
      <c r="A1162" s="275"/>
      <c r="B1162" s="78"/>
      <c r="C1162" s="189"/>
      <c r="D1162" s="185"/>
      <c r="E1162" s="186"/>
      <c r="F1162" s="187"/>
    </row>
    <row r="1163" spans="1:6" x14ac:dyDescent="0.2">
      <c r="A1163" s="275"/>
      <c r="B1163" s="78"/>
      <c r="C1163" s="189"/>
      <c r="D1163" s="185"/>
      <c r="E1163" s="186"/>
      <c r="F1163" s="187"/>
    </row>
    <row r="1164" spans="1:6" x14ac:dyDescent="0.2">
      <c r="A1164" s="275"/>
      <c r="B1164" s="78"/>
      <c r="C1164" s="189"/>
      <c r="D1164" s="185"/>
      <c r="E1164" s="186"/>
      <c r="F1164" s="187"/>
    </row>
    <row r="1165" spans="1:6" x14ac:dyDescent="0.2">
      <c r="A1165" s="275"/>
      <c r="B1165" s="78"/>
      <c r="C1165" s="189"/>
      <c r="D1165" s="185"/>
      <c r="E1165" s="186"/>
      <c r="F1165" s="187"/>
    </row>
    <row r="1166" spans="1:6" x14ac:dyDescent="0.2">
      <c r="A1166" s="275"/>
      <c r="B1166" s="78"/>
      <c r="C1166" s="189"/>
      <c r="D1166" s="185"/>
      <c r="E1166" s="186"/>
      <c r="F1166" s="187"/>
    </row>
    <row r="1167" spans="1:6" x14ac:dyDescent="0.2">
      <c r="A1167" s="275"/>
      <c r="B1167" s="78"/>
      <c r="C1167" s="189"/>
      <c r="D1167" s="185"/>
      <c r="E1167" s="186"/>
      <c r="F1167" s="187"/>
    </row>
    <row r="1168" spans="1:6" x14ac:dyDescent="0.2">
      <c r="A1168" s="275"/>
      <c r="B1168" s="78"/>
      <c r="C1168" s="189"/>
      <c r="D1168" s="185"/>
      <c r="E1168" s="186"/>
      <c r="F1168" s="187"/>
    </row>
    <row r="1169" spans="1:6" x14ac:dyDescent="0.2">
      <c r="A1169" s="275"/>
      <c r="B1169" s="78"/>
      <c r="C1169" s="189"/>
      <c r="D1169" s="185"/>
      <c r="E1169" s="186"/>
      <c r="F1169" s="187"/>
    </row>
    <row r="1170" spans="1:6" x14ac:dyDescent="0.2">
      <c r="A1170" s="275"/>
      <c r="B1170" s="78"/>
      <c r="C1170" s="189"/>
      <c r="D1170" s="185"/>
      <c r="E1170" s="186"/>
      <c r="F1170" s="187"/>
    </row>
    <row r="1171" spans="1:6" x14ac:dyDescent="0.2">
      <c r="A1171" s="275"/>
      <c r="B1171" s="78"/>
      <c r="C1171" s="189"/>
      <c r="D1171" s="185"/>
      <c r="E1171" s="186"/>
      <c r="F1171" s="187"/>
    </row>
    <row r="1172" spans="1:6" x14ac:dyDescent="0.2">
      <c r="A1172" s="275"/>
      <c r="B1172" s="78"/>
      <c r="C1172" s="189"/>
      <c r="D1172" s="185"/>
      <c r="E1172" s="186"/>
      <c r="F1172" s="187"/>
    </row>
    <row r="1173" spans="1:6" x14ac:dyDescent="0.2">
      <c r="A1173" s="275"/>
      <c r="B1173" s="78"/>
      <c r="C1173" s="189"/>
      <c r="D1173" s="185"/>
      <c r="E1173" s="186"/>
      <c r="F1173" s="187"/>
    </row>
    <row r="1174" spans="1:6" x14ac:dyDescent="0.2">
      <c r="A1174" s="275"/>
      <c r="B1174" s="78"/>
      <c r="C1174" s="189"/>
      <c r="D1174" s="185"/>
      <c r="E1174" s="186"/>
      <c r="F1174" s="187"/>
    </row>
    <row r="1175" spans="1:6" x14ac:dyDescent="0.2">
      <c r="A1175" s="275"/>
      <c r="B1175" s="78"/>
      <c r="C1175" s="189"/>
      <c r="D1175" s="185"/>
      <c r="E1175" s="186"/>
      <c r="F1175" s="187"/>
    </row>
    <row r="1176" spans="1:6" x14ac:dyDescent="0.2">
      <c r="A1176" s="275"/>
      <c r="B1176" s="78"/>
      <c r="C1176" s="189"/>
      <c r="D1176" s="185"/>
      <c r="E1176" s="186"/>
      <c r="F1176" s="187"/>
    </row>
    <row r="1177" spans="1:6" x14ac:dyDescent="0.2">
      <c r="A1177" s="275"/>
      <c r="B1177" s="78"/>
      <c r="C1177" s="189"/>
      <c r="D1177" s="185"/>
      <c r="E1177" s="186"/>
      <c r="F1177" s="187"/>
    </row>
    <row r="1178" spans="1:6" x14ac:dyDescent="0.2">
      <c r="A1178" s="275"/>
      <c r="B1178" s="78"/>
      <c r="C1178" s="189"/>
      <c r="D1178" s="185"/>
      <c r="E1178" s="186"/>
      <c r="F1178" s="187"/>
    </row>
    <row r="1179" spans="1:6" x14ac:dyDescent="0.2">
      <c r="A1179" s="275"/>
      <c r="B1179" s="78"/>
      <c r="C1179" s="189"/>
      <c r="D1179" s="185"/>
      <c r="E1179" s="186"/>
      <c r="F1179" s="187"/>
    </row>
    <row r="1180" spans="1:6" x14ac:dyDescent="0.2">
      <c r="A1180" s="275"/>
      <c r="B1180" s="78"/>
      <c r="C1180" s="189"/>
      <c r="D1180" s="185"/>
      <c r="E1180" s="186"/>
      <c r="F1180" s="187"/>
    </row>
    <row r="1181" spans="1:6" x14ac:dyDescent="0.2">
      <c r="A1181" s="275"/>
      <c r="B1181" s="78"/>
      <c r="C1181" s="189"/>
      <c r="D1181" s="185"/>
      <c r="E1181" s="186"/>
      <c r="F1181" s="187"/>
    </row>
    <row r="1182" spans="1:6" x14ac:dyDescent="0.2">
      <c r="A1182" s="275"/>
      <c r="B1182" s="78"/>
      <c r="C1182" s="189"/>
      <c r="D1182" s="185"/>
      <c r="E1182" s="186"/>
      <c r="F1182" s="187"/>
    </row>
    <row r="1183" spans="1:6" x14ac:dyDescent="0.2">
      <c r="A1183" s="275"/>
      <c r="B1183" s="78"/>
      <c r="C1183" s="189"/>
      <c r="D1183" s="185"/>
      <c r="E1183" s="186"/>
      <c r="F1183" s="187"/>
    </row>
    <row r="1184" spans="1:6" x14ac:dyDescent="0.2">
      <c r="A1184" s="275"/>
      <c r="B1184" s="78"/>
      <c r="C1184" s="189"/>
      <c r="D1184" s="185"/>
      <c r="E1184" s="186"/>
      <c r="F1184" s="187"/>
    </row>
    <row r="1185" spans="1:6" x14ac:dyDescent="0.2">
      <c r="A1185" s="275"/>
      <c r="B1185" s="78"/>
      <c r="C1185" s="189"/>
      <c r="D1185" s="185"/>
      <c r="E1185" s="186"/>
      <c r="F1185" s="187"/>
    </row>
    <row r="1186" spans="1:6" x14ac:dyDescent="0.2">
      <c r="A1186" s="275"/>
      <c r="B1186" s="78"/>
      <c r="C1186" s="189"/>
      <c r="D1186" s="185"/>
      <c r="E1186" s="186"/>
      <c r="F1186" s="187"/>
    </row>
    <row r="1187" spans="1:6" x14ac:dyDescent="0.2">
      <c r="A1187" s="275"/>
      <c r="B1187" s="78"/>
      <c r="C1187" s="189"/>
      <c r="D1187" s="185"/>
      <c r="E1187" s="186"/>
      <c r="F1187" s="187"/>
    </row>
    <row r="1188" spans="1:6" x14ac:dyDescent="0.2">
      <c r="A1188" s="275"/>
      <c r="B1188" s="78"/>
      <c r="C1188" s="189"/>
      <c r="D1188" s="185"/>
      <c r="E1188" s="186"/>
      <c r="F1188" s="187"/>
    </row>
    <row r="1189" spans="1:6" x14ac:dyDescent="0.2">
      <c r="A1189" s="275"/>
      <c r="B1189" s="78"/>
      <c r="C1189" s="189"/>
      <c r="D1189" s="185"/>
      <c r="E1189" s="186"/>
      <c r="F1189" s="187"/>
    </row>
    <row r="1190" spans="1:6" x14ac:dyDescent="0.2">
      <c r="A1190" s="275"/>
      <c r="B1190" s="78"/>
      <c r="C1190" s="189"/>
      <c r="D1190" s="185"/>
      <c r="E1190" s="186"/>
      <c r="F1190" s="187"/>
    </row>
    <row r="1191" spans="1:6" x14ac:dyDescent="0.2">
      <c r="A1191" s="275"/>
      <c r="B1191" s="78"/>
      <c r="C1191" s="189"/>
      <c r="D1191" s="185"/>
      <c r="E1191" s="186"/>
      <c r="F1191" s="187"/>
    </row>
    <row r="1192" spans="1:6" x14ac:dyDescent="0.2">
      <c r="A1192" s="275"/>
      <c r="B1192" s="78"/>
      <c r="C1192" s="189"/>
      <c r="D1192" s="185"/>
      <c r="E1192" s="186"/>
      <c r="F1192" s="187"/>
    </row>
    <row r="1193" spans="1:6" x14ac:dyDescent="0.2">
      <c r="A1193" s="275"/>
      <c r="B1193" s="78"/>
      <c r="C1193" s="189"/>
      <c r="D1193" s="185"/>
      <c r="E1193" s="186"/>
      <c r="F1193" s="187"/>
    </row>
    <row r="1194" spans="1:6" x14ac:dyDescent="0.2">
      <c r="A1194" s="275"/>
      <c r="B1194" s="78"/>
      <c r="C1194" s="189"/>
      <c r="D1194" s="185"/>
      <c r="E1194" s="186"/>
      <c r="F1194" s="187"/>
    </row>
    <row r="1195" spans="1:6" x14ac:dyDescent="0.2">
      <c r="A1195" s="275"/>
      <c r="B1195" s="78"/>
      <c r="C1195" s="189"/>
      <c r="D1195" s="185"/>
      <c r="E1195" s="186"/>
      <c r="F1195" s="187"/>
    </row>
    <row r="1196" spans="1:6" x14ac:dyDescent="0.2">
      <c r="A1196" s="275"/>
      <c r="B1196" s="78"/>
      <c r="C1196" s="189"/>
      <c r="D1196" s="185"/>
      <c r="E1196" s="186"/>
      <c r="F1196" s="187"/>
    </row>
    <row r="1197" spans="1:6" x14ac:dyDescent="0.2">
      <c r="A1197" s="275"/>
      <c r="B1197" s="78"/>
      <c r="C1197" s="189"/>
      <c r="D1197" s="185"/>
      <c r="E1197" s="186"/>
      <c r="F1197" s="187"/>
    </row>
    <row r="1198" spans="1:6" x14ac:dyDescent="0.2">
      <c r="A1198" s="275"/>
      <c r="B1198" s="78"/>
      <c r="C1198" s="189"/>
      <c r="D1198" s="185"/>
      <c r="E1198" s="186"/>
      <c r="F1198" s="187"/>
    </row>
    <row r="1199" spans="1:6" x14ac:dyDescent="0.2">
      <c r="A1199" s="275"/>
      <c r="B1199" s="78"/>
      <c r="C1199" s="189"/>
      <c r="D1199" s="185"/>
      <c r="E1199" s="186"/>
      <c r="F1199" s="187"/>
    </row>
    <row r="1200" spans="1:6" x14ac:dyDescent="0.2">
      <c r="A1200" s="275"/>
      <c r="B1200" s="78"/>
      <c r="C1200" s="189"/>
      <c r="D1200" s="185"/>
      <c r="E1200" s="186"/>
      <c r="F1200" s="187"/>
    </row>
    <row r="1201" spans="1:6" x14ac:dyDescent="0.2">
      <c r="A1201" s="275"/>
      <c r="B1201" s="78"/>
      <c r="C1201" s="189"/>
      <c r="D1201" s="185"/>
      <c r="E1201" s="186"/>
      <c r="F1201" s="187"/>
    </row>
    <row r="1202" spans="1:6" x14ac:dyDescent="0.2">
      <c r="A1202" s="275"/>
      <c r="B1202" s="78"/>
      <c r="C1202" s="189"/>
      <c r="D1202" s="185"/>
      <c r="E1202" s="186"/>
      <c r="F1202" s="187"/>
    </row>
    <row r="1203" spans="1:6" x14ac:dyDescent="0.2">
      <c r="A1203" s="275"/>
      <c r="B1203" s="78"/>
      <c r="C1203" s="189"/>
      <c r="D1203" s="185"/>
      <c r="E1203" s="186"/>
      <c r="F1203" s="187"/>
    </row>
    <row r="1204" spans="1:6" x14ac:dyDescent="0.2">
      <c r="A1204" s="275"/>
      <c r="B1204" s="78"/>
      <c r="C1204" s="189"/>
      <c r="D1204" s="185"/>
      <c r="E1204" s="186"/>
      <c r="F1204" s="187"/>
    </row>
    <row r="1205" spans="1:6" x14ac:dyDescent="0.2">
      <c r="A1205" s="275"/>
      <c r="B1205" s="78"/>
      <c r="C1205" s="189"/>
      <c r="D1205" s="185"/>
      <c r="E1205" s="186"/>
      <c r="F1205" s="187"/>
    </row>
    <row r="1206" spans="1:6" x14ac:dyDescent="0.2">
      <c r="A1206" s="275"/>
      <c r="B1206" s="78"/>
      <c r="C1206" s="189"/>
      <c r="D1206" s="185"/>
      <c r="E1206" s="186"/>
      <c r="F1206" s="187"/>
    </row>
    <row r="1207" spans="1:6" x14ac:dyDescent="0.2">
      <c r="A1207" s="275"/>
      <c r="B1207" s="78"/>
      <c r="C1207" s="189"/>
      <c r="D1207" s="185"/>
      <c r="E1207" s="186"/>
      <c r="F1207" s="187"/>
    </row>
    <row r="1208" spans="1:6" x14ac:dyDescent="0.2">
      <c r="A1208" s="275"/>
      <c r="B1208" s="78"/>
      <c r="C1208" s="189"/>
      <c r="D1208" s="185"/>
      <c r="E1208" s="186"/>
      <c r="F1208" s="187"/>
    </row>
    <row r="1209" spans="1:6" x14ac:dyDescent="0.2">
      <c r="A1209" s="275"/>
      <c r="B1209" s="78"/>
      <c r="C1209" s="189"/>
      <c r="D1209" s="185"/>
      <c r="E1209" s="186"/>
      <c r="F1209" s="187"/>
    </row>
    <row r="1210" spans="1:6" x14ac:dyDescent="0.2">
      <c r="A1210" s="275"/>
      <c r="B1210" s="78"/>
      <c r="C1210" s="189"/>
      <c r="D1210" s="185"/>
      <c r="E1210" s="186"/>
      <c r="F1210" s="187"/>
    </row>
    <row r="1211" spans="1:6" x14ac:dyDescent="0.2">
      <c r="A1211" s="275"/>
      <c r="B1211" s="78"/>
      <c r="C1211" s="189"/>
      <c r="D1211" s="185"/>
      <c r="E1211" s="186"/>
      <c r="F1211" s="187"/>
    </row>
    <row r="1212" spans="1:6" x14ac:dyDescent="0.2">
      <c r="A1212" s="275"/>
      <c r="B1212" s="78"/>
      <c r="C1212" s="189"/>
      <c r="D1212" s="185"/>
      <c r="E1212" s="186"/>
      <c r="F1212" s="187"/>
    </row>
    <row r="1213" spans="1:6" x14ac:dyDescent="0.2">
      <c r="A1213" s="275"/>
      <c r="B1213" s="78"/>
      <c r="C1213" s="189"/>
      <c r="D1213" s="185"/>
      <c r="E1213" s="186"/>
      <c r="F1213" s="187"/>
    </row>
    <row r="1214" spans="1:6" x14ac:dyDescent="0.2">
      <c r="A1214" s="275"/>
      <c r="B1214" s="78"/>
      <c r="C1214" s="189"/>
      <c r="D1214" s="185"/>
      <c r="E1214" s="186"/>
      <c r="F1214" s="187"/>
    </row>
    <row r="1215" spans="1:6" x14ac:dyDescent="0.2">
      <c r="A1215" s="275"/>
      <c r="B1215" s="78"/>
      <c r="C1215" s="189"/>
      <c r="D1215" s="185"/>
      <c r="E1215" s="186"/>
      <c r="F1215" s="187"/>
    </row>
    <row r="1216" spans="1:6" x14ac:dyDescent="0.2">
      <c r="A1216" s="275"/>
      <c r="B1216" s="78"/>
      <c r="C1216" s="189"/>
      <c r="D1216" s="185"/>
      <c r="E1216" s="186"/>
      <c r="F1216" s="187"/>
    </row>
    <row r="1217" spans="1:6" x14ac:dyDescent="0.2">
      <c r="A1217" s="275"/>
      <c r="B1217" s="78"/>
      <c r="C1217" s="189"/>
      <c r="D1217" s="185"/>
      <c r="E1217" s="186"/>
      <c r="F1217" s="187"/>
    </row>
    <row r="1218" spans="1:6" x14ac:dyDescent="0.2">
      <c r="A1218" s="275"/>
      <c r="B1218" s="78"/>
      <c r="C1218" s="189"/>
      <c r="D1218" s="185"/>
      <c r="E1218" s="186"/>
      <c r="F1218" s="187"/>
    </row>
    <row r="1219" spans="1:6" x14ac:dyDescent="0.2">
      <c r="A1219" s="275"/>
      <c r="B1219" s="78"/>
      <c r="C1219" s="189"/>
      <c r="D1219" s="185"/>
      <c r="E1219" s="186"/>
      <c r="F1219" s="187"/>
    </row>
    <row r="1220" spans="1:6" x14ac:dyDescent="0.2">
      <c r="A1220" s="275"/>
      <c r="B1220" s="78"/>
      <c r="C1220" s="189"/>
      <c r="D1220" s="185"/>
      <c r="E1220" s="186"/>
      <c r="F1220" s="187"/>
    </row>
    <row r="1221" spans="1:6" x14ac:dyDescent="0.2">
      <c r="A1221" s="275"/>
      <c r="B1221" s="78"/>
      <c r="C1221" s="189"/>
      <c r="D1221" s="185"/>
      <c r="E1221" s="186"/>
      <c r="F1221" s="187"/>
    </row>
    <row r="1222" spans="1:6" x14ac:dyDescent="0.2">
      <c r="A1222" s="275"/>
      <c r="B1222" s="78"/>
      <c r="C1222" s="189"/>
      <c r="D1222" s="185"/>
      <c r="E1222" s="186"/>
      <c r="F1222" s="187"/>
    </row>
    <row r="1223" spans="1:6" x14ac:dyDescent="0.2">
      <c r="A1223" s="275"/>
      <c r="B1223" s="78"/>
      <c r="C1223" s="189"/>
      <c r="D1223" s="185"/>
      <c r="E1223" s="186"/>
      <c r="F1223" s="187"/>
    </row>
    <row r="1224" spans="1:6" x14ac:dyDescent="0.2">
      <c r="A1224" s="275"/>
      <c r="B1224" s="78"/>
      <c r="C1224" s="189"/>
      <c r="D1224" s="185"/>
      <c r="E1224" s="186"/>
      <c r="F1224" s="187"/>
    </row>
    <row r="1225" spans="1:6" x14ac:dyDescent="0.2">
      <c r="A1225" s="275"/>
      <c r="B1225" s="78"/>
      <c r="C1225" s="189"/>
      <c r="D1225" s="185"/>
      <c r="E1225" s="186"/>
      <c r="F1225" s="187"/>
    </row>
    <row r="1226" spans="1:6" x14ac:dyDescent="0.2">
      <c r="A1226" s="275"/>
      <c r="B1226" s="78"/>
      <c r="C1226" s="189"/>
      <c r="D1226" s="185"/>
      <c r="E1226" s="186"/>
      <c r="F1226" s="187"/>
    </row>
    <row r="1227" spans="1:6" x14ac:dyDescent="0.2">
      <c r="A1227" s="275"/>
      <c r="B1227" s="78"/>
      <c r="C1227" s="189"/>
      <c r="D1227" s="185"/>
      <c r="E1227" s="186"/>
      <c r="F1227" s="187"/>
    </row>
    <row r="1228" spans="1:6" x14ac:dyDescent="0.2">
      <c r="A1228" s="275"/>
      <c r="B1228" s="78"/>
      <c r="C1228" s="189"/>
      <c r="D1228" s="185"/>
      <c r="E1228" s="186"/>
      <c r="F1228" s="187"/>
    </row>
    <row r="1229" spans="1:6" x14ac:dyDescent="0.2">
      <c r="A1229" s="275"/>
      <c r="B1229" s="78"/>
      <c r="C1229" s="189"/>
      <c r="D1229" s="185"/>
      <c r="E1229" s="186"/>
      <c r="F1229" s="187"/>
    </row>
    <row r="1230" spans="1:6" x14ac:dyDescent="0.2">
      <c r="A1230" s="275"/>
      <c r="B1230" s="78"/>
      <c r="C1230" s="189"/>
      <c r="D1230" s="185"/>
      <c r="E1230" s="186"/>
      <c r="F1230" s="187"/>
    </row>
    <row r="1231" spans="1:6" x14ac:dyDescent="0.2">
      <c r="A1231" s="275"/>
      <c r="B1231" s="78"/>
      <c r="C1231" s="189"/>
      <c r="D1231" s="185"/>
      <c r="E1231" s="186"/>
      <c r="F1231" s="187"/>
    </row>
    <row r="1232" spans="1:6" x14ac:dyDescent="0.2">
      <c r="A1232" s="275"/>
      <c r="B1232" s="78"/>
      <c r="C1232" s="189"/>
      <c r="D1232" s="185"/>
      <c r="E1232" s="186"/>
      <c r="F1232" s="187"/>
    </row>
    <row r="1233" spans="1:6" x14ac:dyDescent="0.2">
      <c r="A1233" s="275"/>
      <c r="B1233" s="78"/>
      <c r="C1233" s="189"/>
      <c r="D1233" s="185"/>
      <c r="E1233" s="186"/>
      <c r="F1233" s="187"/>
    </row>
    <row r="1234" spans="1:6" x14ac:dyDescent="0.2">
      <c r="A1234" s="275"/>
      <c r="B1234" s="78"/>
      <c r="C1234" s="189"/>
      <c r="D1234" s="185"/>
      <c r="E1234" s="186"/>
      <c r="F1234" s="187"/>
    </row>
    <row r="1235" spans="1:6" x14ac:dyDescent="0.2">
      <c r="A1235" s="275"/>
      <c r="B1235" s="78"/>
      <c r="C1235" s="189"/>
      <c r="D1235" s="185"/>
      <c r="E1235" s="186"/>
      <c r="F1235" s="187"/>
    </row>
    <row r="1236" spans="1:6" x14ac:dyDescent="0.2">
      <c r="A1236" s="275"/>
      <c r="B1236" s="78"/>
      <c r="C1236" s="189"/>
      <c r="D1236" s="185"/>
      <c r="E1236" s="186"/>
      <c r="F1236" s="187"/>
    </row>
    <row r="1237" spans="1:6" x14ac:dyDescent="0.2">
      <c r="A1237" s="275"/>
      <c r="B1237" s="78"/>
      <c r="C1237" s="189"/>
      <c r="D1237" s="185"/>
      <c r="E1237" s="186"/>
      <c r="F1237" s="187"/>
    </row>
    <row r="1238" spans="1:6" x14ac:dyDescent="0.2">
      <c r="A1238" s="275"/>
      <c r="B1238" s="78"/>
      <c r="C1238" s="189"/>
      <c r="D1238" s="185"/>
      <c r="E1238" s="186"/>
      <c r="F1238" s="187"/>
    </row>
    <row r="1239" spans="1:6" x14ac:dyDescent="0.2">
      <c r="A1239" s="275"/>
      <c r="B1239" s="78"/>
      <c r="C1239" s="189"/>
      <c r="D1239" s="185"/>
      <c r="E1239" s="186"/>
      <c r="F1239" s="187"/>
    </row>
    <row r="1240" spans="1:6" x14ac:dyDescent="0.2">
      <c r="A1240" s="275"/>
      <c r="B1240" s="78"/>
      <c r="C1240" s="189"/>
      <c r="D1240" s="185"/>
      <c r="E1240" s="186"/>
      <c r="F1240" s="187"/>
    </row>
    <row r="1241" spans="1:6" x14ac:dyDescent="0.2">
      <c r="A1241" s="275"/>
      <c r="B1241" s="78"/>
      <c r="C1241" s="189"/>
      <c r="D1241" s="185"/>
      <c r="E1241" s="186"/>
      <c r="F1241" s="187"/>
    </row>
    <row r="1242" spans="1:6" x14ac:dyDescent="0.2">
      <c r="A1242" s="275"/>
      <c r="B1242" s="78"/>
      <c r="C1242" s="189"/>
      <c r="D1242" s="185"/>
      <c r="E1242" s="186"/>
      <c r="F1242" s="187"/>
    </row>
    <row r="1243" spans="1:6" x14ac:dyDescent="0.2">
      <c r="A1243" s="275"/>
      <c r="B1243" s="78"/>
      <c r="C1243" s="189"/>
      <c r="D1243" s="185"/>
      <c r="E1243" s="186"/>
      <c r="F1243" s="187"/>
    </row>
    <row r="1244" spans="1:6" x14ac:dyDescent="0.2">
      <c r="A1244" s="275"/>
      <c r="B1244" s="78"/>
      <c r="C1244" s="189"/>
      <c r="D1244" s="185"/>
      <c r="E1244" s="186"/>
      <c r="F1244" s="187"/>
    </row>
    <row r="1245" spans="1:6" x14ac:dyDescent="0.2">
      <c r="A1245" s="275"/>
      <c r="B1245" s="78"/>
      <c r="C1245" s="189"/>
      <c r="D1245" s="185"/>
      <c r="E1245" s="186"/>
      <c r="F1245" s="187"/>
    </row>
    <row r="1246" spans="1:6" x14ac:dyDescent="0.2">
      <c r="A1246" s="275"/>
      <c r="B1246" s="78"/>
      <c r="C1246" s="189"/>
      <c r="D1246" s="185"/>
      <c r="E1246" s="186"/>
      <c r="F1246" s="187"/>
    </row>
    <row r="1247" spans="1:6" x14ac:dyDescent="0.2">
      <c r="A1247" s="275"/>
      <c r="B1247" s="78"/>
      <c r="C1247" s="189"/>
      <c r="D1247" s="185"/>
      <c r="E1247" s="186"/>
      <c r="F1247" s="187"/>
    </row>
    <row r="1248" spans="1:6" x14ac:dyDescent="0.2">
      <c r="A1248" s="275"/>
      <c r="B1248" s="78"/>
      <c r="C1248" s="189"/>
      <c r="D1248" s="185"/>
      <c r="E1248" s="186"/>
      <c r="F1248" s="187"/>
    </row>
    <row r="1249" spans="1:6" x14ac:dyDescent="0.2">
      <c r="A1249" s="275"/>
      <c r="B1249" s="78"/>
      <c r="C1249" s="189"/>
      <c r="D1249" s="185"/>
      <c r="E1249" s="186"/>
      <c r="F1249" s="187"/>
    </row>
    <row r="1250" spans="1:6" x14ac:dyDescent="0.2">
      <c r="A1250" s="275"/>
      <c r="B1250" s="78"/>
      <c r="C1250" s="189"/>
      <c r="D1250" s="185"/>
      <c r="E1250" s="186"/>
      <c r="F1250" s="187"/>
    </row>
    <row r="1251" spans="1:6" x14ac:dyDescent="0.2">
      <c r="A1251" s="275"/>
      <c r="B1251" s="78"/>
      <c r="C1251" s="189"/>
      <c r="D1251" s="185"/>
      <c r="E1251" s="186"/>
      <c r="F1251" s="187"/>
    </row>
    <row r="1252" spans="1:6" x14ac:dyDescent="0.2">
      <c r="A1252" s="275"/>
      <c r="B1252" s="78"/>
      <c r="C1252" s="189"/>
      <c r="D1252" s="185"/>
      <c r="E1252" s="186"/>
      <c r="F1252" s="187"/>
    </row>
    <row r="1253" spans="1:6" x14ac:dyDescent="0.2">
      <c r="A1253" s="275"/>
      <c r="B1253" s="78"/>
      <c r="C1253" s="189"/>
      <c r="D1253" s="185"/>
      <c r="E1253" s="186"/>
      <c r="F1253" s="187"/>
    </row>
    <row r="1254" spans="1:6" x14ac:dyDescent="0.2">
      <c r="A1254" s="275"/>
      <c r="B1254" s="78"/>
      <c r="C1254" s="189"/>
      <c r="D1254" s="185"/>
      <c r="E1254" s="186"/>
      <c r="F1254" s="187"/>
    </row>
    <row r="1255" spans="1:6" x14ac:dyDescent="0.2">
      <c r="A1255" s="275"/>
      <c r="B1255" s="78"/>
      <c r="C1255" s="189"/>
      <c r="D1255" s="185"/>
      <c r="E1255" s="186"/>
      <c r="F1255" s="187"/>
    </row>
    <row r="1256" spans="1:6" x14ac:dyDescent="0.2">
      <c r="A1256" s="275"/>
      <c r="B1256" s="78"/>
      <c r="C1256" s="189"/>
      <c r="D1256" s="185"/>
      <c r="E1256" s="186"/>
      <c r="F1256" s="187"/>
    </row>
    <row r="1257" spans="1:6" x14ac:dyDescent="0.2">
      <c r="A1257" s="275"/>
      <c r="B1257" s="78"/>
      <c r="C1257" s="189"/>
      <c r="D1257" s="185"/>
      <c r="E1257" s="186"/>
      <c r="F1257" s="187"/>
    </row>
    <row r="1258" spans="1:6" x14ac:dyDescent="0.2">
      <c r="A1258" s="275"/>
      <c r="B1258" s="78"/>
      <c r="C1258" s="189"/>
      <c r="D1258" s="185"/>
      <c r="E1258" s="186"/>
      <c r="F1258" s="187"/>
    </row>
    <row r="1259" spans="1:6" x14ac:dyDescent="0.2">
      <c r="A1259" s="275"/>
      <c r="B1259" s="78"/>
      <c r="C1259" s="189"/>
      <c r="D1259" s="185"/>
      <c r="E1259" s="186"/>
      <c r="F1259" s="187"/>
    </row>
    <row r="1260" spans="1:6" x14ac:dyDescent="0.2">
      <c r="A1260" s="275"/>
      <c r="B1260" s="78"/>
      <c r="C1260" s="189"/>
      <c r="D1260" s="185"/>
      <c r="E1260" s="186"/>
      <c r="F1260" s="187"/>
    </row>
    <row r="1261" spans="1:6" x14ac:dyDescent="0.2">
      <c r="A1261" s="275"/>
      <c r="B1261" s="78"/>
      <c r="C1261" s="189"/>
      <c r="D1261" s="185"/>
      <c r="E1261" s="186"/>
      <c r="F1261" s="187"/>
    </row>
    <row r="1262" spans="1:6" x14ac:dyDescent="0.2">
      <c r="A1262" s="275"/>
      <c r="B1262" s="78"/>
      <c r="C1262" s="189"/>
      <c r="D1262" s="185"/>
      <c r="E1262" s="186"/>
      <c r="F1262" s="187"/>
    </row>
    <row r="1263" spans="1:6" x14ac:dyDescent="0.2">
      <c r="A1263" s="275"/>
      <c r="B1263" s="78"/>
      <c r="C1263" s="189"/>
      <c r="D1263" s="185"/>
      <c r="E1263" s="186"/>
      <c r="F1263" s="187"/>
    </row>
    <row r="1264" spans="1:6" x14ac:dyDescent="0.2">
      <c r="A1264" s="275"/>
      <c r="B1264" s="78"/>
      <c r="C1264" s="189"/>
      <c r="D1264" s="185"/>
      <c r="E1264" s="186"/>
      <c r="F1264" s="187"/>
    </row>
    <row r="1265" spans="1:6" x14ac:dyDescent="0.2">
      <c r="A1265" s="275"/>
      <c r="B1265" s="78"/>
      <c r="C1265" s="189"/>
      <c r="D1265" s="185"/>
      <c r="E1265" s="186"/>
      <c r="F1265" s="187"/>
    </row>
    <row r="1266" spans="1:6" x14ac:dyDescent="0.2">
      <c r="A1266" s="275"/>
      <c r="B1266" s="78"/>
      <c r="C1266" s="189"/>
      <c r="D1266" s="185"/>
      <c r="E1266" s="186"/>
      <c r="F1266" s="187"/>
    </row>
    <row r="1267" spans="1:6" x14ac:dyDescent="0.2">
      <c r="A1267" s="275"/>
      <c r="B1267" s="78"/>
      <c r="C1267" s="189"/>
      <c r="D1267" s="185"/>
      <c r="E1267" s="186"/>
      <c r="F1267" s="187"/>
    </row>
    <row r="1268" spans="1:6" x14ac:dyDescent="0.2">
      <c r="A1268" s="275"/>
      <c r="B1268" s="78"/>
      <c r="C1268" s="189"/>
      <c r="D1268" s="185"/>
      <c r="E1268" s="186"/>
      <c r="F1268" s="187"/>
    </row>
    <row r="1269" spans="1:6" x14ac:dyDescent="0.2">
      <c r="A1269" s="275"/>
      <c r="B1269" s="78"/>
      <c r="C1269" s="189"/>
      <c r="D1269" s="185"/>
      <c r="E1269" s="186"/>
      <c r="F1269" s="187"/>
    </row>
    <row r="1270" spans="1:6" x14ac:dyDescent="0.2">
      <c r="A1270" s="275"/>
      <c r="B1270" s="78"/>
      <c r="C1270" s="189"/>
      <c r="D1270" s="185"/>
      <c r="E1270" s="186"/>
      <c r="F1270" s="187"/>
    </row>
    <row r="1271" spans="1:6" x14ac:dyDescent="0.2">
      <c r="A1271" s="275"/>
      <c r="B1271" s="78"/>
      <c r="C1271" s="189"/>
      <c r="D1271" s="185"/>
      <c r="E1271" s="186"/>
      <c r="F1271" s="187"/>
    </row>
    <row r="1272" spans="1:6" x14ac:dyDescent="0.2">
      <c r="A1272" s="275"/>
      <c r="B1272" s="78"/>
      <c r="C1272" s="189"/>
      <c r="D1272" s="185"/>
      <c r="E1272" s="186"/>
      <c r="F1272" s="187"/>
    </row>
    <row r="1273" spans="1:6" x14ac:dyDescent="0.2">
      <c r="A1273" s="275"/>
      <c r="B1273" s="78"/>
      <c r="C1273" s="189"/>
      <c r="D1273" s="185"/>
      <c r="E1273" s="186"/>
      <c r="F1273" s="187"/>
    </row>
    <row r="1274" spans="1:6" x14ac:dyDescent="0.2">
      <c r="A1274" s="275"/>
      <c r="B1274" s="78"/>
      <c r="C1274" s="189"/>
      <c r="D1274" s="185"/>
      <c r="E1274" s="186"/>
      <c r="F1274" s="187"/>
    </row>
    <row r="1275" spans="1:6" x14ac:dyDescent="0.2">
      <c r="A1275" s="275"/>
      <c r="B1275" s="78"/>
      <c r="C1275" s="189"/>
      <c r="D1275" s="185"/>
      <c r="E1275" s="186"/>
      <c r="F1275" s="187"/>
    </row>
    <row r="1276" spans="1:6" x14ac:dyDescent="0.2">
      <c r="A1276" s="275"/>
      <c r="B1276" s="78"/>
      <c r="C1276" s="189"/>
      <c r="D1276" s="185"/>
      <c r="E1276" s="186"/>
      <c r="F1276" s="187"/>
    </row>
    <row r="1277" spans="1:6" x14ac:dyDescent="0.2">
      <c r="A1277" s="275"/>
      <c r="B1277" s="78"/>
      <c r="C1277" s="189"/>
      <c r="D1277" s="185"/>
      <c r="E1277" s="186"/>
      <c r="F1277" s="187"/>
    </row>
    <row r="1278" spans="1:6" x14ac:dyDescent="0.2">
      <c r="A1278" s="275"/>
      <c r="B1278" s="78"/>
      <c r="C1278" s="189"/>
      <c r="D1278" s="185"/>
      <c r="E1278" s="186"/>
      <c r="F1278" s="187"/>
    </row>
    <row r="1279" spans="1:6" x14ac:dyDescent="0.2">
      <c r="A1279" s="275"/>
      <c r="B1279" s="78"/>
      <c r="C1279" s="189"/>
      <c r="D1279" s="185"/>
      <c r="E1279" s="186"/>
      <c r="F1279" s="187"/>
    </row>
    <row r="1280" spans="1:6" x14ac:dyDescent="0.2">
      <c r="A1280" s="275"/>
      <c r="B1280" s="78"/>
      <c r="C1280" s="189"/>
      <c r="D1280" s="185"/>
      <c r="E1280" s="186"/>
      <c r="F1280" s="187"/>
    </row>
    <row r="1281" spans="1:6" x14ac:dyDescent="0.2">
      <c r="A1281" s="275"/>
      <c r="B1281" s="78"/>
      <c r="C1281" s="189"/>
      <c r="D1281" s="185"/>
      <c r="E1281" s="186"/>
      <c r="F1281" s="187"/>
    </row>
    <row r="1282" spans="1:6" x14ac:dyDescent="0.2">
      <c r="A1282" s="275"/>
      <c r="B1282" s="78"/>
      <c r="C1282" s="189"/>
      <c r="D1282" s="185"/>
      <c r="E1282" s="186"/>
      <c r="F1282" s="187"/>
    </row>
    <row r="1283" spans="1:6" x14ac:dyDescent="0.2">
      <c r="A1283" s="275"/>
      <c r="B1283" s="78"/>
      <c r="C1283" s="189"/>
      <c r="D1283" s="185"/>
      <c r="E1283" s="186"/>
      <c r="F1283" s="187"/>
    </row>
    <row r="1284" spans="1:6" x14ac:dyDescent="0.2">
      <c r="A1284" s="275"/>
      <c r="B1284" s="78"/>
      <c r="C1284" s="189"/>
      <c r="D1284" s="185"/>
      <c r="E1284" s="186"/>
      <c r="F1284" s="187"/>
    </row>
    <row r="1285" spans="1:6" x14ac:dyDescent="0.2">
      <c r="A1285" s="275"/>
      <c r="B1285" s="78"/>
      <c r="C1285" s="189"/>
      <c r="D1285" s="185"/>
      <c r="E1285" s="186"/>
      <c r="F1285" s="187"/>
    </row>
    <row r="1286" spans="1:6" x14ac:dyDescent="0.2">
      <c r="A1286" s="275"/>
      <c r="B1286" s="78"/>
      <c r="C1286" s="189"/>
      <c r="D1286" s="185"/>
      <c r="E1286" s="186"/>
      <c r="F1286" s="187"/>
    </row>
    <row r="1287" spans="1:6" x14ac:dyDescent="0.2">
      <c r="A1287" s="275"/>
      <c r="B1287" s="78"/>
      <c r="C1287" s="189"/>
      <c r="D1287" s="185"/>
      <c r="E1287" s="186"/>
      <c r="F1287" s="187"/>
    </row>
    <row r="1288" spans="1:6" x14ac:dyDescent="0.2">
      <c r="A1288" s="275"/>
      <c r="B1288" s="78"/>
      <c r="C1288" s="189"/>
      <c r="D1288" s="185"/>
      <c r="E1288" s="186"/>
      <c r="F1288" s="187"/>
    </row>
    <row r="1289" spans="1:6" x14ac:dyDescent="0.2">
      <c r="A1289" s="275"/>
      <c r="B1289" s="78"/>
      <c r="C1289" s="189"/>
      <c r="D1289" s="185"/>
      <c r="E1289" s="186"/>
      <c r="F1289" s="187"/>
    </row>
    <row r="1290" spans="1:6" x14ac:dyDescent="0.2">
      <c r="A1290" s="275"/>
      <c r="B1290" s="78"/>
      <c r="C1290" s="189"/>
      <c r="D1290" s="185"/>
      <c r="E1290" s="186"/>
      <c r="F1290" s="187"/>
    </row>
    <row r="1291" spans="1:6" x14ac:dyDescent="0.2">
      <c r="A1291" s="275"/>
      <c r="B1291" s="78"/>
      <c r="C1291" s="189"/>
      <c r="D1291" s="185"/>
      <c r="E1291" s="186"/>
      <c r="F1291" s="187"/>
    </row>
    <row r="1292" spans="1:6" x14ac:dyDescent="0.2">
      <c r="A1292" s="275"/>
      <c r="B1292" s="78"/>
      <c r="C1292" s="189"/>
      <c r="D1292" s="185"/>
      <c r="E1292" s="186"/>
      <c r="F1292" s="187"/>
    </row>
    <row r="1293" spans="1:6" x14ac:dyDescent="0.2">
      <c r="A1293" s="275"/>
      <c r="B1293" s="78"/>
      <c r="C1293" s="189"/>
      <c r="D1293" s="185"/>
      <c r="E1293" s="186"/>
      <c r="F1293" s="187"/>
    </row>
    <row r="1294" spans="1:6" x14ac:dyDescent="0.2">
      <c r="A1294" s="275"/>
      <c r="B1294" s="78"/>
      <c r="C1294" s="189"/>
      <c r="D1294" s="185"/>
      <c r="E1294" s="186"/>
      <c r="F1294" s="187"/>
    </row>
    <row r="1295" spans="1:6" x14ac:dyDescent="0.2">
      <c r="A1295" s="275"/>
      <c r="B1295" s="78"/>
      <c r="C1295" s="189"/>
      <c r="D1295" s="185"/>
      <c r="E1295" s="186"/>
      <c r="F1295" s="187"/>
    </row>
    <row r="1296" spans="1:6" x14ac:dyDescent="0.2">
      <c r="A1296" s="275"/>
      <c r="B1296" s="78"/>
      <c r="C1296" s="189"/>
      <c r="D1296" s="185"/>
      <c r="E1296" s="186"/>
      <c r="F1296" s="187"/>
    </row>
    <row r="1297" spans="1:6" x14ac:dyDescent="0.2">
      <c r="A1297" s="275"/>
      <c r="B1297" s="78"/>
      <c r="C1297" s="189"/>
      <c r="D1297" s="185"/>
      <c r="E1297" s="186"/>
      <c r="F1297" s="187"/>
    </row>
    <row r="1298" spans="1:6" x14ac:dyDescent="0.2">
      <c r="A1298" s="275"/>
      <c r="B1298" s="78"/>
      <c r="C1298" s="189"/>
      <c r="D1298" s="185"/>
      <c r="E1298" s="186"/>
      <c r="F1298" s="187"/>
    </row>
    <row r="1299" spans="1:6" x14ac:dyDescent="0.2">
      <c r="A1299" s="275"/>
      <c r="B1299" s="78"/>
      <c r="C1299" s="189"/>
      <c r="D1299" s="185"/>
      <c r="E1299" s="186"/>
      <c r="F1299" s="187"/>
    </row>
    <row r="1300" spans="1:6" x14ac:dyDescent="0.2">
      <c r="A1300" s="275"/>
      <c r="B1300" s="78"/>
      <c r="C1300" s="189"/>
      <c r="D1300" s="185"/>
      <c r="E1300" s="186"/>
      <c r="F1300" s="187"/>
    </row>
    <row r="1301" spans="1:6" x14ac:dyDescent="0.2">
      <c r="A1301" s="275"/>
      <c r="B1301" s="78"/>
      <c r="C1301" s="189"/>
      <c r="D1301" s="185"/>
      <c r="E1301" s="186"/>
      <c r="F1301" s="187"/>
    </row>
    <row r="1302" spans="1:6" x14ac:dyDescent="0.2">
      <c r="A1302" s="275"/>
      <c r="B1302" s="78"/>
      <c r="C1302" s="189"/>
      <c r="D1302" s="185"/>
      <c r="E1302" s="186"/>
      <c r="F1302" s="187"/>
    </row>
    <row r="1303" spans="1:6" x14ac:dyDescent="0.2">
      <c r="A1303" s="275"/>
      <c r="B1303" s="78"/>
      <c r="C1303" s="189"/>
      <c r="D1303" s="185"/>
      <c r="E1303" s="186"/>
      <c r="F1303" s="187"/>
    </row>
    <row r="1304" spans="1:6" x14ac:dyDescent="0.2">
      <c r="A1304" s="275"/>
      <c r="B1304" s="78"/>
      <c r="C1304" s="189"/>
      <c r="D1304" s="185"/>
      <c r="E1304" s="186"/>
      <c r="F1304" s="187"/>
    </row>
    <row r="1305" spans="1:6" x14ac:dyDescent="0.2">
      <c r="A1305" s="275"/>
      <c r="B1305" s="78"/>
      <c r="C1305" s="189"/>
      <c r="D1305" s="185"/>
      <c r="E1305" s="186"/>
      <c r="F1305" s="187"/>
    </row>
    <row r="1306" spans="1:6" x14ac:dyDescent="0.2">
      <c r="A1306" s="275"/>
      <c r="B1306" s="78"/>
      <c r="C1306" s="189"/>
      <c r="D1306" s="185"/>
      <c r="E1306" s="186"/>
      <c r="F1306" s="187"/>
    </row>
    <row r="1307" spans="1:6" x14ac:dyDescent="0.2">
      <c r="A1307" s="275"/>
      <c r="B1307" s="78"/>
      <c r="C1307" s="189"/>
      <c r="D1307" s="185"/>
      <c r="E1307" s="186"/>
      <c r="F1307" s="187"/>
    </row>
    <row r="1308" spans="1:6" x14ac:dyDescent="0.2">
      <c r="A1308" s="275"/>
      <c r="B1308" s="78"/>
      <c r="C1308" s="189"/>
      <c r="D1308" s="185"/>
      <c r="E1308" s="186"/>
      <c r="F1308" s="187"/>
    </row>
    <row r="1309" spans="1:6" x14ac:dyDescent="0.2">
      <c r="A1309" s="275"/>
      <c r="B1309" s="78"/>
      <c r="C1309" s="189"/>
      <c r="D1309" s="185"/>
      <c r="E1309" s="186"/>
      <c r="F1309" s="187"/>
    </row>
    <row r="1310" spans="1:6" x14ac:dyDescent="0.2">
      <c r="A1310" s="275"/>
      <c r="B1310" s="78"/>
      <c r="C1310" s="189"/>
      <c r="D1310" s="185"/>
      <c r="E1310" s="186"/>
      <c r="F1310" s="187"/>
    </row>
    <row r="1311" spans="1:6" x14ac:dyDescent="0.2">
      <c r="A1311" s="275"/>
      <c r="B1311" s="78"/>
      <c r="C1311" s="189"/>
      <c r="D1311" s="185"/>
      <c r="E1311" s="186"/>
      <c r="F1311" s="187"/>
    </row>
    <row r="1312" spans="1:6" x14ac:dyDescent="0.2">
      <c r="A1312" s="275"/>
      <c r="B1312" s="78"/>
      <c r="C1312" s="189"/>
      <c r="D1312" s="185"/>
      <c r="E1312" s="186"/>
      <c r="F1312" s="187"/>
    </row>
    <row r="1313" spans="1:6" x14ac:dyDescent="0.2">
      <c r="A1313" s="275"/>
      <c r="B1313" s="78"/>
      <c r="C1313" s="189"/>
      <c r="D1313" s="185"/>
      <c r="E1313" s="186"/>
      <c r="F1313" s="187"/>
    </row>
    <row r="1314" spans="1:6" x14ac:dyDescent="0.2">
      <c r="A1314" s="275"/>
      <c r="B1314" s="78"/>
      <c r="C1314" s="189"/>
      <c r="D1314" s="185"/>
      <c r="E1314" s="186"/>
      <c r="F1314" s="187"/>
    </row>
    <row r="1315" spans="1:6" x14ac:dyDescent="0.2">
      <c r="A1315" s="275"/>
      <c r="B1315" s="78"/>
      <c r="C1315" s="189"/>
      <c r="D1315" s="185"/>
      <c r="E1315" s="186"/>
      <c r="F1315" s="187"/>
    </row>
    <row r="1316" spans="1:6" x14ac:dyDescent="0.2">
      <c r="A1316" s="275"/>
      <c r="B1316" s="78"/>
      <c r="C1316" s="189"/>
      <c r="D1316" s="185"/>
      <c r="E1316" s="186"/>
      <c r="F1316" s="187"/>
    </row>
    <row r="1317" spans="1:6" x14ac:dyDescent="0.2">
      <c r="A1317" s="275"/>
      <c r="B1317" s="78"/>
      <c r="C1317" s="189"/>
      <c r="D1317" s="185"/>
      <c r="E1317" s="186"/>
      <c r="F1317" s="187"/>
    </row>
    <row r="1318" spans="1:6" x14ac:dyDescent="0.2">
      <c r="A1318" s="275"/>
      <c r="B1318" s="78"/>
      <c r="C1318" s="189"/>
      <c r="D1318" s="185"/>
      <c r="E1318" s="186"/>
      <c r="F1318" s="187"/>
    </row>
    <row r="1319" spans="1:6" x14ac:dyDescent="0.2">
      <c r="A1319" s="275"/>
      <c r="B1319" s="78"/>
      <c r="C1319" s="189"/>
      <c r="D1319" s="185"/>
      <c r="E1319" s="186"/>
      <c r="F1319" s="187"/>
    </row>
    <row r="1320" spans="1:6" x14ac:dyDescent="0.2">
      <c r="A1320" s="275"/>
      <c r="B1320" s="78"/>
      <c r="C1320" s="189"/>
      <c r="D1320" s="185"/>
      <c r="E1320" s="186"/>
      <c r="F1320" s="187"/>
    </row>
    <row r="1321" spans="1:6" x14ac:dyDescent="0.2">
      <c r="A1321" s="275"/>
      <c r="B1321" s="78"/>
      <c r="C1321" s="189"/>
      <c r="D1321" s="185"/>
      <c r="E1321" s="186"/>
      <c r="F1321" s="187"/>
    </row>
    <row r="1322" spans="1:6" x14ac:dyDescent="0.2">
      <c r="A1322" s="275"/>
      <c r="B1322" s="78"/>
      <c r="C1322" s="189"/>
      <c r="D1322" s="185"/>
      <c r="E1322" s="186"/>
      <c r="F1322" s="187"/>
    </row>
    <row r="1323" spans="1:6" x14ac:dyDescent="0.2">
      <c r="A1323" s="275"/>
      <c r="B1323" s="78"/>
      <c r="C1323" s="189"/>
      <c r="D1323" s="185"/>
      <c r="E1323" s="186"/>
      <c r="F1323" s="187"/>
    </row>
    <row r="1324" spans="1:6" x14ac:dyDescent="0.2">
      <c r="A1324" s="275"/>
      <c r="B1324" s="78"/>
      <c r="C1324" s="189"/>
      <c r="D1324" s="185"/>
      <c r="E1324" s="186"/>
      <c r="F1324" s="187"/>
    </row>
    <row r="1325" spans="1:6" x14ac:dyDescent="0.2">
      <c r="A1325" s="275"/>
      <c r="B1325" s="78"/>
      <c r="C1325" s="189"/>
      <c r="D1325" s="185"/>
      <c r="E1325" s="186"/>
      <c r="F1325" s="187"/>
    </row>
    <row r="1326" spans="1:6" x14ac:dyDescent="0.2">
      <c r="A1326" s="275"/>
      <c r="B1326" s="78"/>
      <c r="C1326" s="189"/>
      <c r="D1326" s="185"/>
      <c r="E1326" s="186"/>
      <c r="F1326" s="187"/>
    </row>
    <row r="1327" spans="1:6" x14ac:dyDescent="0.2">
      <c r="A1327" s="275"/>
      <c r="B1327" s="78"/>
      <c r="C1327" s="189"/>
      <c r="D1327" s="185"/>
      <c r="E1327" s="186"/>
      <c r="F1327" s="187"/>
    </row>
    <row r="1328" spans="1:6" x14ac:dyDescent="0.2">
      <c r="A1328" s="275"/>
      <c r="B1328" s="78"/>
      <c r="C1328" s="189"/>
      <c r="D1328" s="185"/>
      <c r="E1328" s="186"/>
      <c r="F1328" s="187"/>
    </row>
    <row r="1329" spans="1:6" x14ac:dyDescent="0.2">
      <c r="A1329" s="275"/>
      <c r="B1329" s="78"/>
      <c r="C1329" s="189"/>
      <c r="D1329" s="185"/>
      <c r="E1329" s="186"/>
      <c r="F1329" s="187"/>
    </row>
    <row r="1330" spans="1:6" x14ac:dyDescent="0.2">
      <c r="A1330" s="275"/>
      <c r="B1330" s="78"/>
      <c r="C1330" s="189"/>
      <c r="D1330" s="185"/>
      <c r="E1330" s="186"/>
      <c r="F1330" s="187"/>
    </row>
    <row r="1331" spans="1:6" x14ac:dyDescent="0.2">
      <c r="A1331" s="275"/>
      <c r="B1331" s="78"/>
      <c r="C1331" s="189"/>
      <c r="D1331" s="185"/>
      <c r="E1331" s="186"/>
      <c r="F1331" s="187"/>
    </row>
    <row r="1332" spans="1:6" x14ac:dyDescent="0.2">
      <c r="A1332" s="275"/>
      <c r="B1332" s="78"/>
      <c r="C1332" s="189"/>
      <c r="D1332" s="185"/>
      <c r="E1332" s="186"/>
      <c r="F1332" s="187"/>
    </row>
    <row r="1333" spans="1:6" x14ac:dyDescent="0.2">
      <c r="A1333" s="275"/>
      <c r="B1333" s="78"/>
      <c r="C1333" s="189"/>
      <c r="D1333" s="185"/>
      <c r="E1333" s="186"/>
      <c r="F1333" s="187"/>
    </row>
    <row r="1334" spans="1:6" x14ac:dyDescent="0.2">
      <c r="A1334" s="275"/>
      <c r="B1334" s="78"/>
      <c r="C1334" s="189"/>
      <c r="D1334" s="185"/>
      <c r="E1334" s="186"/>
      <c r="F1334" s="187"/>
    </row>
    <row r="1335" spans="1:6" x14ac:dyDescent="0.2">
      <c r="A1335" s="275"/>
      <c r="B1335" s="78"/>
      <c r="C1335" s="189"/>
      <c r="D1335" s="185"/>
      <c r="E1335" s="186"/>
      <c r="F1335" s="187"/>
    </row>
    <row r="1336" spans="1:6" x14ac:dyDescent="0.2">
      <c r="A1336" s="275"/>
      <c r="B1336" s="78"/>
      <c r="C1336" s="189"/>
      <c r="D1336" s="185"/>
      <c r="E1336" s="186"/>
      <c r="F1336" s="187"/>
    </row>
    <row r="1337" spans="1:6" x14ac:dyDescent="0.2">
      <c r="A1337" s="275"/>
      <c r="B1337" s="78"/>
      <c r="C1337" s="189"/>
      <c r="D1337" s="185"/>
      <c r="E1337" s="186"/>
      <c r="F1337" s="187"/>
    </row>
    <row r="1338" spans="1:6" x14ac:dyDescent="0.2">
      <c r="A1338" s="275"/>
      <c r="B1338" s="78"/>
      <c r="C1338" s="189"/>
      <c r="D1338" s="185"/>
      <c r="E1338" s="186"/>
      <c r="F1338" s="187"/>
    </row>
    <row r="1339" spans="1:6" x14ac:dyDescent="0.2">
      <c r="A1339" s="275"/>
      <c r="B1339" s="78"/>
      <c r="C1339" s="189"/>
      <c r="D1339" s="185"/>
      <c r="E1339" s="186"/>
      <c r="F1339" s="187"/>
    </row>
    <row r="1340" spans="1:6" x14ac:dyDescent="0.2">
      <c r="A1340" s="275"/>
      <c r="B1340" s="78"/>
      <c r="C1340" s="189"/>
      <c r="D1340" s="185"/>
      <c r="E1340" s="186"/>
      <c r="F1340" s="187"/>
    </row>
    <row r="1341" spans="1:6" x14ac:dyDescent="0.2">
      <c r="A1341" s="275"/>
      <c r="B1341" s="78"/>
      <c r="C1341" s="189"/>
      <c r="D1341" s="185"/>
      <c r="E1341" s="186"/>
      <c r="F1341" s="187"/>
    </row>
    <row r="1342" spans="1:6" x14ac:dyDescent="0.2">
      <c r="A1342" s="275"/>
      <c r="B1342" s="78"/>
      <c r="C1342" s="189"/>
      <c r="D1342" s="185"/>
      <c r="E1342" s="186"/>
      <c r="F1342" s="187"/>
    </row>
    <row r="1343" spans="1:6" x14ac:dyDescent="0.2">
      <c r="A1343" s="275"/>
      <c r="B1343" s="78"/>
      <c r="C1343" s="189"/>
      <c r="D1343" s="185"/>
      <c r="E1343" s="186"/>
      <c r="F1343" s="187"/>
    </row>
    <row r="1344" spans="1:6" x14ac:dyDescent="0.2">
      <c r="A1344" s="275"/>
      <c r="B1344" s="78"/>
      <c r="C1344" s="189"/>
      <c r="D1344" s="185"/>
      <c r="E1344" s="186"/>
      <c r="F1344" s="187"/>
    </row>
    <row r="1345" spans="1:6" x14ac:dyDescent="0.2">
      <c r="A1345" s="275"/>
      <c r="B1345" s="78"/>
      <c r="C1345" s="189"/>
      <c r="D1345" s="185"/>
      <c r="E1345" s="186"/>
      <c r="F1345" s="187"/>
    </row>
    <row r="1346" spans="1:6" x14ac:dyDescent="0.2">
      <c r="A1346" s="275"/>
      <c r="B1346" s="78"/>
      <c r="C1346" s="189"/>
      <c r="D1346" s="185"/>
      <c r="E1346" s="186"/>
      <c r="F1346" s="187"/>
    </row>
    <row r="1347" spans="1:6" x14ac:dyDescent="0.2">
      <c r="A1347" s="275"/>
      <c r="B1347" s="78"/>
      <c r="C1347" s="189"/>
      <c r="D1347" s="185"/>
      <c r="E1347" s="186"/>
      <c r="F1347" s="187"/>
    </row>
    <row r="1348" spans="1:6" x14ac:dyDescent="0.2">
      <c r="A1348" s="275"/>
      <c r="B1348" s="78"/>
      <c r="C1348" s="189"/>
      <c r="D1348" s="185"/>
      <c r="E1348" s="186"/>
      <c r="F1348" s="187"/>
    </row>
    <row r="1349" spans="1:6" x14ac:dyDescent="0.2">
      <c r="A1349" s="275"/>
      <c r="B1349" s="78"/>
      <c r="C1349" s="189"/>
      <c r="D1349" s="185"/>
      <c r="E1349" s="186"/>
      <c r="F1349" s="187"/>
    </row>
    <row r="1350" spans="1:6" x14ac:dyDescent="0.2">
      <c r="A1350" s="275"/>
      <c r="B1350" s="78"/>
      <c r="C1350" s="189"/>
      <c r="D1350" s="185"/>
      <c r="E1350" s="186"/>
      <c r="F1350" s="187"/>
    </row>
    <row r="1351" spans="1:6" x14ac:dyDescent="0.2">
      <c r="A1351" s="275"/>
      <c r="B1351" s="78"/>
      <c r="C1351" s="189"/>
      <c r="D1351" s="185"/>
      <c r="E1351" s="186"/>
      <c r="F1351" s="187"/>
    </row>
    <row r="1352" spans="1:6" x14ac:dyDescent="0.2">
      <c r="A1352" s="275"/>
      <c r="B1352" s="78"/>
      <c r="C1352" s="189"/>
      <c r="D1352" s="185"/>
      <c r="E1352" s="186"/>
      <c r="F1352" s="187"/>
    </row>
    <row r="1353" spans="1:6" x14ac:dyDescent="0.2">
      <c r="A1353" s="275"/>
      <c r="B1353" s="78"/>
      <c r="C1353" s="189"/>
      <c r="D1353" s="185"/>
      <c r="E1353" s="186"/>
      <c r="F1353" s="187"/>
    </row>
    <row r="1354" spans="1:6" x14ac:dyDescent="0.2">
      <c r="A1354" s="275"/>
      <c r="B1354" s="78"/>
      <c r="C1354" s="189"/>
      <c r="D1354" s="185"/>
      <c r="E1354" s="186"/>
      <c r="F1354" s="187"/>
    </row>
    <row r="1355" spans="1:6" x14ac:dyDescent="0.2">
      <c r="A1355" s="275"/>
      <c r="B1355" s="78"/>
      <c r="C1355" s="189"/>
      <c r="D1355" s="185"/>
      <c r="E1355" s="186"/>
      <c r="F1355" s="187"/>
    </row>
    <row r="1356" spans="1:6" x14ac:dyDescent="0.2">
      <c r="A1356" s="275"/>
      <c r="B1356" s="78"/>
      <c r="C1356" s="189"/>
      <c r="D1356" s="185"/>
      <c r="E1356" s="186"/>
      <c r="F1356" s="187"/>
    </row>
    <row r="1357" spans="1:6" x14ac:dyDescent="0.2">
      <c r="A1357" s="275"/>
      <c r="B1357" s="78"/>
      <c r="C1357" s="189"/>
      <c r="D1357" s="185"/>
      <c r="E1357" s="186"/>
      <c r="F1357" s="187"/>
    </row>
    <row r="1358" spans="1:6" x14ac:dyDescent="0.2">
      <c r="A1358" s="275"/>
      <c r="B1358" s="78"/>
      <c r="C1358" s="189"/>
      <c r="D1358" s="185"/>
      <c r="E1358" s="186"/>
      <c r="F1358" s="187"/>
    </row>
    <row r="1359" spans="1:6" x14ac:dyDescent="0.2">
      <c r="A1359" s="275"/>
      <c r="B1359" s="78"/>
      <c r="C1359" s="189"/>
      <c r="D1359" s="185"/>
      <c r="E1359" s="186"/>
      <c r="F1359" s="187"/>
    </row>
    <row r="1360" spans="1:6" x14ac:dyDescent="0.2">
      <c r="A1360" s="275"/>
      <c r="B1360" s="78"/>
      <c r="C1360" s="189"/>
      <c r="D1360" s="185"/>
      <c r="E1360" s="186"/>
      <c r="F1360" s="187"/>
    </row>
    <row r="1361" spans="1:6" x14ac:dyDescent="0.2">
      <c r="A1361" s="275"/>
      <c r="B1361" s="78"/>
      <c r="C1361" s="189"/>
      <c r="D1361" s="185"/>
      <c r="E1361" s="186"/>
      <c r="F1361" s="187"/>
    </row>
    <row r="1362" spans="1:6" x14ac:dyDescent="0.2">
      <c r="A1362" s="275"/>
      <c r="B1362" s="78"/>
      <c r="C1362" s="189"/>
      <c r="D1362" s="185"/>
      <c r="E1362" s="186"/>
      <c r="F1362" s="187"/>
    </row>
    <row r="1363" spans="1:6" x14ac:dyDescent="0.2">
      <c r="A1363" s="275"/>
      <c r="B1363" s="78"/>
      <c r="C1363" s="189"/>
      <c r="D1363" s="185"/>
      <c r="E1363" s="186"/>
      <c r="F1363" s="187"/>
    </row>
    <row r="1364" spans="1:6" x14ac:dyDescent="0.2">
      <c r="A1364" s="275"/>
      <c r="B1364" s="78"/>
      <c r="C1364" s="189"/>
      <c r="D1364" s="185"/>
      <c r="E1364" s="186"/>
      <c r="F1364" s="187"/>
    </row>
    <row r="1365" spans="1:6" x14ac:dyDescent="0.2">
      <c r="A1365" s="275"/>
      <c r="B1365" s="78"/>
      <c r="C1365" s="189"/>
      <c r="D1365" s="185"/>
      <c r="E1365" s="186"/>
      <c r="F1365" s="187"/>
    </row>
    <row r="1366" spans="1:6" x14ac:dyDescent="0.2">
      <c r="A1366" s="275"/>
      <c r="B1366" s="78"/>
      <c r="C1366" s="189"/>
      <c r="D1366" s="185"/>
      <c r="E1366" s="186"/>
      <c r="F1366" s="187"/>
    </row>
    <row r="1367" spans="1:6" x14ac:dyDescent="0.2">
      <c r="A1367" s="275"/>
      <c r="B1367" s="78"/>
      <c r="C1367" s="189"/>
      <c r="D1367" s="185"/>
      <c r="E1367" s="186"/>
      <c r="F1367" s="187"/>
    </row>
    <row r="1368" spans="1:6" x14ac:dyDescent="0.2">
      <c r="A1368" s="275"/>
      <c r="B1368" s="78"/>
      <c r="C1368" s="189"/>
      <c r="D1368" s="185"/>
      <c r="E1368" s="186"/>
      <c r="F1368" s="187"/>
    </row>
    <row r="1369" spans="1:6" x14ac:dyDescent="0.2">
      <c r="A1369" s="275"/>
      <c r="B1369" s="78"/>
      <c r="C1369" s="189"/>
      <c r="D1369" s="185"/>
      <c r="E1369" s="186"/>
      <c r="F1369" s="187"/>
    </row>
    <row r="1370" spans="1:6" x14ac:dyDescent="0.2">
      <c r="A1370" s="275"/>
      <c r="B1370" s="78"/>
      <c r="C1370" s="189"/>
      <c r="D1370" s="185"/>
      <c r="E1370" s="186"/>
      <c r="F1370" s="187"/>
    </row>
    <row r="1371" spans="1:6" x14ac:dyDescent="0.2">
      <c r="A1371" s="275"/>
      <c r="B1371" s="78"/>
      <c r="C1371" s="189"/>
      <c r="D1371" s="185"/>
      <c r="E1371" s="186"/>
      <c r="F1371" s="187"/>
    </row>
    <row r="1372" spans="1:6" x14ac:dyDescent="0.2">
      <c r="A1372" s="275"/>
      <c r="B1372" s="78"/>
      <c r="C1372" s="189"/>
      <c r="D1372" s="185"/>
      <c r="E1372" s="186"/>
      <c r="F1372" s="187"/>
    </row>
    <row r="1373" spans="1:6" x14ac:dyDescent="0.2">
      <c r="A1373" s="275"/>
      <c r="B1373" s="78"/>
      <c r="C1373" s="189"/>
      <c r="D1373" s="185"/>
      <c r="E1373" s="186"/>
      <c r="F1373" s="187"/>
    </row>
    <row r="1374" spans="1:6" x14ac:dyDescent="0.2">
      <c r="A1374" s="275"/>
      <c r="B1374" s="78"/>
      <c r="C1374" s="189"/>
      <c r="D1374" s="185"/>
      <c r="E1374" s="186"/>
      <c r="F1374" s="187"/>
    </row>
    <row r="1375" spans="1:6" x14ac:dyDescent="0.2">
      <c r="A1375" s="275"/>
      <c r="B1375" s="78"/>
      <c r="C1375" s="189"/>
      <c r="D1375" s="185"/>
      <c r="E1375" s="186"/>
      <c r="F1375" s="187"/>
    </row>
    <row r="1376" spans="1:6" x14ac:dyDescent="0.2">
      <c r="A1376" s="275"/>
      <c r="B1376" s="78"/>
      <c r="C1376" s="189"/>
      <c r="D1376" s="185"/>
      <c r="E1376" s="186"/>
      <c r="F1376" s="187"/>
    </row>
    <row r="1377" spans="1:6" x14ac:dyDescent="0.2">
      <c r="A1377" s="275"/>
      <c r="B1377" s="78"/>
      <c r="C1377" s="189"/>
      <c r="D1377" s="185"/>
      <c r="E1377" s="186"/>
      <c r="F1377" s="187"/>
    </row>
    <row r="1378" spans="1:6" x14ac:dyDescent="0.2">
      <c r="A1378" s="275"/>
      <c r="B1378" s="78"/>
      <c r="C1378" s="189"/>
      <c r="D1378" s="185"/>
      <c r="E1378" s="186"/>
      <c r="F1378" s="187"/>
    </row>
    <row r="1379" spans="1:6" x14ac:dyDescent="0.2">
      <c r="A1379" s="275"/>
      <c r="B1379" s="78"/>
      <c r="C1379" s="189"/>
      <c r="D1379" s="185"/>
      <c r="E1379" s="186"/>
      <c r="F1379" s="187"/>
    </row>
    <row r="1380" spans="1:6" x14ac:dyDescent="0.2">
      <c r="A1380" s="275"/>
      <c r="B1380" s="78"/>
      <c r="C1380" s="189"/>
      <c r="D1380" s="185"/>
      <c r="E1380" s="186"/>
      <c r="F1380" s="187"/>
    </row>
    <row r="1381" spans="1:6" x14ac:dyDescent="0.2">
      <c r="A1381" s="275"/>
      <c r="B1381" s="78"/>
      <c r="C1381" s="189"/>
      <c r="D1381" s="185"/>
      <c r="E1381" s="186"/>
      <c r="F1381" s="187"/>
    </row>
    <row r="1382" spans="1:6" x14ac:dyDescent="0.2">
      <c r="A1382" s="275"/>
      <c r="B1382" s="78"/>
      <c r="C1382" s="189"/>
      <c r="D1382" s="185"/>
      <c r="E1382" s="186"/>
      <c r="F1382" s="187"/>
    </row>
    <row r="1383" spans="1:6" x14ac:dyDescent="0.2">
      <c r="A1383" s="275"/>
      <c r="B1383" s="78"/>
      <c r="C1383" s="189"/>
      <c r="D1383" s="185"/>
      <c r="E1383" s="186"/>
      <c r="F1383" s="187"/>
    </row>
    <row r="1384" spans="1:6" x14ac:dyDescent="0.2">
      <c r="A1384" s="275"/>
      <c r="B1384" s="78"/>
      <c r="C1384" s="189"/>
      <c r="D1384" s="185"/>
      <c r="E1384" s="186"/>
      <c r="F1384" s="187"/>
    </row>
    <row r="1385" spans="1:6" x14ac:dyDescent="0.2">
      <c r="A1385" s="275"/>
      <c r="B1385" s="78"/>
      <c r="C1385" s="189"/>
      <c r="D1385" s="185"/>
      <c r="E1385" s="186"/>
      <c r="F1385" s="187"/>
    </row>
    <row r="1386" spans="1:6" x14ac:dyDescent="0.2">
      <c r="A1386" s="275"/>
      <c r="B1386" s="78"/>
      <c r="C1386" s="189"/>
      <c r="D1386" s="185"/>
      <c r="E1386" s="186"/>
      <c r="F1386" s="187"/>
    </row>
    <row r="1387" spans="1:6" x14ac:dyDescent="0.2">
      <c r="A1387" s="275"/>
      <c r="B1387" s="78"/>
      <c r="C1387" s="189"/>
      <c r="D1387" s="185"/>
      <c r="E1387" s="186"/>
      <c r="F1387" s="187"/>
    </row>
    <row r="1388" spans="1:6" x14ac:dyDescent="0.2">
      <c r="A1388" s="275"/>
      <c r="B1388" s="78"/>
      <c r="C1388" s="189"/>
      <c r="D1388" s="185"/>
      <c r="E1388" s="186"/>
      <c r="F1388" s="187"/>
    </row>
    <row r="1389" spans="1:6" x14ac:dyDescent="0.2">
      <c r="A1389" s="275"/>
      <c r="B1389" s="78"/>
      <c r="C1389" s="189"/>
      <c r="D1389" s="185"/>
      <c r="E1389" s="186"/>
      <c r="F1389" s="187"/>
    </row>
    <row r="1390" spans="1:6" x14ac:dyDescent="0.2">
      <c r="A1390" s="275"/>
      <c r="B1390" s="78"/>
      <c r="C1390" s="189"/>
      <c r="D1390" s="185"/>
      <c r="E1390" s="186"/>
      <c r="F1390" s="187"/>
    </row>
    <row r="1391" spans="1:6" x14ac:dyDescent="0.2">
      <c r="A1391" s="275"/>
      <c r="B1391" s="78"/>
      <c r="C1391" s="189"/>
      <c r="D1391" s="185"/>
      <c r="E1391" s="186"/>
      <c r="F1391" s="187"/>
    </row>
    <row r="1392" spans="1:6" x14ac:dyDescent="0.2">
      <c r="A1392" s="275"/>
      <c r="B1392" s="78"/>
      <c r="C1392" s="189"/>
      <c r="D1392" s="185"/>
      <c r="E1392" s="186"/>
      <c r="F1392" s="187"/>
    </row>
    <row r="1393" spans="1:6" x14ac:dyDescent="0.2">
      <c r="A1393" s="275"/>
      <c r="B1393" s="78"/>
      <c r="C1393" s="189"/>
      <c r="D1393" s="185"/>
      <c r="E1393" s="186"/>
      <c r="F1393" s="187"/>
    </row>
    <row r="1394" spans="1:6" x14ac:dyDescent="0.2">
      <c r="A1394" s="275"/>
      <c r="B1394" s="78"/>
      <c r="C1394" s="189"/>
      <c r="D1394" s="185"/>
      <c r="E1394" s="186"/>
      <c r="F1394" s="187"/>
    </row>
    <row r="1395" spans="1:6" x14ac:dyDescent="0.2">
      <c r="A1395" s="275"/>
      <c r="B1395" s="78"/>
      <c r="C1395" s="189"/>
      <c r="D1395" s="185"/>
      <c r="E1395" s="186"/>
      <c r="F1395" s="187"/>
    </row>
    <row r="1396" spans="1:6" x14ac:dyDescent="0.2">
      <c r="A1396" s="275"/>
      <c r="B1396" s="78"/>
      <c r="C1396" s="189"/>
      <c r="D1396" s="185"/>
      <c r="E1396" s="186"/>
      <c r="F1396" s="187"/>
    </row>
    <row r="1397" spans="1:6" x14ac:dyDescent="0.2">
      <c r="A1397" s="275"/>
      <c r="B1397" s="78"/>
      <c r="C1397" s="189"/>
      <c r="D1397" s="185"/>
      <c r="E1397" s="186"/>
      <c r="F1397" s="187"/>
    </row>
    <row r="1398" spans="1:6" x14ac:dyDescent="0.2">
      <c r="A1398" s="275"/>
      <c r="B1398" s="78"/>
      <c r="C1398" s="189"/>
      <c r="D1398" s="185"/>
      <c r="E1398" s="186"/>
      <c r="F1398" s="187"/>
    </row>
    <row r="1399" spans="1:6" x14ac:dyDescent="0.2">
      <c r="A1399" s="275"/>
      <c r="B1399" s="78"/>
      <c r="C1399" s="189"/>
      <c r="D1399" s="185"/>
      <c r="E1399" s="186"/>
      <c r="F1399" s="187"/>
    </row>
    <row r="1400" spans="1:6" x14ac:dyDescent="0.2">
      <c r="A1400" s="275"/>
      <c r="B1400" s="78"/>
      <c r="C1400" s="189"/>
      <c r="D1400" s="185"/>
      <c r="E1400" s="186"/>
      <c r="F1400" s="187"/>
    </row>
    <row r="1401" spans="1:6" x14ac:dyDescent="0.2">
      <c r="A1401" s="275"/>
      <c r="B1401" s="78"/>
      <c r="C1401" s="189"/>
      <c r="D1401" s="185"/>
      <c r="E1401" s="186"/>
      <c r="F1401" s="187"/>
    </row>
    <row r="1402" spans="1:6" x14ac:dyDescent="0.2">
      <c r="A1402" s="275"/>
      <c r="B1402" s="78"/>
      <c r="C1402" s="189"/>
      <c r="D1402" s="185"/>
      <c r="E1402" s="186"/>
      <c r="F1402" s="187"/>
    </row>
    <row r="1403" spans="1:6" x14ac:dyDescent="0.2">
      <c r="A1403" s="275"/>
      <c r="B1403" s="78"/>
      <c r="C1403" s="189"/>
      <c r="D1403" s="185"/>
      <c r="E1403" s="186"/>
      <c r="F1403" s="187"/>
    </row>
    <row r="1404" spans="1:6" x14ac:dyDescent="0.2">
      <c r="A1404" s="275"/>
      <c r="B1404" s="78"/>
      <c r="C1404" s="189"/>
      <c r="D1404" s="185"/>
      <c r="E1404" s="186"/>
      <c r="F1404" s="187"/>
    </row>
    <row r="1405" spans="1:6" x14ac:dyDescent="0.2">
      <c r="A1405" s="275"/>
      <c r="B1405" s="78"/>
      <c r="C1405" s="189"/>
      <c r="D1405" s="185"/>
      <c r="E1405" s="186"/>
      <c r="F1405" s="187"/>
    </row>
    <row r="1406" spans="1:6" x14ac:dyDescent="0.2">
      <c r="A1406" s="275"/>
      <c r="B1406" s="78"/>
      <c r="C1406" s="189"/>
      <c r="D1406" s="185"/>
      <c r="E1406" s="186"/>
      <c r="F1406" s="187"/>
    </row>
    <row r="1407" spans="1:6" x14ac:dyDescent="0.2">
      <c r="A1407" s="275"/>
      <c r="B1407" s="78"/>
      <c r="C1407" s="189"/>
      <c r="D1407" s="185"/>
      <c r="E1407" s="186"/>
      <c r="F1407" s="187"/>
    </row>
    <row r="1408" spans="1:6" x14ac:dyDescent="0.2">
      <c r="A1408" s="275"/>
      <c r="B1408" s="78"/>
      <c r="C1408" s="189"/>
      <c r="D1408" s="185"/>
      <c r="E1408" s="186"/>
      <c r="F1408" s="187"/>
    </row>
    <row r="1409" spans="1:6" x14ac:dyDescent="0.2">
      <c r="A1409" s="275"/>
      <c r="B1409" s="78"/>
      <c r="C1409" s="189"/>
      <c r="D1409" s="185"/>
      <c r="E1409" s="186"/>
      <c r="F1409" s="187"/>
    </row>
    <row r="1410" spans="1:6" x14ac:dyDescent="0.2">
      <c r="A1410" s="275"/>
      <c r="B1410" s="78"/>
      <c r="C1410" s="189"/>
      <c r="D1410" s="185"/>
      <c r="E1410" s="186"/>
      <c r="F1410" s="187"/>
    </row>
    <row r="1411" spans="1:6" x14ac:dyDescent="0.2">
      <c r="A1411" s="275"/>
      <c r="B1411" s="78"/>
      <c r="C1411" s="189"/>
      <c r="D1411" s="185"/>
      <c r="E1411" s="186"/>
      <c r="F1411" s="187"/>
    </row>
    <row r="1412" spans="1:6" x14ac:dyDescent="0.2">
      <c r="A1412" s="275"/>
      <c r="B1412" s="78"/>
      <c r="C1412" s="189"/>
      <c r="D1412" s="185"/>
      <c r="E1412" s="186"/>
      <c r="F1412" s="187"/>
    </row>
    <row r="1413" spans="1:6" x14ac:dyDescent="0.2">
      <c r="A1413" s="275"/>
      <c r="B1413" s="78"/>
      <c r="C1413" s="189"/>
      <c r="D1413" s="185"/>
      <c r="E1413" s="186"/>
      <c r="F1413" s="187"/>
    </row>
    <row r="1414" spans="1:6" x14ac:dyDescent="0.2">
      <c r="A1414" s="275"/>
      <c r="B1414" s="78"/>
      <c r="C1414" s="189"/>
      <c r="D1414" s="185"/>
      <c r="E1414" s="186"/>
      <c r="F1414" s="187"/>
    </row>
    <row r="1415" spans="1:6" x14ac:dyDescent="0.2">
      <c r="A1415" s="275"/>
      <c r="B1415" s="78"/>
      <c r="C1415" s="189"/>
      <c r="D1415" s="185"/>
      <c r="E1415" s="186"/>
      <c r="F1415" s="187"/>
    </row>
    <row r="1416" spans="1:6" x14ac:dyDescent="0.2">
      <c r="A1416" s="275"/>
      <c r="B1416" s="78"/>
      <c r="C1416" s="189"/>
      <c r="D1416" s="185"/>
      <c r="E1416" s="186"/>
      <c r="F1416" s="187"/>
    </row>
    <row r="1417" spans="1:6" x14ac:dyDescent="0.2">
      <c r="A1417" s="275"/>
      <c r="B1417" s="78"/>
      <c r="C1417" s="189"/>
      <c r="D1417" s="185"/>
      <c r="E1417" s="186"/>
      <c r="F1417" s="187"/>
    </row>
    <row r="1418" spans="1:6" x14ac:dyDescent="0.2">
      <c r="A1418" s="275"/>
      <c r="B1418" s="78"/>
      <c r="C1418" s="189"/>
      <c r="D1418" s="185"/>
      <c r="E1418" s="186"/>
      <c r="F1418" s="187"/>
    </row>
    <row r="1419" spans="1:6" x14ac:dyDescent="0.2">
      <c r="A1419" s="275"/>
      <c r="B1419" s="78"/>
      <c r="C1419" s="189"/>
      <c r="D1419" s="185"/>
      <c r="E1419" s="186"/>
      <c r="F1419" s="187"/>
    </row>
    <row r="1420" spans="1:6" x14ac:dyDescent="0.2">
      <c r="A1420" s="275"/>
      <c r="B1420" s="78"/>
      <c r="C1420" s="189"/>
      <c r="D1420" s="185"/>
      <c r="E1420" s="186"/>
      <c r="F1420" s="187"/>
    </row>
    <row r="1421" spans="1:6" x14ac:dyDescent="0.2">
      <c r="A1421" s="275"/>
      <c r="B1421" s="78"/>
      <c r="C1421" s="189"/>
      <c r="D1421" s="185"/>
      <c r="E1421" s="186"/>
      <c r="F1421" s="187"/>
    </row>
    <row r="1422" spans="1:6" x14ac:dyDescent="0.2">
      <c r="A1422" s="275"/>
      <c r="B1422" s="78"/>
      <c r="C1422" s="189"/>
      <c r="D1422" s="185"/>
      <c r="E1422" s="186"/>
      <c r="F1422" s="187"/>
    </row>
    <row r="1423" spans="1:6" x14ac:dyDescent="0.2">
      <c r="A1423" s="275"/>
      <c r="B1423" s="78"/>
      <c r="C1423" s="189"/>
      <c r="D1423" s="185"/>
      <c r="E1423" s="186"/>
      <c r="F1423" s="187"/>
    </row>
    <row r="1424" spans="1:6" x14ac:dyDescent="0.2">
      <c r="A1424" s="275"/>
      <c r="B1424" s="78"/>
      <c r="C1424" s="189"/>
      <c r="D1424" s="185"/>
      <c r="E1424" s="186"/>
      <c r="F1424" s="187"/>
    </row>
    <row r="1425" spans="1:6" x14ac:dyDescent="0.2">
      <c r="A1425" s="275"/>
      <c r="B1425" s="78"/>
      <c r="C1425" s="189"/>
      <c r="D1425" s="185"/>
      <c r="E1425" s="186"/>
      <c r="F1425" s="187"/>
    </row>
    <row r="1426" spans="1:6" x14ac:dyDescent="0.2">
      <c r="A1426" s="275"/>
      <c r="B1426" s="78"/>
      <c r="C1426" s="189"/>
      <c r="D1426" s="185"/>
      <c r="E1426" s="186"/>
      <c r="F1426" s="187"/>
    </row>
    <row r="1427" spans="1:6" x14ac:dyDescent="0.2">
      <c r="A1427" s="275"/>
      <c r="B1427" s="78"/>
      <c r="C1427" s="189"/>
      <c r="D1427" s="185"/>
      <c r="E1427" s="186"/>
      <c r="F1427" s="187"/>
    </row>
    <row r="1428" spans="1:6" x14ac:dyDescent="0.2">
      <c r="A1428" s="275"/>
      <c r="B1428" s="78"/>
      <c r="C1428" s="189"/>
      <c r="D1428" s="185"/>
      <c r="E1428" s="186"/>
      <c r="F1428" s="187"/>
    </row>
    <row r="1429" spans="1:6" x14ac:dyDescent="0.2">
      <c r="A1429" s="275"/>
      <c r="B1429" s="78"/>
      <c r="C1429" s="189"/>
      <c r="D1429" s="185"/>
      <c r="E1429" s="186"/>
      <c r="F1429" s="187"/>
    </row>
    <row r="1430" spans="1:6" x14ac:dyDescent="0.2">
      <c r="A1430" s="275"/>
      <c r="B1430" s="78"/>
      <c r="C1430" s="189"/>
      <c r="D1430" s="185"/>
      <c r="E1430" s="186"/>
      <c r="F1430" s="187"/>
    </row>
    <row r="1431" spans="1:6" x14ac:dyDescent="0.2">
      <c r="A1431" s="275"/>
      <c r="B1431" s="78"/>
      <c r="C1431" s="189"/>
      <c r="D1431" s="185"/>
      <c r="E1431" s="186"/>
      <c r="F1431" s="187"/>
    </row>
    <row r="1432" spans="1:6" x14ac:dyDescent="0.2">
      <c r="A1432" s="275"/>
      <c r="B1432" s="78"/>
      <c r="C1432" s="189"/>
      <c r="D1432" s="185"/>
      <c r="E1432" s="186"/>
      <c r="F1432" s="187"/>
    </row>
    <row r="1433" spans="1:6" x14ac:dyDescent="0.2">
      <c r="A1433" s="275"/>
      <c r="B1433" s="78"/>
      <c r="C1433" s="189"/>
      <c r="D1433" s="185"/>
      <c r="E1433" s="186"/>
      <c r="F1433" s="187"/>
    </row>
    <row r="1434" spans="1:6" x14ac:dyDescent="0.2">
      <c r="A1434" s="275"/>
      <c r="B1434" s="78"/>
      <c r="C1434" s="189"/>
      <c r="D1434" s="185"/>
      <c r="E1434" s="186"/>
      <c r="F1434" s="187"/>
    </row>
    <row r="1435" spans="1:6" x14ac:dyDescent="0.2">
      <c r="A1435" s="275"/>
      <c r="B1435" s="78"/>
      <c r="C1435" s="189"/>
      <c r="D1435" s="185"/>
      <c r="E1435" s="186"/>
      <c r="F1435" s="187"/>
    </row>
    <row r="1436" spans="1:6" x14ac:dyDescent="0.2">
      <c r="A1436" s="275"/>
      <c r="B1436" s="78"/>
      <c r="C1436" s="189"/>
      <c r="D1436" s="185"/>
      <c r="E1436" s="186"/>
      <c r="F1436" s="187"/>
    </row>
    <row r="1437" spans="1:6" x14ac:dyDescent="0.2">
      <c r="A1437" s="275"/>
      <c r="B1437" s="78"/>
      <c r="C1437" s="189"/>
      <c r="D1437" s="185"/>
      <c r="E1437" s="186"/>
      <c r="F1437" s="187"/>
    </row>
    <row r="1438" spans="1:6" x14ac:dyDescent="0.2">
      <c r="A1438" s="275"/>
      <c r="B1438" s="78"/>
      <c r="C1438" s="189"/>
      <c r="D1438" s="185"/>
      <c r="E1438" s="186"/>
      <c r="F1438" s="187"/>
    </row>
    <row r="1439" spans="1:6" x14ac:dyDescent="0.2">
      <c r="A1439" s="275"/>
      <c r="B1439" s="78"/>
      <c r="C1439" s="189"/>
      <c r="D1439" s="185"/>
      <c r="E1439" s="186"/>
      <c r="F1439" s="187"/>
    </row>
    <row r="1440" spans="1:6" x14ac:dyDescent="0.2">
      <c r="A1440" s="275"/>
      <c r="B1440" s="78"/>
      <c r="C1440" s="189"/>
      <c r="D1440" s="185"/>
      <c r="E1440" s="186"/>
      <c r="F1440" s="187"/>
    </row>
    <row r="1441" spans="1:6" x14ac:dyDescent="0.2">
      <c r="A1441" s="275"/>
      <c r="B1441" s="78"/>
      <c r="C1441" s="189"/>
      <c r="D1441" s="185"/>
      <c r="E1441" s="186"/>
      <c r="F1441" s="187"/>
    </row>
    <row r="1442" spans="1:6" x14ac:dyDescent="0.2">
      <c r="A1442" s="275"/>
      <c r="B1442" s="78"/>
      <c r="C1442" s="189"/>
      <c r="D1442" s="185"/>
      <c r="E1442" s="186"/>
      <c r="F1442" s="187"/>
    </row>
    <row r="1443" spans="1:6" x14ac:dyDescent="0.2">
      <c r="A1443" s="275"/>
      <c r="B1443" s="78"/>
      <c r="C1443" s="189"/>
      <c r="D1443" s="185"/>
      <c r="E1443" s="186"/>
      <c r="F1443" s="187"/>
    </row>
    <row r="1444" spans="1:6" x14ac:dyDescent="0.2">
      <c r="A1444" s="275"/>
      <c r="B1444" s="78"/>
      <c r="C1444" s="189"/>
      <c r="D1444" s="185"/>
      <c r="E1444" s="186"/>
      <c r="F1444" s="187"/>
    </row>
    <row r="1445" spans="1:6" x14ac:dyDescent="0.2">
      <c r="A1445" s="275"/>
      <c r="B1445" s="78"/>
      <c r="C1445" s="189"/>
      <c r="D1445" s="185"/>
      <c r="E1445" s="186"/>
      <c r="F1445" s="187"/>
    </row>
    <row r="1446" spans="1:6" x14ac:dyDescent="0.2">
      <c r="A1446" s="275"/>
      <c r="B1446" s="78"/>
      <c r="C1446" s="189"/>
      <c r="D1446" s="185"/>
      <c r="E1446" s="186"/>
      <c r="F1446" s="187"/>
    </row>
    <row r="1447" spans="1:6" x14ac:dyDescent="0.2">
      <c r="A1447" s="275"/>
      <c r="B1447" s="78"/>
      <c r="C1447" s="189"/>
      <c r="D1447" s="185"/>
      <c r="E1447" s="186"/>
      <c r="F1447" s="187"/>
    </row>
    <row r="1448" spans="1:6" x14ac:dyDescent="0.2">
      <c r="A1448" s="275"/>
      <c r="B1448" s="78"/>
      <c r="C1448" s="189"/>
      <c r="D1448" s="185"/>
      <c r="E1448" s="186"/>
      <c r="F1448" s="187"/>
    </row>
    <row r="1449" spans="1:6" x14ac:dyDescent="0.2">
      <c r="A1449" s="275"/>
      <c r="B1449" s="78"/>
      <c r="C1449" s="189"/>
      <c r="D1449" s="185"/>
      <c r="E1449" s="186"/>
      <c r="F1449" s="187"/>
    </row>
    <row r="1450" spans="1:6" x14ac:dyDescent="0.2">
      <c r="A1450" s="275"/>
      <c r="B1450" s="78"/>
      <c r="C1450" s="189"/>
      <c r="D1450" s="185"/>
      <c r="E1450" s="186"/>
      <c r="F1450" s="187"/>
    </row>
    <row r="1451" spans="1:6" x14ac:dyDescent="0.2">
      <c r="A1451" s="275"/>
      <c r="B1451" s="78"/>
      <c r="C1451" s="189"/>
      <c r="D1451" s="185"/>
      <c r="E1451" s="186"/>
      <c r="F1451" s="187"/>
    </row>
    <row r="1452" spans="1:6" x14ac:dyDescent="0.2">
      <c r="A1452" s="275"/>
      <c r="B1452" s="78"/>
      <c r="C1452" s="189"/>
      <c r="D1452" s="185"/>
      <c r="E1452" s="186"/>
      <c r="F1452" s="187"/>
    </row>
    <row r="1453" spans="1:6" x14ac:dyDescent="0.2">
      <c r="A1453" s="275"/>
      <c r="B1453" s="78"/>
      <c r="C1453" s="189"/>
      <c r="D1453" s="185"/>
      <c r="E1453" s="186"/>
      <c r="F1453" s="187"/>
    </row>
    <row r="1454" spans="1:6" x14ac:dyDescent="0.2">
      <c r="A1454" s="275"/>
      <c r="B1454" s="78"/>
      <c r="C1454" s="189"/>
      <c r="D1454" s="185"/>
      <c r="E1454" s="186"/>
      <c r="F1454" s="187"/>
    </row>
    <row r="1455" spans="1:6" x14ac:dyDescent="0.2">
      <c r="A1455" s="275"/>
      <c r="B1455" s="78"/>
      <c r="C1455" s="189"/>
      <c r="D1455" s="185"/>
      <c r="E1455" s="186"/>
      <c r="F1455" s="187"/>
    </row>
    <row r="1456" spans="1:6" x14ac:dyDescent="0.2">
      <c r="A1456" s="275"/>
      <c r="B1456" s="78"/>
      <c r="C1456" s="189"/>
      <c r="D1456" s="185"/>
      <c r="E1456" s="186"/>
      <c r="F1456" s="187"/>
    </row>
    <row r="1457" spans="1:6" x14ac:dyDescent="0.2">
      <c r="A1457" s="275"/>
      <c r="B1457" s="78"/>
      <c r="C1457" s="189"/>
      <c r="D1457" s="185"/>
      <c r="E1457" s="186"/>
      <c r="F1457" s="187"/>
    </row>
    <row r="1458" spans="1:6" x14ac:dyDescent="0.2">
      <c r="A1458" s="275"/>
      <c r="B1458" s="78"/>
      <c r="C1458" s="189"/>
      <c r="D1458" s="185"/>
      <c r="E1458" s="186"/>
      <c r="F1458" s="187"/>
    </row>
    <row r="1459" spans="1:6" x14ac:dyDescent="0.2">
      <c r="A1459" s="275"/>
      <c r="B1459" s="78"/>
      <c r="C1459" s="189"/>
      <c r="D1459" s="185"/>
      <c r="E1459" s="186"/>
      <c r="F1459" s="187"/>
    </row>
    <row r="1460" spans="1:6" x14ac:dyDescent="0.2">
      <c r="A1460" s="275"/>
      <c r="B1460" s="78"/>
      <c r="C1460" s="189"/>
      <c r="D1460" s="185"/>
      <c r="E1460" s="186"/>
      <c r="F1460" s="187"/>
    </row>
    <row r="1461" spans="1:6" x14ac:dyDescent="0.2">
      <c r="A1461" s="275"/>
      <c r="B1461" s="78"/>
      <c r="C1461" s="189"/>
      <c r="D1461" s="185"/>
      <c r="E1461" s="186"/>
      <c r="F1461" s="187"/>
    </row>
    <row r="1462" spans="1:6" x14ac:dyDescent="0.2">
      <c r="A1462" s="275"/>
      <c r="B1462" s="78"/>
      <c r="C1462" s="189"/>
      <c r="D1462" s="185"/>
      <c r="E1462" s="186"/>
      <c r="F1462" s="187"/>
    </row>
    <row r="1463" spans="1:6" x14ac:dyDescent="0.2">
      <c r="A1463" s="275"/>
      <c r="B1463" s="78"/>
      <c r="C1463" s="189"/>
      <c r="D1463" s="185"/>
      <c r="E1463" s="186"/>
      <c r="F1463" s="187"/>
    </row>
    <row r="1464" spans="1:6" x14ac:dyDescent="0.2">
      <c r="A1464" s="275"/>
      <c r="B1464" s="78"/>
      <c r="C1464" s="189"/>
      <c r="D1464" s="185"/>
      <c r="E1464" s="186"/>
      <c r="F1464" s="187"/>
    </row>
    <row r="1465" spans="1:6" x14ac:dyDescent="0.2">
      <c r="A1465" s="275"/>
      <c r="B1465" s="78"/>
      <c r="C1465" s="189"/>
      <c r="D1465" s="185"/>
      <c r="E1465" s="186"/>
      <c r="F1465" s="187"/>
    </row>
    <row r="1466" spans="1:6" x14ac:dyDescent="0.2">
      <c r="A1466" s="275"/>
      <c r="B1466" s="78"/>
      <c r="C1466" s="189"/>
      <c r="D1466" s="185"/>
      <c r="E1466" s="186"/>
      <c r="F1466" s="187"/>
    </row>
    <row r="1467" spans="1:6" x14ac:dyDescent="0.2">
      <c r="A1467" s="275"/>
      <c r="B1467" s="78"/>
      <c r="C1467" s="189"/>
      <c r="D1467" s="185"/>
      <c r="E1467" s="186"/>
      <c r="F1467" s="187"/>
    </row>
    <row r="1468" spans="1:6" x14ac:dyDescent="0.2">
      <c r="A1468" s="275"/>
      <c r="B1468" s="78"/>
      <c r="C1468" s="189"/>
      <c r="D1468" s="185"/>
      <c r="E1468" s="186"/>
      <c r="F1468" s="187"/>
    </row>
    <row r="1469" spans="1:6" x14ac:dyDescent="0.2">
      <c r="A1469" s="275"/>
      <c r="B1469" s="78"/>
      <c r="C1469" s="189"/>
      <c r="D1469" s="185"/>
      <c r="E1469" s="186"/>
      <c r="F1469" s="187"/>
    </row>
    <row r="1470" spans="1:6" x14ac:dyDescent="0.2">
      <c r="A1470" s="275"/>
      <c r="B1470" s="78"/>
      <c r="C1470" s="189"/>
      <c r="D1470" s="185"/>
      <c r="E1470" s="186"/>
      <c r="F1470" s="187"/>
    </row>
    <row r="1471" spans="1:6" x14ac:dyDescent="0.2">
      <c r="A1471" s="275"/>
      <c r="B1471" s="78"/>
      <c r="C1471" s="189"/>
      <c r="D1471" s="185"/>
      <c r="E1471" s="186"/>
      <c r="F1471" s="187"/>
    </row>
    <row r="1472" spans="1:6" x14ac:dyDescent="0.2">
      <c r="A1472" s="275"/>
      <c r="B1472" s="78"/>
      <c r="C1472" s="189"/>
      <c r="D1472" s="185"/>
      <c r="E1472" s="186"/>
      <c r="F1472" s="187"/>
    </row>
    <row r="1473" spans="1:6" x14ac:dyDescent="0.2">
      <c r="A1473" s="275"/>
      <c r="B1473" s="78"/>
      <c r="C1473" s="189"/>
      <c r="D1473" s="185"/>
      <c r="E1473" s="186"/>
      <c r="F1473" s="187"/>
    </row>
    <row r="1474" spans="1:6" x14ac:dyDescent="0.2">
      <c r="A1474" s="275"/>
      <c r="B1474" s="78"/>
      <c r="C1474" s="189"/>
      <c r="D1474" s="185"/>
      <c r="E1474" s="186"/>
      <c r="F1474" s="187"/>
    </row>
    <row r="1475" spans="1:6" x14ac:dyDescent="0.2">
      <c r="A1475" s="275"/>
      <c r="B1475" s="78"/>
      <c r="C1475" s="189"/>
      <c r="D1475" s="185"/>
      <c r="E1475" s="186"/>
      <c r="F1475" s="187"/>
    </row>
    <row r="1476" spans="1:6" x14ac:dyDescent="0.2">
      <c r="A1476" s="275"/>
      <c r="B1476" s="78"/>
      <c r="C1476" s="189"/>
      <c r="D1476" s="185"/>
      <c r="E1476" s="186"/>
      <c r="F1476" s="187"/>
    </row>
    <row r="1477" spans="1:6" x14ac:dyDescent="0.2">
      <c r="A1477" s="275"/>
      <c r="B1477" s="78"/>
      <c r="C1477" s="189"/>
      <c r="D1477" s="185"/>
      <c r="E1477" s="186"/>
      <c r="F1477" s="187"/>
    </row>
    <row r="1478" spans="1:6" x14ac:dyDescent="0.2">
      <c r="A1478" s="275"/>
      <c r="B1478" s="78"/>
      <c r="C1478" s="189"/>
      <c r="D1478" s="185"/>
      <c r="E1478" s="186"/>
      <c r="F1478" s="187"/>
    </row>
    <row r="1479" spans="1:6" x14ac:dyDescent="0.2">
      <c r="A1479" s="275"/>
      <c r="B1479" s="78"/>
      <c r="C1479" s="189"/>
      <c r="D1479" s="185"/>
      <c r="E1479" s="186"/>
      <c r="F1479" s="187"/>
    </row>
    <row r="1480" spans="1:6" x14ac:dyDescent="0.2">
      <c r="A1480" s="275"/>
      <c r="B1480" s="78"/>
      <c r="C1480" s="189"/>
      <c r="D1480" s="185"/>
      <c r="E1480" s="186"/>
      <c r="F1480" s="187"/>
    </row>
    <row r="1481" spans="1:6" x14ac:dyDescent="0.2">
      <c r="A1481" s="275"/>
      <c r="B1481" s="78"/>
      <c r="C1481" s="189"/>
      <c r="D1481" s="185"/>
      <c r="E1481" s="186"/>
      <c r="F1481" s="187"/>
    </row>
    <row r="1482" spans="1:6" x14ac:dyDescent="0.2">
      <c r="A1482" s="275"/>
      <c r="B1482" s="78"/>
      <c r="C1482" s="189"/>
      <c r="D1482" s="185"/>
      <c r="E1482" s="186"/>
      <c r="F1482" s="187"/>
    </row>
    <row r="1483" spans="1:6" x14ac:dyDescent="0.2">
      <c r="A1483" s="275"/>
      <c r="B1483" s="78"/>
      <c r="C1483" s="189"/>
      <c r="D1483" s="185"/>
      <c r="E1483" s="186"/>
      <c r="F1483" s="187"/>
    </row>
    <row r="1484" spans="1:6" x14ac:dyDescent="0.2">
      <c r="A1484" s="275"/>
      <c r="B1484" s="78"/>
      <c r="C1484" s="189"/>
      <c r="D1484" s="185"/>
      <c r="E1484" s="186"/>
      <c r="F1484" s="187"/>
    </row>
    <row r="1485" spans="1:6" x14ac:dyDescent="0.2">
      <c r="A1485" s="275"/>
      <c r="B1485" s="78"/>
      <c r="C1485" s="189"/>
      <c r="D1485" s="185"/>
      <c r="E1485" s="186"/>
      <c r="F1485" s="187"/>
    </row>
    <row r="1486" spans="1:6" x14ac:dyDescent="0.2">
      <c r="A1486" s="275"/>
      <c r="B1486" s="78"/>
      <c r="C1486" s="189"/>
      <c r="D1486" s="185"/>
      <c r="E1486" s="186"/>
      <c r="F1486" s="187"/>
    </row>
    <row r="1487" spans="1:6" x14ac:dyDescent="0.2">
      <c r="A1487" s="275"/>
      <c r="B1487" s="78"/>
      <c r="C1487" s="189"/>
      <c r="D1487" s="185"/>
      <c r="E1487" s="186"/>
      <c r="F1487" s="187"/>
    </row>
    <row r="1488" spans="1:6" x14ac:dyDescent="0.2">
      <c r="A1488" s="275"/>
      <c r="B1488" s="78"/>
      <c r="C1488" s="189"/>
      <c r="D1488" s="185"/>
      <c r="E1488" s="186"/>
      <c r="F1488" s="187"/>
    </row>
    <row r="1489" spans="1:6" x14ac:dyDescent="0.2">
      <c r="A1489" s="275"/>
      <c r="B1489" s="78"/>
      <c r="C1489" s="189"/>
      <c r="D1489" s="185"/>
      <c r="E1489" s="186"/>
      <c r="F1489" s="187"/>
    </row>
    <row r="1490" spans="1:6" x14ac:dyDescent="0.2">
      <c r="A1490" s="275"/>
      <c r="B1490" s="78"/>
      <c r="C1490" s="189"/>
      <c r="D1490" s="185"/>
      <c r="E1490" s="186"/>
      <c r="F1490" s="187"/>
    </row>
    <row r="1491" spans="1:6" x14ac:dyDescent="0.2">
      <c r="A1491" s="275"/>
      <c r="B1491" s="78"/>
      <c r="C1491" s="189"/>
      <c r="D1491" s="185"/>
      <c r="E1491" s="186"/>
      <c r="F1491" s="187"/>
    </row>
    <row r="1492" spans="1:6" x14ac:dyDescent="0.2">
      <c r="A1492" s="275"/>
      <c r="B1492" s="78"/>
      <c r="C1492" s="189"/>
      <c r="D1492" s="185"/>
      <c r="E1492" s="186"/>
      <c r="F1492" s="187"/>
    </row>
    <row r="1493" spans="1:6" x14ac:dyDescent="0.2">
      <c r="A1493" s="275"/>
      <c r="B1493" s="78"/>
      <c r="C1493" s="189"/>
      <c r="D1493" s="185"/>
      <c r="E1493" s="186"/>
      <c r="F1493" s="187"/>
    </row>
    <row r="1494" spans="1:6" x14ac:dyDescent="0.2">
      <c r="A1494" s="275"/>
      <c r="B1494" s="78"/>
      <c r="C1494" s="189"/>
      <c r="D1494" s="185"/>
      <c r="E1494" s="186"/>
      <c r="F1494" s="187"/>
    </row>
    <row r="1495" spans="1:6" x14ac:dyDescent="0.2">
      <c r="A1495" s="275"/>
      <c r="B1495" s="78"/>
      <c r="C1495" s="189"/>
      <c r="D1495" s="185"/>
      <c r="E1495" s="186"/>
      <c r="F1495" s="187"/>
    </row>
    <row r="1496" spans="1:6" x14ac:dyDescent="0.2">
      <c r="A1496" s="275"/>
      <c r="B1496" s="78"/>
      <c r="C1496" s="189"/>
      <c r="D1496" s="185"/>
      <c r="E1496" s="186"/>
      <c r="F1496" s="187"/>
    </row>
    <row r="1497" spans="1:6" x14ac:dyDescent="0.2">
      <c r="A1497" s="275"/>
      <c r="B1497" s="78"/>
      <c r="C1497" s="189"/>
      <c r="D1497" s="185"/>
      <c r="E1497" s="186"/>
      <c r="F1497" s="187"/>
    </row>
    <row r="1498" spans="1:6" x14ac:dyDescent="0.2">
      <c r="A1498" s="275"/>
      <c r="B1498" s="78"/>
      <c r="C1498" s="189"/>
      <c r="D1498" s="185"/>
      <c r="E1498" s="186"/>
      <c r="F1498" s="187"/>
    </row>
    <row r="1499" spans="1:6" x14ac:dyDescent="0.2">
      <c r="A1499" s="275"/>
      <c r="B1499" s="78"/>
      <c r="C1499" s="189"/>
      <c r="D1499" s="185"/>
      <c r="E1499" s="186"/>
      <c r="F1499" s="187"/>
    </row>
    <row r="1500" spans="1:6" x14ac:dyDescent="0.2">
      <c r="A1500" s="275"/>
      <c r="B1500" s="78"/>
      <c r="C1500" s="189"/>
      <c r="D1500" s="185"/>
      <c r="E1500" s="186"/>
      <c r="F1500" s="187"/>
    </row>
    <row r="1501" spans="1:6" x14ac:dyDescent="0.2">
      <c r="A1501" s="275"/>
      <c r="B1501" s="78"/>
      <c r="C1501" s="189"/>
      <c r="D1501" s="185"/>
      <c r="E1501" s="186"/>
      <c r="F1501" s="187"/>
    </row>
    <row r="1502" spans="1:6" x14ac:dyDescent="0.2">
      <c r="A1502" s="275"/>
      <c r="B1502" s="78"/>
      <c r="C1502" s="189"/>
      <c r="D1502" s="185"/>
      <c r="E1502" s="186"/>
      <c r="F1502" s="187"/>
    </row>
    <row r="1503" spans="1:6" x14ac:dyDescent="0.2">
      <c r="A1503" s="275"/>
      <c r="B1503" s="78"/>
      <c r="C1503" s="189"/>
      <c r="D1503" s="185"/>
      <c r="E1503" s="186"/>
      <c r="F1503" s="187"/>
    </row>
    <row r="1504" spans="1:6" x14ac:dyDescent="0.2">
      <c r="A1504" s="275"/>
      <c r="B1504" s="78"/>
      <c r="C1504" s="189"/>
      <c r="D1504" s="185"/>
      <c r="E1504" s="186"/>
      <c r="F1504" s="187"/>
    </row>
    <row r="1505" spans="1:6" x14ac:dyDescent="0.2">
      <c r="A1505" s="275"/>
      <c r="B1505" s="78"/>
      <c r="C1505" s="189"/>
      <c r="D1505" s="185"/>
      <c r="E1505" s="186"/>
      <c r="F1505" s="187"/>
    </row>
    <row r="1506" spans="1:6" x14ac:dyDescent="0.2">
      <c r="A1506" s="275"/>
      <c r="B1506" s="78"/>
      <c r="C1506" s="189"/>
      <c r="D1506" s="185"/>
      <c r="E1506" s="186"/>
      <c r="F1506" s="187"/>
    </row>
    <row r="1507" spans="1:6" x14ac:dyDescent="0.2">
      <c r="A1507" s="275"/>
      <c r="B1507" s="78"/>
      <c r="C1507" s="189"/>
      <c r="D1507" s="185"/>
      <c r="E1507" s="186"/>
      <c r="F1507" s="187"/>
    </row>
    <row r="1508" spans="1:6" x14ac:dyDescent="0.2">
      <c r="A1508" s="275"/>
      <c r="B1508" s="78"/>
      <c r="C1508" s="189"/>
      <c r="D1508" s="185"/>
      <c r="E1508" s="186"/>
      <c r="F1508" s="187"/>
    </row>
    <row r="1509" spans="1:6" x14ac:dyDescent="0.2">
      <c r="A1509" s="275"/>
      <c r="B1509" s="78"/>
      <c r="C1509" s="189"/>
      <c r="D1509" s="185"/>
      <c r="E1509" s="186"/>
      <c r="F1509" s="187"/>
    </row>
    <row r="1510" spans="1:6" x14ac:dyDescent="0.2">
      <c r="A1510" s="275"/>
      <c r="B1510" s="78"/>
      <c r="C1510" s="189"/>
      <c r="D1510" s="185"/>
      <c r="E1510" s="186"/>
      <c r="F1510" s="187"/>
    </row>
    <row r="1511" spans="1:6" x14ac:dyDescent="0.2">
      <c r="A1511" s="275"/>
      <c r="B1511" s="78"/>
      <c r="C1511" s="189"/>
      <c r="D1511" s="185"/>
      <c r="E1511" s="186"/>
      <c r="F1511" s="187"/>
    </row>
    <row r="1512" spans="1:6" x14ac:dyDescent="0.2">
      <c r="A1512" s="275"/>
      <c r="B1512" s="78"/>
      <c r="C1512" s="189"/>
      <c r="D1512" s="185"/>
      <c r="E1512" s="186"/>
      <c r="F1512" s="187"/>
    </row>
    <row r="1513" spans="1:6" x14ac:dyDescent="0.2">
      <c r="A1513" s="275"/>
      <c r="B1513" s="78"/>
      <c r="C1513" s="189"/>
      <c r="D1513" s="185"/>
      <c r="E1513" s="186"/>
      <c r="F1513" s="187"/>
    </row>
    <row r="1514" spans="1:6" x14ac:dyDescent="0.2">
      <c r="A1514" s="275"/>
      <c r="B1514" s="78"/>
      <c r="C1514" s="189"/>
      <c r="D1514" s="185"/>
      <c r="E1514" s="186"/>
      <c r="F1514" s="187"/>
    </row>
    <row r="1515" spans="1:6" x14ac:dyDescent="0.2">
      <c r="A1515" s="275"/>
      <c r="B1515" s="78"/>
      <c r="C1515" s="189"/>
      <c r="D1515" s="185"/>
      <c r="E1515" s="186"/>
      <c r="F1515" s="187"/>
    </row>
    <row r="1516" spans="1:6" x14ac:dyDescent="0.2">
      <c r="A1516" s="275"/>
      <c r="B1516" s="78"/>
      <c r="C1516" s="189"/>
      <c r="D1516" s="185"/>
      <c r="E1516" s="186"/>
      <c r="F1516" s="187"/>
    </row>
    <row r="1517" spans="1:6" x14ac:dyDescent="0.2">
      <c r="A1517" s="275"/>
      <c r="B1517" s="78"/>
      <c r="C1517" s="189"/>
      <c r="D1517" s="185"/>
      <c r="E1517" s="186"/>
      <c r="F1517" s="187"/>
    </row>
    <row r="1518" spans="1:6" x14ac:dyDescent="0.2">
      <c r="A1518" s="275"/>
      <c r="B1518" s="78"/>
      <c r="C1518" s="189"/>
      <c r="D1518" s="185"/>
      <c r="E1518" s="186"/>
      <c r="F1518" s="187"/>
    </row>
    <row r="1519" spans="1:6" x14ac:dyDescent="0.2">
      <c r="A1519" s="275"/>
      <c r="B1519" s="78"/>
      <c r="C1519" s="189"/>
      <c r="D1519" s="185"/>
      <c r="E1519" s="186"/>
      <c r="F1519" s="187"/>
    </row>
    <row r="1520" spans="1:6" x14ac:dyDescent="0.2">
      <c r="A1520" s="275"/>
      <c r="B1520" s="78"/>
      <c r="C1520" s="189"/>
      <c r="D1520" s="185"/>
      <c r="E1520" s="186"/>
      <c r="F1520" s="187"/>
    </row>
    <row r="1521" spans="1:6" x14ac:dyDescent="0.2">
      <c r="A1521" s="275"/>
      <c r="B1521" s="78"/>
      <c r="C1521" s="189"/>
      <c r="D1521" s="185"/>
      <c r="E1521" s="186"/>
      <c r="F1521" s="187"/>
    </row>
    <row r="1522" spans="1:6" x14ac:dyDescent="0.2">
      <c r="A1522" s="275"/>
      <c r="B1522" s="78"/>
      <c r="C1522" s="189"/>
      <c r="D1522" s="185"/>
      <c r="E1522" s="186"/>
      <c r="F1522" s="187"/>
    </row>
    <row r="1523" spans="1:6" x14ac:dyDescent="0.2">
      <c r="A1523" s="275"/>
      <c r="B1523" s="78"/>
      <c r="C1523" s="189"/>
      <c r="D1523" s="185"/>
      <c r="E1523" s="186"/>
      <c r="F1523" s="187"/>
    </row>
    <row r="1524" spans="1:6" x14ac:dyDescent="0.2">
      <c r="A1524" s="275"/>
      <c r="B1524" s="78"/>
      <c r="C1524" s="189"/>
      <c r="D1524" s="185"/>
      <c r="E1524" s="186"/>
      <c r="F1524" s="187"/>
    </row>
    <row r="1525" spans="1:6" x14ac:dyDescent="0.2">
      <c r="A1525" s="275"/>
      <c r="B1525" s="78"/>
      <c r="C1525" s="189"/>
      <c r="D1525" s="185"/>
      <c r="E1525" s="186"/>
      <c r="F1525" s="187"/>
    </row>
    <row r="1526" spans="1:6" x14ac:dyDescent="0.2">
      <c r="A1526" s="275"/>
      <c r="B1526" s="78"/>
      <c r="C1526" s="189"/>
      <c r="D1526" s="185"/>
      <c r="E1526" s="186"/>
      <c r="F1526" s="187"/>
    </row>
    <row r="1527" spans="1:6" x14ac:dyDescent="0.2">
      <c r="A1527" s="275"/>
      <c r="B1527" s="78"/>
      <c r="C1527" s="189"/>
      <c r="D1527" s="185"/>
      <c r="E1527" s="186"/>
      <c r="F1527" s="187"/>
    </row>
    <row r="1528" spans="1:6" x14ac:dyDescent="0.2">
      <c r="A1528" s="275"/>
      <c r="B1528" s="78"/>
      <c r="C1528" s="189"/>
      <c r="D1528" s="185"/>
      <c r="E1528" s="186"/>
      <c r="F1528" s="187"/>
    </row>
    <row r="1529" spans="1:6" x14ac:dyDescent="0.2">
      <c r="A1529" s="275"/>
      <c r="B1529" s="78"/>
      <c r="C1529" s="189"/>
      <c r="D1529" s="185"/>
      <c r="E1529" s="186"/>
      <c r="F1529" s="187"/>
    </row>
    <row r="1530" spans="1:6" x14ac:dyDescent="0.2">
      <c r="A1530" s="275"/>
      <c r="B1530" s="78"/>
      <c r="C1530" s="189"/>
      <c r="D1530" s="185"/>
      <c r="E1530" s="186"/>
      <c r="F1530" s="187"/>
    </row>
    <row r="1531" spans="1:6" x14ac:dyDescent="0.2">
      <c r="A1531" s="275"/>
      <c r="B1531" s="78"/>
      <c r="C1531" s="189"/>
      <c r="D1531" s="185"/>
      <c r="E1531" s="186"/>
      <c r="F1531" s="187"/>
    </row>
    <row r="1532" spans="1:6" x14ac:dyDescent="0.2">
      <c r="A1532" s="275"/>
      <c r="B1532" s="78"/>
      <c r="C1532" s="189"/>
      <c r="D1532" s="185"/>
      <c r="E1532" s="186"/>
      <c r="F1532" s="187"/>
    </row>
    <row r="1533" spans="1:6" x14ac:dyDescent="0.2">
      <c r="A1533" s="275"/>
      <c r="B1533" s="78"/>
      <c r="C1533" s="189"/>
      <c r="D1533" s="185"/>
      <c r="E1533" s="186"/>
      <c r="F1533" s="187"/>
    </row>
    <row r="1534" spans="1:6" x14ac:dyDescent="0.2">
      <c r="A1534" s="275"/>
      <c r="B1534" s="78"/>
      <c r="C1534" s="189"/>
      <c r="D1534" s="185"/>
      <c r="E1534" s="186"/>
      <c r="F1534" s="187"/>
    </row>
    <row r="1535" spans="1:6" x14ac:dyDescent="0.2">
      <c r="A1535" s="275"/>
      <c r="B1535" s="78"/>
      <c r="C1535" s="189"/>
      <c r="D1535" s="185"/>
      <c r="E1535" s="186"/>
      <c r="F1535" s="187"/>
    </row>
    <row r="1536" spans="1:6" x14ac:dyDescent="0.2">
      <c r="A1536" s="275"/>
      <c r="B1536" s="78"/>
      <c r="C1536" s="189"/>
      <c r="D1536" s="185"/>
      <c r="E1536" s="186"/>
      <c r="F1536" s="187"/>
    </row>
    <row r="1537" spans="1:6" x14ac:dyDescent="0.2">
      <c r="A1537" s="275"/>
      <c r="B1537" s="78"/>
      <c r="C1537" s="189"/>
      <c r="D1537" s="185"/>
      <c r="E1537" s="186"/>
      <c r="F1537" s="187"/>
    </row>
    <row r="1538" spans="1:6" x14ac:dyDescent="0.2">
      <c r="A1538" s="275"/>
      <c r="B1538" s="78"/>
      <c r="C1538" s="189"/>
      <c r="D1538" s="185"/>
      <c r="E1538" s="186"/>
      <c r="F1538" s="187"/>
    </row>
    <row r="1539" spans="1:6" x14ac:dyDescent="0.2">
      <c r="A1539" s="275"/>
      <c r="B1539" s="78"/>
      <c r="C1539" s="189"/>
      <c r="D1539" s="185"/>
      <c r="E1539" s="186"/>
      <c r="F1539" s="187"/>
    </row>
    <row r="1540" spans="1:6" x14ac:dyDescent="0.2">
      <c r="A1540" s="275"/>
      <c r="B1540" s="78"/>
      <c r="C1540" s="189"/>
      <c r="D1540" s="185"/>
      <c r="E1540" s="186"/>
      <c r="F1540" s="187"/>
    </row>
    <row r="1541" spans="1:6" x14ac:dyDescent="0.2">
      <c r="A1541" s="275"/>
      <c r="B1541" s="78"/>
      <c r="C1541" s="189"/>
      <c r="D1541" s="185"/>
      <c r="E1541" s="186"/>
      <c r="F1541" s="187"/>
    </row>
    <row r="1542" spans="1:6" x14ac:dyDescent="0.2">
      <c r="A1542" s="275"/>
      <c r="B1542" s="78"/>
      <c r="C1542" s="189"/>
      <c r="D1542" s="185"/>
      <c r="E1542" s="186"/>
      <c r="F1542" s="187"/>
    </row>
    <row r="1543" spans="1:6" x14ac:dyDescent="0.2">
      <c r="A1543" s="275"/>
      <c r="B1543" s="78"/>
      <c r="C1543" s="189"/>
      <c r="D1543" s="185"/>
      <c r="E1543" s="186"/>
      <c r="F1543" s="187"/>
    </row>
    <row r="1544" spans="1:6" x14ac:dyDescent="0.2">
      <c r="A1544" s="275"/>
      <c r="B1544" s="78"/>
      <c r="C1544" s="189"/>
      <c r="D1544" s="185"/>
      <c r="E1544" s="186"/>
      <c r="F1544" s="187"/>
    </row>
    <row r="1545" spans="1:6" x14ac:dyDescent="0.2">
      <c r="A1545" s="275"/>
      <c r="B1545" s="78"/>
      <c r="C1545" s="189"/>
      <c r="D1545" s="185"/>
      <c r="E1545" s="186"/>
      <c r="F1545" s="187"/>
    </row>
    <row r="1546" spans="1:6" x14ac:dyDescent="0.2">
      <c r="A1546" s="275"/>
      <c r="B1546" s="78"/>
      <c r="C1546" s="189"/>
      <c r="D1546" s="185"/>
      <c r="E1546" s="186"/>
      <c r="F1546" s="187"/>
    </row>
    <row r="1547" spans="1:6" x14ac:dyDescent="0.2">
      <c r="A1547" s="275"/>
      <c r="B1547" s="78"/>
      <c r="C1547" s="189"/>
      <c r="D1547" s="185"/>
      <c r="E1547" s="186"/>
      <c r="F1547" s="187"/>
    </row>
    <row r="1548" spans="1:6" x14ac:dyDescent="0.2">
      <c r="A1548" s="275"/>
      <c r="B1548" s="78"/>
      <c r="C1548" s="189"/>
      <c r="D1548" s="185"/>
      <c r="E1548" s="186"/>
      <c r="F1548" s="187"/>
    </row>
    <row r="1549" spans="1:6" x14ac:dyDescent="0.2">
      <c r="A1549" s="275"/>
      <c r="B1549" s="78"/>
      <c r="C1549" s="189"/>
      <c r="D1549" s="185"/>
      <c r="E1549" s="186"/>
      <c r="F1549" s="187"/>
    </row>
    <row r="1550" spans="1:6" x14ac:dyDescent="0.2">
      <c r="A1550" s="275"/>
      <c r="B1550" s="78"/>
      <c r="C1550" s="189"/>
      <c r="D1550" s="185"/>
      <c r="E1550" s="186"/>
      <c r="F1550" s="187"/>
    </row>
    <row r="1551" spans="1:6" x14ac:dyDescent="0.2">
      <c r="A1551" s="275"/>
      <c r="B1551" s="78"/>
      <c r="C1551" s="189"/>
      <c r="D1551" s="185"/>
      <c r="E1551" s="186"/>
      <c r="F1551" s="187"/>
    </row>
    <row r="1552" spans="1:6" x14ac:dyDescent="0.2">
      <c r="A1552" s="275"/>
      <c r="B1552" s="78"/>
      <c r="C1552" s="189"/>
      <c r="D1552" s="185"/>
      <c r="E1552" s="186"/>
      <c r="F1552" s="187"/>
    </row>
    <row r="1553" spans="1:6" x14ac:dyDescent="0.2">
      <c r="A1553" s="275"/>
      <c r="B1553" s="78"/>
      <c r="C1553" s="189"/>
      <c r="D1553" s="185"/>
      <c r="E1553" s="186"/>
      <c r="F1553" s="187"/>
    </row>
    <row r="1554" spans="1:6" x14ac:dyDescent="0.2">
      <c r="A1554" s="275"/>
      <c r="B1554" s="78"/>
      <c r="C1554" s="189"/>
      <c r="D1554" s="185"/>
      <c r="E1554" s="186"/>
      <c r="F1554" s="187"/>
    </row>
    <row r="1555" spans="1:6" x14ac:dyDescent="0.2">
      <c r="A1555" s="275"/>
      <c r="B1555" s="78"/>
      <c r="C1555" s="189"/>
      <c r="D1555" s="185"/>
      <c r="E1555" s="186"/>
      <c r="F1555" s="187"/>
    </row>
    <row r="1556" spans="1:6" x14ac:dyDescent="0.2">
      <c r="A1556" s="275"/>
      <c r="B1556" s="78"/>
      <c r="C1556" s="189"/>
      <c r="D1556" s="185"/>
      <c r="E1556" s="186"/>
      <c r="F1556" s="187"/>
    </row>
    <row r="1557" spans="1:6" x14ac:dyDescent="0.2">
      <c r="A1557" s="275"/>
      <c r="B1557" s="78"/>
      <c r="C1557" s="189"/>
      <c r="D1557" s="185"/>
      <c r="E1557" s="186"/>
      <c r="F1557" s="187"/>
    </row>
    <row r="1558" spans="1:6" x14ac:dyDescent="0.2">
      <c r="A1558" s="275"/>
      <c r="B1558" s="78"/>
      <c r="C1558" s="189"/>
      <c r="D1558" s="185"/>
      <c r="E1558" s="186"/>
      <c r="F1558" s="187"/>
    </row>
    <row r="1559" spans="1:6" x14ac:dyDescent="0.2">
      <c r="A1559" s="275"/>
      <c r="B1559" s="78"/>
      <c r="C1559" s="189"/>
      <c r="D1559" s="185"/>
      <c r="E1559" s="186"/>
      <c r="F1559" s="187"/>
    </row>
    <row r="1560" spans="1:6" x14ac:dyDescent="0.2">
      <c r="A1560" s="275"/>
      <c r="B1560" s="78"/>
      <c r="C1560" s="189"/>
      <c r="D1560" s="185"/>
      <c r="E1560" s="186"/>
      <c r="F1560" s="187"/>
    </row>
    <row r="1561" spans="1:6" x14ac:dyDescent="0.2">
      <c r="A1561" s="275"/>
      <c r="B1561" s="78"/>
      <c r="C1561" s="189"/>
      <c r="D1561" s="185"/>
      <c r="E1561" s="186"/>
      <c r="F1561" s="187"/>
    </row>
    <row r="1562" spans="1:6" x14ac:dyDescent="0.2">
      <c r="A1562" s="275"/>
      <c r="B1562" s="78"/>
      <c r="C1562" s="189"/>
      <c r="D1562" s="185"/>
      <c r="E1562" s="186"/>
      <c r="F1562" s="187"/>
    </row>
    <row r="1563" spans="1:6" x14ac:dyDescent="0.2">
      <c r="A1563" s="275"/>
      <c r="B1563" s="78"/>
      <c r="C1563" s="189"/>
      <c r="D1563" s="185"/>
      <c r="E1563" s="186"/>
      <c r="F1563" s="187"/>
    </row>
    <row r="1564" spans="1:6" x14ac:dyDescent="0.2">
      <c r="A1564" s="275"/>
      <c r="B1564" s="78"/>
      <c r="C1564" s="189"/>
      <c r="D1564" s="185"/>
      <c r="E1564" s="186"/>
      <c r="F1564" s="187"/>
    </row>
    <row r="1565" spans="1:6" x14ac:dyDescent="0.2">
      <c r="A1565" s="275"/>
      <c r="B1565" s="78"/>
      <c r="C1565" s="189"/>
      <c r="D1565" s="185"/>
      <c r="E1565" s="186"/>
      <c r="F1565" s="187"/>
    </row>
    <row r="1566" spans="1:6" x14ac:dyDescent="0.2">
      <c r="A1566" s="275"/>
      <c r="B1566" s="78"/>
      <c r="C1566" s="189"/>
      <c r="D1566" s="185"/>
      <c r="E1566" s="186"/>
      <c r="F1566" s="187"/>
    </row>
    <row r="1567" spans="1:6" x14ac:dyDescent="0.2">
      <c r="A1567" s="275"/>
      <c r="B1567" s="78"/>
      <c r="C1567" s="189"/>
      <c r="D1567" s="185"/>
      <c r="E1567" s="186"/>
      <c r="F1567" s="187"/>
    </row>
    <row r="1568" spans="1:6" x14ac:dyDescent="0.2">
      <c r="A1568" s="275"/>
      <c r="B1568" s="78"/>
      <c r="C1568" s="189"/>
      <c r="D1568" s="185"/>
      <c r="E1568" s="186"/>
      <c r="F1568" s="187"/>
    </row>
    <row r="1569" spans="1:6" x14ac:dyDescent="0.2">
      <c r="A1569" s="275"/>
      <c r="B1569" s="78"/>
      <c r="C1569" s="189"/>
      <c r="D1569" s="185"/>
      <c r="E1569" s="186"/>
      <c r="F1569" s="187"/>
    </row>
    <row r="1570" spans="1:6" x14ac:dyDescent="0.2">
      <c r="A1570" s="275"/>
      <c r="B1570" s="78"/>
      <c r="C1570" s="189"/>
      <c r="D1570" s="185"/>
      <c r="E1570" s="186"/>
      <c r="F1570" s="187"/>
    </row>
    <row r="1571" spans="1:6" x14ac:dyDescent="0.2">
      <c r="A1571" s="275"/>
      <c r="B1571" s="78"/>
      <c r="C1571" s="189"/>
      <c r="D1571" s="185"/>
      <c r="E1571" s="186"/>
      <c r="F1571" s="187"/>
    </row>
    <row r="1572" spans="1:6" x14ac:dyDescent="0.2">
      <c r="A1572" s="275"/>
      <c r="B1572" s="78"/>
      <c r="C1572" s="189"/>
      <c r="D1572" s="185"/>
      <c r="E1572" s="186"/>
      <c r="F1572" s="187"/>
    </row>
    <row r="1573" spans="1:6" x14ac:dyDescent="0.2">
      <c r="A1573" s="275"/>
      <c r="B1573" s="78"/>
      <c r="C1573" s="189"/>
      <c r="D1573" s="185"/>
      <c r="E1573" s="186"/>
      <c r="F1573" s="187"/>
    </row>
    <row r="1574" spans="1:6" x14ac:dyDescent="0.2">
      <c r="A1574" s="275"/>
      <c r="B1574" s="78"/>
      <c r="C1574" s="189"/>
      <c r="D1574" s="185"/>
      <c r="E1574" s="186"/>
      <c r="F1574" s="187"/>
    </row>
    <row r="1575" spans="1:6" x14ac:dyDescent="0.2">
      <c r="A1575" s="275"/>
      <c r="B1575" s="78"/>
      <c r="C1575" s="189"/>
      <c r="D1575" s="185"/>
      <c r="E1575" s="186"/>
      <c r="F1575" s="187"/>
    </row>
    <row r="1576" spans="1:6" x14ac:dyDescent="0.2">
      <c r="A1576" s="275"/>
      <c r="B1576" s="78"/>
      <c r="C1576" s="189"/>
      <c r="D1576" s="185"/>
      <c r="E1576" s="186"/>
      <c r="F1576" s="187"/>
    </row>
    <row r="1577" spans="1:6" x14ac:dyDescent="0.2">
      <c r="A1577" s="275"/>
      <c r="B1577" s="78"/>
      <c r="C1577" s="189"/>
      <c r="D1577" s="185"/>
      <c r="E1577" s="186"/>
      <c r="F1577" s="187"/>
    </row>
    <row r="1578" spans="1:6" x14ac:dyDescent="0.2">
      <c r="A1578" s="275"/>
      <c r="B1578" s="78"/>
      <c r="C1578" s="189"/>
      <c r="D1578" s="185"/>
      <c r="E1578" s="186"/>
      <c r="F1578" s="187"/>
    </row>
    <row r="1579" spans="1:6" x14ac:dyDescent="0.2">
      <c r="A1579" s="275"/>
      <c r="B1579" s="78"/>
      <c r="C1579" s="189"/>
      <c r="D1579" s="185"/>
      <c r="E1579" s="186"/>
      <c r="F1579" s="187"/>
    </row>
    <row r="1580" spans="1:6" x14ac:dyDescent="0.2">
      <c r="A1580" s="275"/>
      <c r="B1580" s="78"/>
      <c r="C1580" s="189"/>
      <c r="D1580" s="185"/>
      <c r="E1580" s="186"/>
      <c r="F1580" s="187"/>
    </row>
    <row r="1581" spans="1:6" x14ac:dyDescent="0.2">
      <c r="A1581" s="275"/>
      <c r="B1581" s="78"/>
      <c r="C1581" s="189"/>
      <c r="D1581" s="185"/>
      <c r="E1581" s="186"/>
      <c r="F1581" s="187"/>
    </row>
    <row r="1582" spans="1:6" x14ac:dyDescent="0.2">
      <c r="A1582" s="275"/>
      <c r="B1582" s="78"/>
      <c r="C1582" s="189"/>
      <c r="D1582" s="185"/>
      <c r="E1582" s="186"/>
      <c r="F1582" s="187"/>
    </row>
    <row r="1583" spans="1:6" x14ac:dyDescent="0.2">
      <c r="A1583" s="275"/>
      <c r="B1583" s="78"/>
      <c r="C1583" s="189"/>
      <c r="D1583" s="185"/>
      <c r="E1583" s="186"/>
      <c r="F1583" s="187"/>
    </row>
    <row r="1584" spans="1:6" x14ac:dyDescent="0.2">
      <c r="A1584" s="275"/>
      <c r="B1584" s="78"/>
      <c r="C1584" s="189"/>
      <c r="D1584" s="185"/>
      <c r="E1584" s="186"/>
      <c r="F1584" s="187"/>
    </row>
    <row r="1585" spans="1:6" x14ac:dyDescent="0.2">
      <c r="A1585" s="275"/>
      <c r="B1585" s="78"/>
      <c r="C1585" s="189"/>
      <c r="D1585" s="185"/>
      <c r="E1585" s="186"/>
      <c r="F1585" s="187"/>
    </row>
    <row r="1586" spans="1:6" x14ac:dyDescent="0.2">
      <c r="A1586" s="275"/>
      <c r="B1586" s="78"/>
      <c r="C1586" s="189"/>
      <c r="D1586" s="185"/>
      <c r="E1586" s="186"/>
      <c r="F1586" s="187"/>
    </row>
    <row r="1587" spans="1:6" x14ac:dyDescent="0.2">
      <c r="A1587" s="275"/>
      <c r="B1587" s="78"/>
      <c r="C1587" s="189"/>
      <c r="D1587" s="185"/>
      <c r="E1587" s="186"/>
      <c r="F1587" s="187"/>
    </row>
    <row r="1588" spans="1:6" x14ac:dyDescent="0.2">
      <c r="A1588" s="275"/>
      <c r="B1588" s="78"/>
      <c r="C1588" s="189"/>
      <c r="D1588" s="185"/>
      <c r="E1588" s="186"/>
      <c r="F1588" s="187"/>
    </row>
    <row r="1589" spans="1:6" x14ac:dyDescent="0.2">
      <c r="A1589" s="275"/>
      <c r="B1589" s="78"/>
      <c r="C1589" s="189"/>
      <c r="D1589" s="185"/>
      <c r="E1589" s="186"/>
      <c r="F1589" s="187"/>
    </row>
    <row r="1590" spans="1:6" x14ac:dyDescent="0.2">
      <c r="A1590" s="275"/>
      <c r="B1590" s="78"/>
      <c r="C1590" s="189"/>
      <c r="D1590" s="185"/>
      <c r="E1590" s="186"/>
      <c r="F1590" s="187"/>
    </row>
    <row r="1591" spans="1:6" x14ac:dyDescent="0.2">
      <c r="A1591" s="275"/>
      <c r="B1591" s="78"/>
      <c r="C1591" s="189"/>
      <c r="D1591" s="185"/>
      <c r="E1591" s="186"/>
      <c r="F1591" s="187"/>
    </row>
    <row r="1592" spans="1:6" x14ac:dyDescent="0.2">
      <c r="A1592" s="275"/>
      <c r="B1592" s="78"/>
      <c r="C1592" s="189"/>
      <c r="D1592" s="185"/>
      <c r="E1592" s="186"/>
      <c r="F1592" s="187"/>
    </row>
    <row r="1593" spans="1:6" x14ac:dyDescent="0.2">
      <c r="A1593" s="275"/>
      <c r="B1593" s="78"/>
      <c r="C1593" s="189"/>
      <c r="D1593" s="185"/>
      <c r="E1593" s="186"/>
      <c r="F1593" s="187"/>
    </row>
    <row r="1594" spans="1:6" x14ac:dyDescent="0.2">
      <c r="A1594" s="275"/>
      <c r="B1594" s="78"/>
      <c r="C1594" s="189"/>
      <c r="D1594" s="185"/>
      <c r="E1594" s="186"/>
      <c r="F1594" s="187"/>
    </row>
    <row r="1595" spans="1:6" x14ac:dyDescent="0.2">
      <c r="A1595" s="275"/>
      <c r="B1595" s="78"/>
      <c r="C1595" s="189"/>
      <c r="D1595" s="185"/>
      <c r="E1595" s="186"/>
      <c r="F1595" s="187"/>
    </row>
    <row r="1596" spans="1:6" x14ac:dyDescent="0.2">
      <c r="A1596" s="275"/>
      <c r="B1596" s="78"/>
      <c r="C1596" s="189"/>
      <c r="D1596" s="185"/>
      <c r="E1596" s="186"/>
      <c r="F1596" s="187"/>
    </row>
    <row r="1597" spans="1:6" x14ac:dyDescent="0.2">
      <c r="A1597" s="275"/>
      <c r="B1597" s="78"/>
      <c r="C1597" s="189"/>
      <c r="D1597" s="185"/>
      <c r="E1597" s="186"/>
      <c r="F1597" s="187"/>
    </row>
    <row r="1598" spans="1:6" x14ac:dyDescent="0.2">
      <c r="A1598" s="275"/>
      <c r="B1598" s="78"/>
      <c r="C1598" s="189"/>
      <c r="D1598" s="185"/>
      <c r="E1598" s="186"/>
      <c r="F1598" s="187"/>
    </row>
    <row r="1599" spans="1:6" x14ac:dyDescent="0.2">
      <c r="A1599" s="275"/>
      <c r="B1599" s="78"/>
      <c r="C1599" s="189"/>
      <c r="D1599" s="185"/>
      <c r="E1599" s="186"/>
      <c r="F1599" s="187"/>
    </row>
    <row r="1600" spans="1:6" x14ac:dyDescent="0.2">
      <c r="A1600" s="275"/>
      <c r="B1600" s="78"/>
      <c r="C1600" s="189"/>
      <c r="D1600" s="185"/>
      <c r="E1600" s="186"/>
      <c r="F1600" s="187"/>
    </row>
    <row r="1601" spans="1:6" x14ac:dyDescent="0.2">
      <c r="A1601" s="275"/>
      <c r="B1601" s="78"/>
      <c r="C1601" s="189"/>
      <c r="D1601" s="185"/>
      <c r="E1601" s="186"/>
      <c r="F1601" s="187"/>
    </row>
    <row r="1602" spans="1:6" x14ac:dyDescent="0.2">
      <c r="A1602" s="275"/>
      <c r="B1602" s="78"/>
      <c r="C1602" s="189"/>
      <c r="D1602" s="185"/>
      <c r="E1602" s="186"/>
      <c r="F1602" s="187"/>
    </row>
    <row r="1603" spans="1:6" x14ac:dyDescent="0.2">
      <c r="A1603" s="275"/>
      <c r="B1603" s="78"/>
      <c r="C1603" s="189"/>
      <c r="D1603" s="185"/>
      <c r="E1603" s="186"/>
      <c r="F1603" s="187"/>
    </row>
    <row r="1604" spans="1:6" x14ac:dyDescent="0.2">
      <c r="A1604" s="275"/>
      <c r="B1604" s="78"/>
      <c r="C1604" s="189"/>
      <c r="D1604" s="185"/>
      <c r="E1604" s="186"/>
      <c r="F1604" s="187"/>
    </row>
    <row r="1605" spans="1:6" x14ac:dyDescent="0.2">
      <c r="A1605" s="275"/>
      <c r="B1605" s="78"/>
      <c r="C1605" s="189"/>
      <c r="D1605" s="185"/>
      <c r="E1605" s="186"/>
      <c r="F1605" s="187"/>
    </row>
    <row r="1606" spans="1:6" x14ac:dyDescent="0.2">
      <c r="A1606" s="275"/>
      <c r="B1606" s="78"/>
      <c r="C1606" s="189"/>
      <c r="D1606" s="185"/>
      <c r="E1606" s="186"/>
      <c r="F1606" s="187"/>
    </row>
    <row r="1607" spans="1:6" x14ac:dyDescent="0.2">
      <c r="A1607" s="275"/>
      <c r="B1607" s="78"/>
      <c r="C1607" s="189"/>
      <c r="D1607" s="185"/>
      <c r="E1607" s="186"/>
      <c r="F1607" s="187"/>
    </row>
    <row r="1608" spans="1:6" x14ac:dyDescent="0.2">
      <c r="A1608" s="275"/>
      <c r="B1608" s="78"/>
      <c r="C1608" s="189"/>
      <c r="D1608" s="185"/>
      <c r="E1608" s="186"/>
      <c r="F1608" s="187"/>
    </row>
    <row r="1609" spans="1:6" x14ac:dyDescent="0.2">
      <c r="A1609" s="275"/>
      <c r="B1609" s="78"/>
      <c r="C1609" s="189"/>
      <c r="D1609" s="185"/>
      <c r="E1609" s="186"/>
      <c r="F1609" s="187"/>
    </row>
    <row r="1610" spans="1:6" x14ac:dyDescent="0.2">
      <c r="A1610" s="275"/>
      <c r="B1610" s="78"/>
      <c r="C1610" s="189"/>
      <c r="D1610" s="185"/>
      <c r="E1610" s="186"/>
      <c r="F1610" s="187"/>
    </row>
    <row r="1611" spans="1:6" x14ac:dyDescent="0.2">
      <c r="A1611" s="275"/>
      <c r="B1611" s="78"/>
      <c r="C1611" s="189"/>
      <c r="D1611" s="185"/>
      <c r="E1611" s="186"/>
      <c r="F1611" s="187"/>
    </row>
    <row r="1612" spans="1:6" x14ac:dyDescent="0.2">
      <c r="A1612" s="275"/>
      <c r="B1612" s="78"/>
      <c r="C1612" s="189"/>
      <c r="D1612" s="185"/>
      <c r="E1612" s="186"/>
      <c r="F1612" s="187"/>
    </row>
    <row r="1613" spans="1:6" x14ac:dyDescent="0.2">
      <c r="A1613" s="275"/>
      <c r="B1613" s="78"/>
      <c r="C1613" s="189"/>
      <c r="D1613" s="185"/>
      <c r="E1613" s="186"/>
      <c r="F1613" s="187"/>
    </row>
    <row r="1614" spans="1:6" x14ac:dyDescent="0.2">
      <c r="A1614" s="275"/>
      <c r="B1614" s="78"/>
      <c r="C1614" s="189"/>
      <c r="D1614" s="185"/>
      <c r="E1614" s="186"/>
      <c r="F1614" s="187"/>
    </row>
    <row r="1615" spans="1:6" x14ac:dyDescent="0.2">
      <c r="A1615" s="275"/>
      <c r="B1615" s="78"/>
      <c r="C1615" s="189"/>
      <c r="D1615" s="185"/>
      <c r="E1615" s="186"/>
      <c r="F1615" s="187"/>
    </row>
    <row r="1616" spans="1:6" x14ac:dyDescent="0.2">
      <c r="A1616" s="275"/>
      <c r="B1616" s="78"/>
      <c r="C1616" s="189"/>
      <c r="D1616" s="185"/>
      <c r="E1616" s="186"/>
      <c r="F1616" s="187"/>
    </row>
    <row r="1617" spans="1:6" x14ac:dyDescent="0.2">
      <c r="A1617" s="275"/>
      <c r="B1617" s="78"/>
      <c r="C1617" s="189"/>
      <c r="D1617" s="185"/>
      <c r="E1617" s="186"/>
      <c r="F1617" s="187"/>
    </row>
    <row r="1618" spans="1:6" x14ac:dyDescent="0.2">
      <c r="A1618" s="275"/>
      <c r="B1618" s="78"/>
      <c r="C1618" s="189"/>
      <c r="D1618" s="185"/>
      <c r="E1618" s="186"/>
      <c r="F1618" s="187"/>
    </row>
    <row r="1619" spans="1:6" x14ac:dyDescent="0.2">
      <c r="A1619" s="275"/>
      <c r="B1619" s="78"/>
      <c r="C1619" s="189"/>
      <c r="D1619" s="185"/>
      <c r="E1619" s="186"/>
      <c r="F1619" s="187"/>
    </row>
    <row r="1620" spans="1:6" x14ac:dyDescent="0.2">
      <c r="A1620" s="275"/>
      <c r="B1620" s="78"/>
      <c r="C1620" s="189"/>
      <c r="D1620" s="185"/>
      <c r="E1620" s="186"/>
      <c r="F1620" s="187"/>
    </row>
    <row r="1621" spans="1:6" x14ac:dyDescent="0.2">
      <c r="A1621" s="275"/>
      <c r="B1621" s="78"/>
      <c r="C1621" s="189"/>
      <c r="D1621" s="185"/>
      <c r="E1621" s="186"/>
      <c r="F1621" s="187"/>
    </row>
    <row r="1622" spans="1:6" x14ac:dyDescent="0.2">
      <c r="A1622" s="275"/>
      <c r="B1622" s="78"/>
      <c r="C1622" s="189"/>
      <c r="D1622" s="185"/>
      <c r="E1622" s="186"/>
      <c r="F1622" s="187"/>
    </row>
    <row r="1623" spans="1:6" x14ac:dyDescent="0.2">
      <c r="A1623" s="275"/>
      <c r="B1623" s="78"/>
      <c r="C1623" s="189"/>
      <c r="D1623" s="185"/>
      <c r="E1623" s="186"/>
      <c r="F1623" s="187"/>
    </row>
    <row r="1624" spans="1:6" x14ac:dyDescent="0.2">
      <c r="A1624" s="275"/>
      <c r="B1624" s="78"/>
      <c r="C1624" s="189"/>
      <c r="D1624" s="185"/>
      <c r="E1624" s="186"/>
      <c r="F1624" s="187"/>
    </row>
    <row r="1625" spans="1:6" x14ac:dyDescent="0.2">
      <c r="A1625" s="275"/>
      <c r="B1625" s="78"/>
      <c r="C1625" s="189"/>
      <c r="D1625" s="185"/>
      <c r="E1625" s="186"/>
      <c r="F1625" s="187"/>
    </row>
    <row r="1626" spans="1:6" x14ac:dyDescent="0.2">
      <c r="A1626" s="275"/>
      <c r="B1626" s="78"/>
      <c r="C1626" s="189"/>
      <c r="D1626" s="185"/>
      <c r="E1626" s="186"/>
      <c r="F1626" s="187"/>
    </row>
    <row r="1627" spans="1:6" x14ac:dyDescent="0.2">
      <c r="A1627" s="275"/>
      <c r="B1627" s="78"/>
      <c r="C1627" s="189"/>
      <c r="D1627" s="185"/>
      <c r="E1627" s="186"/>
      <c r="F1627" s="187"/>
    </row>
    <row r="1628" spans="1:6" x14ac:dyDescent="0.2">
      <c r="A1628" s="275"/>
      <c r="B1628" s="78"/>
      <c r="C1628" s="189"/>
      <c r="D1628" s="185"/>
      <c r="E1628" s="186"/>
      <c r="F1628" s="187"/>
    </row>
    <row r="1629" spans="1:6" x14ac:dyDescent="0.2">
      <c r="A1629" s="275"/>
      <c r="B1629" s="78"/>
      <c r="C1629" s="189"/>
      <c r="D1629" s="185"/>
      <c r="E1629" s="186"/>
      <c r="F1629" s="187"/>
    </row>
    <row r="1630" spans="1:6" x14ac:dyDescent="0.2">
      <c r="A1630" s="275"/>
      <c r="B1630" s="78"/>
      <c r="C1630" s="189"/>
      <c r="D1630" s="185"/>
      <c r="E1630" s="186"/>
      <c r="F1630" s="187"/>
    </row>
    <row r="1631" spans="1:6" x14ac:dyDescent="0.2">
      <c r="A1631" s="275"/>
      <c r="B1631" s="78"/>
      <c r="C1631" s="189"/>
      <c r="D1631" s="185"/>
      <c r="E1631" s="186"/>
      <c r="F1631" s="187"/>
    </row>
    <row r="1632" spans="1:6" x14ac:dyDescent="0.2">
      <c r="A1632" s="275"/>
      <c r="B1632" s="78"/>
      <c r="C1632" s="189"/>
      <c r="D1632" s="185"/>
      <c r="E1632" s="186"/>
      <c r="F1632" s="187"/>
    </row>
    <row r="1633" spans="1:6" x14ac:dyDescent="0.2">
      <c r="A1633" s="275"/>
      <c r="B1633" s="78"/>
      <c r="C1633" s="189"/>
      <c r="D1633" s="185"/>
      <c r="E1633" s="186"/>
      <c r="F1633" s="187"/>
    </row>
    <row r="1634" spans="1:6" x14ac:dyDescent="0.2">
      <c r="A1634" s="275"/>
      <c r="B1634" s="78"/>
      <c r="C1634" s="189"/>
      <c r="D1634" s="185"/>
      <c r="E1634" s="186"/>
      <c r="F1634" s="187"/>
    </row>
    <row r="1635" spans="1:6" x14ac:dyDescent="0.2">
      <c r="A1635" s="275"/>
      <c r="B1635" s="78"/>
      <c r="C1635" s="189"/>
      <c r="D1635" s="185"/>
      <c r="E1635" s="186"/>
      <c r="F1635" s="187"/>
    </row>
    <row r="1636" spans="1:6" x14ac:dyDescent="0.2">
      <c r="A1636" s="275"/>
      <c r="B1636" s="78"/>
      <c r="C1636" s="189"/>
      <c r="D1636" s="185"/>
      <c r="E1636" s="186"/>
      <c r="F1636" s="187"/>
    </row>
    <row r="1637" spans="1:6" x14ac:dyDescent="0.2">
      <c r="A1637" s="275"/>
      <c r="B1637" s="78"/>
      <c r="C1637" s="189"/>
      <c r="D1637" s="185"/>
      <c r="E1637" s="186"/>
      <c r="F1637" s="187"/>
    </row>
    <row r="1638" spans="1:6" x14ac:dyDescent="0.2">
      <c r="A1638" s="275"/>
      <c r="B1638" s="78"/>
      <c r="C1638" s="189"/>
      <c r="D1638" s="185"/>
      <c r="E1638" s="186"/>
      <c r="F1638" s="187"/>
    </row>
    <row r="1639" spans="1:6" x14ac:dyDescent="0.2">
      <c r="A1639" s="275"/>
      <c r="B1639" s="78"/>
      <c r="C1639" s="189"/>
      <c r="D1639" s="185"/>
      <c r="E1639" s="186"/>
      <c r="F1639" s="187"/>
    </row>
    <row r="1640" spans="1:6" x14ac:dyDescent="0.2">
      <c r="A1640" s="275"/>
      <c r="B1640" s="78"/>
      <c r="C1640" s="189"/>
      <c r="D1640" s="185"/>
      <c r="E1640" s="186"/>
      <c r="F1640" s="187"/>
    </row>
    <row r="1641" spans="1:6" x14ac:dyDescent="0.2">
      <c r="A1641" s="275"/>
      <c r="B1641" s="78"/>
      <c r="C1641" s="189"/>
      <c r="D1641" s="185"/>
      <c r="E1641" s="186"/>
      <c r="F1641" s="187"/>
    </row>
    <row r="1642" spans="1:6" x14ac:dyDescent="0.2">
      <c r="A1642" s="275"/>
      <c r="B1642" s="78"/>
      <c r="C1642" s="189"/>
      <c r="D1642" s="185"/>
      <c r="E1642" s="186"/>
      <c r="F1642" s="187"/>
    </row>
    <row r="1643" spans="1:6" x14ac:dyDescent="0.2">
      <c r="A1643" s="275"/>
      <c r="B1643" s="78"/>
      <c r="C1643" s="189"/>
      <c r="D1643" s="185"/>
      <c r="E1643" s="186"/>
      <c r="F1643" s="187"/>
    </row>
    <row r="1644" spans="1:6" x14ac:dyDescent="0.2">
      <c r="A1644" s="275"/>
      <c r="B1644" s="78"/>
      <c r="C1644" s="189"/>
      <c r="D1644" s="185"/>
      <c r="E1644" s="186"/>
      <c r="F1644" s="187"/>
    </row>
    <row r="1645" spans="1:6" x14ac:dyDescent="0.2">
      <c r="A1645" s="275"/>
      <c r="B1645" s="78"/>
      <c r="C1645" s="189"/>
      <c r="D1645" s="185"/>
      <c r="E1645" s="186"/>
      <c r="F1645" s="187"/>
    </row>
    <row r="1646" spans="1:6" x14ac:dyDescent="0.2">
      <c r="A1646" s="275"/>
      <c r="B1646" s="78"/>
      <c r="C1646" s="189"/>
      <c r="D1646" s="185"/>
      <c r="E1646" s="186"/>
      <c r="F1646" s="187"/>
    </row>
    <row r="1647" spans="1:6" x14ac:dyDescent="0.2">
      <c r="A1647" s="275"/>
      <c r="B1647" s="78"/>
      <c r="C1647" s="189"/>
      <c r="D1647" s="185"/>
      <c r="E1647" s="186"/>
      <c r="F1647" s="187"/>
    </row>
    <row r="1648" spans="1:6" x14ac:dyDescent="0.2">
      <c r="A1648" s="275"/>
      <c r="B1648" s="78"/>
      <c r="C1648" s="189"/>
      <c r="D1648" s="185"/>
      <c r="E1648" s="186"/>
      <c r="F1648" s="187"/>
    </row>
    <row r="1649" spans="1:6" x14ac:dyDescent="0.2">
      <c r="A1649" s="275"/>
      <c r="B1649" s="78"/>
      <c r="C1649" s="189"/>
      <c r="D1649" s="185"/>
      <c r="E1649" s="186"/>
      <c r="F1649" s="187"/>
    </row>
    <row r="1650" spans="1:6" x14ac:dyDescent="0.2">
      <c r="A1650" s="275"/>
      <c r="B1650" s="78"/>
      <c r="C1650" s="189"/>
      <c r="D1650" s="185"/>
      <c r="E1650" s="186"/>
      <c r="F1650" s="187"/>
    </row>
    <row r="1651" spans="1:6" x14ac:dyDescent="0.2">
      <c r="A1651" s="275"/>
      <c r="B1651" s="78"/>
      <c r="C1651" s="189"/>
      <c r="D1651" s="185"/>
      <c r="E1651" s="186"/>
      <c r="F1651" s="187"/>
    </row>
    <row r="1652" spans="1:6" x14ac:dyDescent="0.2">
      <c r="A1652" s="275"/>
      <c r="B1652" s="78"/>
      <c r="C1652" s="189"/>
      <c r="D1652" s="185"/>
      <c r="E1652" s="186"/>
      <c r="F1652" s="187"/>
    </row>
    <row r="1653" spans="1:6" x14ac:dyDescent="0.2">
      <c r="A1653" s="275"/>
      <c r="B1653" s="78"/>
      <c r="C1653" s="189"/>
      <c r="D1653" s="185"/>
      <c r="E1653" s="186"/>
      <c r="F1653" s="187"/>
    </row>
    <row r="1654" spans="1:6" x14ac:dyDescent="0.2">
      <c r="A1654" s="275"/>
      <c r="B1654" s="78"/>
      <c r="C1654" s="189"/>
      <c r="D1654" s="185"/>
      <c r="E1654" s="186"/>
      <c r="F1654" s="187"/>
    </row>
    <row r="1655" spans="1:6" x14ac:dyDescent="0.2">
      <c r="A1655" s="275"/>
      <c r="B1655" s="78"/>
      <c r="C1655" s="189"/>
      <c r="D1655" s="185"/>
      <c r="E1655" s="186"/>
      <c r="F1655" s="187"/>
    </row>
    <row r="1656" spans="1:6" x14ac:dyDescent="0.2">
      <c r="A1656" s="275"/>
      <c r="B1656" s="78"/>
      <c r="C1656" s="189"/>
      <c r="D1656" s="185"/>
      <c r="E1656" s="186"/>
      <c r="F1656" s="187"/>
    </row>
    <row r="1657" spans="1:6" x14ac:dyDescent="0.2">
      <c r="A1657" s="275"/>
      <c r="B1657" s="78"/>
      <c r="C1657" s="189"/>
      <c r="D1657" s="185"/>
      <c r="E1657" s="186"/>
      <c r="F1657" s="187"/>
    </row>
    <row r="1658" spans="1:6" x14ac:dyDescent="0.2">
      <c r="A1658" s="275"/>
      <c r="B1658" s="78"/>
      <c r="C1658" s="189"/>
      <c r="D1658" s="185"/>
      <c r="E1658" s="186"/>
      <c r="F1658" s="187"/>
    </row>
    <row r="1659" spans="1:6" x14ac:dyDescent="0.2">
      <c r="A1659" s="275"/>
      <c r="B1659" s="78"/>
      <c r="C1659" s="189"/>
      <c r="D1659" s="185"/>
      <c r="E1659" s="186"/>
      <c r="F1659" s="187"/>
    </row>
    <row r="1660" spans="1:6" x14ac:dyDescent="0.2">
      <c r="A1660" s="275"/>
      <c r="B1660" s="78"/>
      <c r="C1660" s="189"/>
      <c r="D1660" s="185"/>
      <c r="E1660" s="186"/>
      <c r="F1660" s="187"/>
    </row>
    <row r="1661" spans="1:6" x14ac:dyDescent="0.2">
      <c r="A1661" s="275"/>
      <c r="B1661" s="78"/>
      <c r="C1661" s="189"/>
      <c r="D1661" s="185"/>
      <c r="E1661" s="186"/>
      <c r="F1661" s="187"/>
    </row>
    <row r="1662" spans="1:6" x14ac:dyDescent="0.2">
      <c r="A1662" s="275"/>
      <c r="B1662" s="78"/>
      <c r="C1662" s="189"/>
      <c r="D1662" s="185"/>
      <c r="E1662" s="186"/>
      <c r="F1662" s="187"/>
    </row>
    <row r="1663" spans="1:6" x14ac:dyDescent="0.2">
      <c r="A1663" s="275"/>
      <c r="B1663" s="78"/>
      <c r="C1663" s="189"/>
      <c r="D1663" s="185"/>
      <c r="E1663" s="186"/>
      <c r="F1663" s="187"/>
    </row>
    <row r="1664" spans="1:6" x14ac:dyDescent="0.2">
      <c r="A1664" s="275"/>
      <c r="B1664" s="78"/>
      <c r="C1664" s="189"/>
      <c r="D1664" s="185"/>
      <c r="E1664" s="186"/>
      <c r="F1664" s="187"/>
    </row>
    <row r="1665" spans="1:6" x14ac:dyDescent="0.2">
      <c r="A1665" s="275"/>
      <c r="B1665" s="78"/>
      <c r="C1665" s="189"/>
      <c r="D1665" s="185"/>
      <c r="E1665" s="186"/>
      <c r="F1665" s="187"/>
    </row>
    <row r="1666" spans="1:6" x14ac:dyDescent="0.2">
      <c r="A1666" s="275"/>
      <c r="B1666" s="78"/>
      <c r="C1666" s="189"/>
      <c r="D1666" s="185"/>
      <c r="E1666" s="186"/>
      <c r="F1666" s="187"/>
    </row>
    <row r="1667" spans="1:6" x14ac:dyDescent="0.2">
      <c r="A1667" s="275"/>
      <c r="B1667" s="78"/>
      <c r="C1667" s="189"/>
      <c r="D1667" s="185"/>
      <c r="E1667" s="186"/>
      <c r="F1667" s="187"/>
    </row>
    <row r="1668" spans="1:6" x14ac:dyDescent="0.2">
      <c r="A1668" s="275"/>
      <c r="B1668" s="78"/>
      <c r="C1668" s="189"/>
      <c r="D1668" s="185"/>
      <c r="E1668" s="186"/>
      <c r="F1668" s="187"/>
    </row>
    <row r="1669" spans="1:6" x14ac:dyDescent="0.2">
      <c r="A1669" s="275"/>
      <c r="B1669" s="78"/>
      <c r="C1669" s="189"/>
      <c r="D1669" s="185"/>
      <c r="E1669" s="186"/>
      <c r="F1669" s="187"/>
    </row>
    <row r="1670" spans="1:6" x14ac:dyDescent="0.2">
      <c r="A1670" s="275"/>
      <c r="B1670" s="78"/>
      <c r="C1670" s="189"/>
      <c r="D1670" s="185"/>
      <c r="E1670" s="186"/>
      <c r="F1670" s="187"/>
    </row>
    <row r="1671" spans="1:6" x14ac:dyDescent="0.2">
      <c r="A1671" s="275"/>
      <c r="B1671" s="78"/>
      <c r="C1671" s="189"/>
      <c r="D1671" s="185"/>
      <c r="E1671" s="186"/>
      <c r="F1671" s="187"/>
    </row>
    <row r="1672" spans="1:6" x14ac:dyDescent="0.2">
      <c r="A1672" s="275"/>
      <c r="B1672" s="78"/>
      <c r="C1672" s="189"/>
      <c r="D1672" s="185"/>
      <c r="E1672" s="186"/>
      <c r="F1672" s="187"/>
    </row>
    <row r="1673" spans="1:6" x14ac:dyDescent="0.2">
      <c r="A1673" s="275"/>
      <c r="B1673" s="78"/>
      <c r="C1673" s="189"/>
      <c r="D1673" s="185"/>
      <c r="E1673" s="186"/>
      <c r="F1673" s="187"/>
    </row>
    <row r="1674" spans="1:6" x14ac:dyDescent="0.2">
      <c r="A1674" s="275"/>
      <c r="B1674" s="78"/>
      <c r="C1674" s="189"/>
      <c r="D1674" s="185"/>
      <c r="E1674" s="186"/>
      <c r="F1674" s="187"/>
    </row>
    <row r="1675" spans="1:6" x14ac:dyDescent="0.2">
      <c r="A1675" s="275"/>
      <c r="B1675" s="78"/>
      <c r="C1675" s="189"/>
      <c r="D1675" s="185"/>
      <c r="E1675" s="186"/>
      <c r="F1675" s="187"/>
    </row>
    <row r="1676" spans="1:6" x14ac:dyDescent="0.2">
      <c r="A1676" s="275"/>
      <c r="B1676" s="78"/>
      <c r="C1676" s="189"/>
      <c r="D1676" s="185"/>
      <c r="E1676" s="186"/>
      <c r="F1676" s="187"/>
    </row>
    <row r="1677" spans="1:6" x14ac:dyDescent="0.2">
      <c r="A1677" s="275"/>
      <c r="B1677" s="78"/>
      <c r="C1677" s="189"/>
      <c r="D1677" s="185"/>
      <c r="E1677" s="186"/>
      <c r="F1677" s="187"/>
    </row>
    <row r="1678" spans="1:6" x14ac:dyDescent="0.2">
      <c r="A1678" s="275"/>
      <c r="B1678" s="78"/>
      <c r="C1678" s="189"/>
      <c r="D1678" s="185"/>
      <c r="E1678" s="186"/>
      <c r="F1678" s="187"/>
    </row>
    <row r="1679" spans="1:6" x14ac:dyDescent="0.2">
      <c r="A1679" s="275"/>
      <c r="B1679" s="78"/>
      <c r="C1679" s="189"/>
      <c r="D1679" s="185"/>
      <c r="E1679" s="186"/>
      <c r="F1679" s="187"/>
    </row>
    <row r="1680" spans="1:6" x14ac:dyDescent="0.2">
      <c r="A1680" s="275"/>
      <c r="B1680" s="78"/>
      <c r="C1680" s="189"/>
      <c r="D1680" s="185"/>
      <c r="E1680" s="186"/>
      <c r="F1680" s="187"/>
    </row>
    <row r="1681" spans="1:6" x14ac:dyDescent="0.2">
      <c r="A1681" s="275"/>
      <c r="B1681" s="78"/>
      <c r="C1681" s="189"/>
      <c r="D1681" s="185"/>
      <c r="E1681" s="186"/>
      <c r="F1681" s="187"/>
    </row>
    <row r="1682" spans="1:6" x14ac:dyDescent="0.2">
      <c r="A1682" s="275"/>
      <c r="B1682" s="78"/>
      <c r="C1682" s="189"/>
      <c r="D1682" s="185"/>
      <c r="E1682" s="186"/>
      <c r="F1682" s="187"/>
    </row>
    <row r="1683" spans="1:6" x14ac:dyDescent="0.2">
      <c r="A1683" s="275"/>
      <c r="B1683" s="78"/>
      <c r="C1683" s="189"/>
      <c r="D1683" s="185"/>
      <c r="E1683" s="186"/>
      <c r="F1683" s="187"/>
    </row>
    <row r="1684" spans="1:6" x14ac:dyDescent="0.2">
      <c r="A1684" s="275"/>
      <c r="B1684" s="78"/>
      <c r="C1684" s="189"/>
      <c r="D1684" s="185"/>
      <c r="E1684" s="186"/>
      <c r="F1684" s="187"/>
    </row>
    <row r="1685" spans="1:6" x14ac:dyDescent="0.2">
      <c r="A1685" s="275"/>
      <c r="B1685" s="78"/>
      <c r="C1685" s="189"/>
      <c r="D1685" s="185"/>
      <c r="E1685" s="186"/>
      <c r="F1685" s="187"/>
    </row>
    <row r="1686" spans="1:6" x14ac:dyDescent="0.2">
      <c r="A1686" s="275"/>
      <c r="B1686" s="78"/>
      <c r="C1686" s="189"/>
      <c r="D1686" s="185"/>
      <c r="E1686" s="186"/>
      <c r="F1686" s="187"/>
    </row>
    <row r="1687" spans="1:6" x14ac:dyDescent="0.2">
      <c r="A1687" s="275"/>
      <c r="B1687" s="78"/>
      <c r="C1687" s="189"/>
      <c r="D1687" s="185"/>
      <c r="E1687" s="186"/>
      <c r="F1687" s="187"/>
    </row>
    <row r="1688" spans="1:6" x14ac:dyDescent="0.2">
      <c r="A1688" s="275"/>
      <c r="B1688" s="78"/>
      <c r="C1688" s="189"/>
      <c r="D1688" s="185"/>
      <c r="E1688" s="186"/>
      <c r="F1688" s="187"/>
    </row>
    <row r="1689" spans="1:6" x14ac:dyDescent="0.2">
      <c r="A1689" s="275"/>
      <c r="B1689" s="78"/>
      <c r="C1689" s="189"/>
      <c r="D1689" s="185"/>
      <c r="E1689" s="186"/>
      <c r="F1689" s="187"/>
    </row>
    <row r="1690" spans="1:6" x14ac:dyDescent="0.2">
      <c r="A1690" s="275"/>
      <c r="B1690" s="78"/>
      <c r="C1690" s="189"/>
      <c r="D1690" s="185"/>
      <c r="E1690" s="186"/>
      <c r="F1690" s="187"/>
    </row>
    <row r="1691" spans="1:6" x14ac:dyDescent="0.2">
      <c r="A1691" s="275"/>
      <c r="B1691" s="78"/>
      <c r="C1691" s="189"/>
      <c r="D1691" s="185"/>
      <c r="E1691" s="186"/>
      <c r="F1691" s="187"/>
    </row>
    <row r="1692" spans="1:6" x14ac:dyDescent="0.2">
      <c r="A1692" s="275"/>
      <c r="B1692" s="78"/>
      <c r="C1692" s="189"/>
      <c r="D1692" s="185"/>
      <c r="E1692" s="186"/>
      <c r="F1692" s="187"/>
    </row>
    <row r="1693" spans="1:6" x14ac:dyDescent="0.2">
      <c r="A1693" s="275"/>
      <c r="B1693" s="78"/>
      <c r="C1693" s="189"/>
      <c r="D1693" s="185"/>
      <c r="E1693" s="186"/>
      <c r="F1693" s="187"/>
    </row>
    <row r="1694" spans="1:6" x14ac:dyDescent="0.2">
      <c r="A1694" s="275"/>
      <c r="B1694" s="78"/>
      <c r="C1694" s="189"/>
      <c r="D1694" s="185"/>
      <c r="E1694" s="186"/>
      <c r="F1694" s="187"/>
    </row>
    <row r="1695" spans="1:6" x14ac:dyDescent="0.2">
      <c r="A1695" s="275"/>
      <c r="B1695" s="78"/>
      <c r="C1695" s="189"/>
      <c r="D1695" s="185"/>
      <c r="E1695" s="186"/>
      <c r="F1695" s="187"/>
    </row>
    <row r="1696" spans="1:6" x14ac:dyDescent="0.2">
      <c r="A1696" s="275"/>
      <c r="B1696" s="78"/>
      <c r="C1696" s="189"/>
      <c r="D1696" s="185"/>
      <c r="E1696" s="186"/>
      <c r="F1696" s="187"/>
    </row>
    <row r="1697" spans="1:6" x14ac:dyDescent="0.2">
      <c r="A1697" s="275"/>
      <c r="B1697" s="78"/>
      <c r="C1697" s="189"/>
      <c r="D1697" s="185"/>
      <c r="E1697" s="186"/>
      <c r="F1697" s="187"/>
    </row>
    <row r="1698" spans="1:6" x14ac:dyDescent="0.2">
      <c r="A1698" s="275"/>
      <c r="B1698" s="78"/>
      <c r="C1698" s="189"/>
      <c r="D1698" s="185"/>
      <c r="E1698" s="186"/>
      <c r="F1698" s="187"/>
    </row>
    <row r="1699" spans="1:6" x14ac:dyDescent="0.2">
      <c r="A1699" s="275"/>
      <c r="B1699" s="78"/>
      <c r="C1699" s="189"/>
      <c r="D1699" s="185"/>
      <c r="E1699" s="186"/>
      <c r="F1699" s="187"/>
    </row>
    <row r="1700" spans="1:6" x14ac:dyDescent="0.2">
      <c r="A1700" s="275"/>
      <c r="B1700" s="78"/>
      <c r="C1700" s="189"/>
      <c r="D1700" s="185"/>
      <c r="E1700" s="186"/>
      <c r="F1700" s="187"/>
    </row>
    <row r="1701" spans="1:6" x14ac:dyDescent="0.2">
      <c r="A1701" s="275"/>
      <c r="B1701" s="78"/>
      <c r="C1701" s="189"/>
      <c r="D1701" s="185"/>
      <c r="E1701" s="186"/>
      <c r="F1701" s="187"/>
    </row>
    <row r="1702" spans="1:6" x14ac:dyDescent="0.2">
      <c r="A1702" s="275"/>
      <c r="B1702" s="78"/>
      <c r="C1702" s="189"/>
      <c r="D1702" s="185"/>
      <c r="E1702" s="186"/>
      <c r="F1702" s="187"/>
    </row>
    <row r="1703" spans="1:6" x14ac:dyDescent="0.2">
      <c r="A1703" s="275"/>
      <c r="B1703" s="78"/>
      <c r="C1703" s="189"/>
      <c r="D1703" s="185"/>
      <c r="E1703" s="186"/>
      <c r="F1703" s="187"/>
    </row>
    <row r="1704" spans="1:6" x14ac:dyDescent="0.2">
      <c r="A1704" s="275"/>
      <c r="B1704" s="78"/>
      <c r="C1704" s="189"/>
      <c r="D1704" s="185"/>
      <c r="E1704" s="186"/>
      <c r="F1704" s="187"/>
    </row>
    <row r="1705" spans="1:6" x14ac:dyDescent="0.2">
      <c r="A1705" s="275"/>
      <c r="B1705" s="78"/>
      <c r="C1705" s="189"/>
      <c r="D1705" s="185"/>
      <c r="E1705" s="186"/>
      <c r="F1705" s="187"/>
    </row>
    <row r="1706" spans="1:6" x14ac:dyDescent="0.2">
      <c r="A1706" s="275"/>
      <c r="B1706" s="78"/>
      <c r="C1706" s="189"/>
      <c r="D1706" s="185"/>
      <c r="E1706" s="186"/>
      <c r="F1706" s="187"/>
    </row>
    <row r="1707" spans="1:6" x14ac:dyDescent="0.2">
      <c r="A1707" s="275"/>
      <c r="B1707" s="78"/>
      <c r="C1707" s="189"/>
      <c r="D1707" s="185"/>
      <c r="E1707" s="186"/>
      <c r="F1707" s="187"/>
    </row>
    <row r="1708" spans="1:6" x14ac:dyDescent="0.2">
      <c r="A1708" s="275"/>
      <c r="B1708" s="78"/>
      <c r="C1708" s="189"/>
      <c r="D1708" s="185"/>
      <c r="E1708" s="186"/>
      <c r="F1708" s="187"/>
    </row>
    <row r="1709" spans="1:6" x14ac:dyDescent="0.2">
      <c r="A1709" s="275"/>
      <c r="B1709" s="78"/>
      <c r="C1709" s="189"/>
      <c r="D1709" s="185"/>
      <c r="E1709" s="186"/>
      <c r="F1709" s="187"/>
    </row>
    <row r="1710" spans="1:6" x14ac:dyDescent="0.2">
      <c r="A1710" s="275"/>
      <c r="B1710" s="78"/>
      <c r="C1710" s="189"/>
      <c r="D1710" s="185"/>
      <c r="E1710" s="186"/>
      <c r="F1710" s="187"/>
    </row>
    <row r="1711" spans="1:6" x14ac:dyDescent="0.2">
      <c r="A1711" s="275"/>
      <c r="B1711" s="78"/>
      <c r="C1711" s="189"/>
      <c r="D1711" s="185"/>
      <c r="E1711" s="186"/>
      <c r="F1711" s="187"/>
    </row>
    <row r="1712" spans="1:6" x14ac:dyDescent="0.2">
      <c r="A1712" s="275"/>
      <c r="B1712" s="78"/>
      <c r="C1712" s="189"/>
      <c r="D1712" s="185"/>
      <c r="E1712" s="186"/>
      <c r="F1712" s="187"/>
    </row>
    <row r="1713" spans="1:6" x14ac:dyDescent="0.2">
      <c r="A1713" s="275"/>
      <c r="B1713" s="78"/>
      <c r="C1713" s="189"/>
      <c r="D1713" s="185"/>
      <c r="E1713" s="186"/>
      <c r="F1713" s="187"/>
    </row>
    <row r="1714" spans="1:6" x14ac:dyDescent="0.2">
      <c r="A1714" s="275"/>
      <c r="B1714" s="78"/>
      <c r="C1714" s="189"/>
      <c r="D1714" s="185"/>
      <c r="E1714" s="186"/>
      <c r="F1714" s="187"/>
    </row>
    <row r="1715" spans="1:6" x14ac:dyDescent="0.2">
      <c r="A1715" s="275"/>
      <c r="B1715" s="78"/>
      <c r="C1715" s="189"/>
      <c r="D1715" s="185"/>
      <c r="E1715" s="186"/>
      <c r="F1715" s="187"/>
    </row>
    <row r="1716" spans="1:6" x14ac:dyDescent="0.2">
      <c r="A1716" s="275"/>
      <c r="B1716" s="78"/>
      <c r="C1716" s="189"/>
      <c r="D1716" s="185"/>
      <c r="E1716" s="186"/>
      <c r="F1716" s="187"/>
    </row>
    <row r="1717" spans="1:6" x14ac:dyDescent="0.2">
      <c r="A1717" s="275"/>
      <c r="B1717" s="78"/>
      <c r="C1717" s="189"/>
      <c r="D1717" s="185"/>
      <c r="E1717" s="186"/>
      <c r="F1717" s="187"/>
    </row>
    <row r="1718" spans="1:6" x14ac:dyDescent="0.2">
      <c r="A1718" s="275"/>
      <c r="B1718" s="78"/>
      <c r="C1718" s="189"/>
      <c r="D1718" s="185"/>
      <c r="E1718" s="186"/>
      <c r="F1718" s="187"/>
    </row>
    <row r="1719" spans="1:6" x14ac:dyDescent="0.2">
      <c r="A1719" s="275"/>
      <c r="B1719" s="78"/>
      <c r="C1719" s="189"/>
      <c r="D1719" s="185"/>
      <c r="E1719" s="186"/>
      <c r="F1719" s="187"/>
    </row>
    <row r="1720" spans="1:6" x14ac:dyDescent="0.2">
      <c r="A1720" s="275"/>
      <c r="B1720" s="78"/>
      <c r="C1720" s="189"/>
      <c r="D1720" s="185"/>
      <c r="E1720" s="186"/>
      <c r="F1720" s="187"/>
    </row>
    <row r="1721" spans="1:6" x14ac:dyDescent="0.2">
      <c r="A1721" s="275"/>
      <c r="B1721" s="78"/>
      <c r="C1721" s="189"/>
      <c r="D1721" s="185"/>
      <c r="E1721" s="186"/>
      <c r="F1721" s="187"/>
    </row>
    <row r="1722" spans="1:6" x14ac:dyDescent="0.2">
      <c r="A1722" s="275"/>
      <c r="B1722" s="78"/>
      <c r="C1722" s="189"/>
      <c r="D1722" s="185"/>
      <c r="E1722" s="186"/>
      <c r="F1722" s="187"/>
    </row>
    <row r="1723" spans="1:6" x14ac:dyDescent="0.2">
      <c r="A1723" s="275"/>
      <c r="B1723" s="78"/>
      <c r="C1723" s="189"/>
      <c r="D1723" s="185"/>
      <c r="E1723" s="186"/>
      <c r="F1723" s="187"/>
    </row>
    <row r="1724" spans="1:6" x14ac:dyDescent="0.2">
      <c r="A1724" s="275"/>
      <c r="B1724" s="78"/>
      <c r="C1724" s="189"/>
      <c r="D1724" s="185"/>
      <c r="E1724" s="186"/>
      <c r="F1724" s="187"/>
    </row>
    <row r="1725" spans="1:6" x14ac:dyDescent="0.2">
      <c r="A1725" s="275"/>
      <c r="B1725" s="78"/>
      <c r="C1725" s="189"/>
      <c r="D1725" s="185"/>
      <c r="E1725" s="186"/>
      <c r="F1725" s="187"/>
    </row>
    <row r="1726" spans="1:6" x14ac:dyDescent="0.2">
      <c r="A1726" s="275"/>
      <c r="B1726" s="78"/>
      <c r="C1726" s="189"/>
      <c r="D1726" s="185"/>
      <c r="E1726" s="186"/>
      <c r="F1726" s="187"/>
    </row>
    <row r="1727" spans="1:6" x14ac:dyDescent="0.2">
      <c r="A1727" s="275"/>
      <c r="B1727" s="78"/>
      <c r="C1727" s="189"/>
      <c r="D1727" s="185"/>
      <c r="E1727" s="186"/>
      <c r="F1727" s="187"/>
    </row>
    <row r="1728" spans="1:6" x14ac:dyDescent="0.2">
      <c r="A1728" s="275"/>
      <c r="B1728" s="78"/>
      <c r="C1728" s="189"/>
      <c r="D1728" s="185"/>
      <c r="E1728" s="186"/>
      <c r="F1728" s="187"/>
    </row>
    <row r="1729" spans="1:6" x14ac:dyDescent="0.2">
      <c r="A1729" s="275"/>
      <c r="B1729" s="78"/>
      <c r="C1729" s="189"/>
      <c r="D1729" s="185"/>
      <c r="E1729" s="186"/>
      <c r="F1729" s="187"/>
    </row>
    <row r="1730" spans="1:6" x14ac:dyDescent="0.2">
      <c r="A1730" s="275"/>
      <c r="B1730" s="78"/>
      <c r="C1730" s="189"/>
      <c r="D1730" s="185"/>
      <c r="E1730" s="186"/>
      <c r="F1730" s="187"/>
    </row>
    <row r="1731" spans="1:6" x14ac:dyDescent="0.2">
      <c r="A1731" s="275"/>
      <c r="B1731" s="78"/>
      <c r="C1731" s="189"/>
      <c r="D1731" s="185"/>
      <c r="E1731" s="186"/>
      <c r="F1731" s="187"/>
    </row>
    <row r="1732" spans="1:6" x14ac:dyDescent="0.2">
      <c r="A1732" s="275"/>
      <c r="B1732" s="78"/>
      <c r="C1732" s="189"/>
      <c r="D1732" s="185"/>
      <c r="E1732" s="186"/>
      <c r="F1732" s="187"/>
    </row>
    <row r="1733" spans="1:6" x14ac:dyDescent="0.2">
      <c r="A1733" s="275"/>
      <c r="B1733" s="78"/>
      <c r="C1733" s="189"/>
      <c r="D1733" s="185"/>
      <c r="E1733" s="186"/>
      <c r="F1733" s="187"/>
    </row>
    <row r="1734" spans="1:6" x14ac:dyDescent="0.2">
      <c r="A1734" s="275"/>
      <c r="B1734" s="78"/>
      <c r="C1734" s="189"/>
      <c r="D1734" s="185"/>
      <c r="E1734" s="186"/>
      <c r="F1734" s="187"/>
    </row>
    <row r="1735" spans="1:6" x14ac:dyDescent="0.2">
      <c r="A1735" s="275"/>
      <c r="B1735" s="78"/>
      <c r="C1735" s="189"/>
      <c r="D1735" s="185"/>
      <c r="E1735" s="186"/>
      <c r="F1735" s="187"/>
    </row>
    <row r="1736" spans="1:6" x14ac:dyDescent="0.2">
      <c r="A1736" s="275"/>
      <c r="B1736" s="78"/>
      <c r="C1736" s="189"/>
      <c r="D1736" s="185"/>
      <c r="E1736" s="186"/>
      <c r="F1736" s="187"/>
    </row>
    <row r="1737" spans="1:6" x14ac:dyDescent="0.2">
      <c r="A1737" s="275"/>
      <c r="B1737" s="78"/>
      <c r="C1737" s="189"/>
      <c r="D1737" s="185"/>
      <c r="E1737" s="186"/>
      <c r="F1737" s="187"/>
    </row>
    <row r="1738" spans="1:6" x14ac:dyDescent="0.2">
      <c r="A1738" s="275"/>
      <c r="B1738" s="78"/>
      <c r="C1738" s="189"/>
      <c r="D1738" s="185"/>
      <c r="E1738" s="186"/>
      <c r="F1738" s="187"/>
    </row>
    <row r="1739" spans="1:6" x14ac:dyDescent="0.2">
      <c r="A1739" s="275"/>
      <c r="B1739" s="78"/>
      <c r="C1739" s="189"/>
      <c r="D1739" s="185"/>
      <c r="E1739" s="186"/>
      <c r="F1739" s="187"/>
    </row>
    <row r="1740" spans="1:6" x14ac:dyDescent="0.2">
      <c r="A1740" s="275"/>
      <c r="B1740" s="78"/>
      <c r="C1740" s="189"/>
      <c r="D1740" s="185"/>
      <c r="E1740" s="186"/>
      <c r="F1740" s="187"/>
    </row>
    <row r="1741" spans="1:6" x14ac:dyDescent="0.2">
      <c r="A1741" s="275"/>
      <c r="B1741" s="78"/>
      <c r="C1741" s="189"/>
      <c r="D1741" s="185"/>
      <c r="E1741" s="186"/>
      <c r="F1741" s="187"/>
    </row>
    <row r="1742" spans="1:6" x14ac:dyDescent="0.2">
      <c r="A1742" s="275"/>
      <c r="B1742" s="78"/>
      <c r="C1742" s="189"/>
      <c r="D1742" s="185"/>
      <c r="E1742" s="186"/>
      <c r="F1742" s="187"/>
    </row>
    <row r="1743" spans="1:6" x14ac:dyDescent="0.2">
      <c r="A1743" s="275"/>
      <c r="B1743" s="78"/>
      <c r="C1743" s="189"/>
      <c r="D1743" s="185"/>
      <c r="E1743" s="186"/>
      <c r="F1743" s="187"/>
    </row>
    <row r="1744" spans="1:6" x14ac:dyDescent="0.2">
      <c r="A1744" s="275"/>
      <c r="B1744" s="78"/>
      <c r="C1744" s="189"/>
      <c r="D1744" s="185"/>
      <c r="E1744" s="186"/>
      <c r="F1744" s="187"/>
    </row>
    <row r="1745" spans="1:6" x14ac:dyDescent="0.2">
      <c r="A1745" s="275"/>
      <c r="B1745" s="78"/>
      <c r="C1745" s="189"/>
      <c r="D1745" s="185"/>
      <c r="E1745" s="186"/>
      <c r="F1745" s="187"/>
    </row>
    <row r="1746" spans="1:6" x14ac:dyDescent="0.2">
      <c r="A1746" s="275"/>
      <c r="B1746" s="78"/>
      <c r="C1746" s="189"/>
      <c r="D1746" s="185"/>
      <c r="E1746" s="186"/>
      <c r="F1746" s="187"/>
    </row>
    <row r="1747" spans="1:6" x14ac:dyDescent="0.2">
      <c r="A1747" s="275"/>
      <c r="B1747" s="78"/>
      <c r="C1747" s="189"/>
      <c r="D1747" s="185"/>
      <c r="E1747" s="186"/>
      <c r="F1747" s="187"/>
    </row>
    <row r="1748" spans="1:6" x14ac:dyDescent="0.2">
      <c r="A1748" s="275"/>
      <c r="B1748" s="78"/>
      <c r="C1748" s="189"/>
      <c r="D1748" s="185"/>
      <c r="E1748" s="186"/>
      <c r="F1748" s="187"/>
    </row>
    <row r="1749" spans="1:6" x14ac:dyDescent="0.2">
      <c r="A1749" s="275"/>
      <c r="B1749" s="78"/>
      <c r="C1749" s="189"/>
      <c r="D1749" s="185"/>
      <c r="E1749" s="186"/>
      <c r="F1749" s="187"/>
    </row>
    <row r="1750" spans="1:6" x14ac:dyDescent="0.2">
      <c r="A1750" s="275"/>
      <c r="B1750" s="78"/>
      <c r="C1750" s="189"/>
      <c r="D1750" s="185"/>
      <c r="E1750" s="186"/>
      <c r="F1750" s="187"/>
    </row>
    <row r="1751" spans="1:6" x14ac:dyDescent="0.2">
      <c r="A1751" s="275"/>
      <c r="B1751" s="78"/>
      <c r="C1751" s="189"/>
      <c r="D1751" s="185"/>
      <c r="E1751" s="186"/>
      <c r="F1751" s="187"/>
    </row>
    <row r="1752" spans="1:6" x14ac:dyDescent="0.2">
      <c r="A1752" s="275"/>
      <c r="B1752" s="78"/>
      <c r="C1752" s="189"/>
      <c r="D1752" s="185"/>
      <c r="E1752" s="186"/>
      <c r="F1752" s="187"/>
    </row>
    <row r="1753" spans="1:6" x14ac:dyDescent="0.2">
      <c r="A1753" s="275"/>
      <c r="B1753" s="78"/>
      <c r="C1753" s="189"/>
      <c r="D1753" s="185"/>
      <c r="E1753" s="186"/>
      <c r="F1753" s="187"/>
    </row>
    <row r="1754" spans="1:6" x14ac:dyDescent="0.2">
      <c r="A1754" s="275"/>
      <c r="B1754" s="78"/>
      <c r="C1754" s="189"/>
      <c r="D1754" s="185"/>
      <c r="E1754" s="186"/>
      <c r="F1754" s="187"/>
    </row>
    <row r="1755" spans="1:6" x14ac:dyDescent="0.2">
      <c r="A1755" s="275"/>
      <c r="B1755" s="78"/>
      <c r="C1755" s="189"/>
      <c r="D1755" s="185"/>
      <c r="E1755" s="186"/>
      <c r="F1755" s="187"/>
    </row>
    <row r="1756" spans="1:6" x14ac:dyDescent="0.2">
      <c r="A1756" s="275"/>
      <c r="B1756" s="78"/>
      <c r="C1756" s="189"/>
      <c r="D1756" s="185"/>
      <c r="E1756" s="186"/>
      <c r="F1756" s="187"/>
    </row>
    <row r="1757" spans="1:6" x14ac:dyDescent="0.2">
      <c r="A1757" s="275"/>
      <c r="B1757" s="78"/>
      <c r="C1757" s="189"/>
      <c r="D1757" s="185"/>
      <c r="E1757" s="186"/>
      <c r="F1757" s="187"/>
    </row>
    <row r="1758" spans="1:6" x14ac:dyDescent="0.2">
      <c r="A1758" s="275"/>
      <c r="B1758" s="78"/>
      <c r="C1758" s="189"/>
      <c r="D1758" s="185"/>
      <c r="E1758" s="186"/>
      <c r="F1758" s="187"/>
    </row>
    <row r="1759" spans="1:6" x14ac:dyDescent="0.2">
      <c r="A1759" s="275"/>
      <c r="B1759" s="78"/>
      <c r="C1759" s="189"/>
      <c r="D1759" s="185"/>
      <c r="E1759" s="186"/>
      <c r="F1759" s="187"/>
    </row>
    <row r="1760" spans="1:6" x14ac:dyDescent="0.2">
      <c r="A1760" s="275"/>
      <c r="B1760" s="78"/>
      <c r="C1760" s="189"/>
      <c r="D1760" s="185"/>
      <c r="E1760" s="186"/>
      <c r="F1760" s="187"/>
    </row>
    <row r="1761" spans="1:6" x14ac:dyDescent="0.2">
      <c r="A1761" s="275"/>
      <c r="B1761" s="78"/>
      <c r="C1761" s="189"/>
      <c r="D1761" s="185"/>
      <c r="E1761" s="186"/>
      <c r="F1761" s="187"/>
    </row>
    <row r="1762" spans="1:6" x14ac:dyDescent="0.2">
      <c r="A1762" s="275"/>
      <c r="B1762" s="78"/>
      <c r="C1762" s="189"/>
      <c r="D1762" s="185"/>
      <c r="E1762" s="186"/>
      <c r="F1762" s="187"/>
    </row>
    <row r="1763" spans="1:6" x14ac:dyDescent="0.2">
      <c r="A1763" s="275"/>
      <c r="B1763" s="78"/>
      <c r="C1763" s="189"/>
      <c r="D1763" s="185"/>
      <c r="E1763" s="186"/>
      <c r="F1763" s="187"/>
    </row>
    <row r="1764" spans="1:6" x14ac:dyDescent="0.2">
      <c r="A1764" s="275"/>
      <c r="B1764" s="78"/>
      <c r="C1764" s="189"/>
      <c r="D1764" s="185"/>
      <c r="E1764" s="186"/>
      <c r="F1764" s="187"/>
    </row>
    <row r="1765" spans="1:6" x14ac:dyDescent="0.2">
      <c r="A1765" s="275"/>
      <c r="B1765" s="78"/>
      <c r="C1765" s="189"/>
      <c r="D1765" s="185"/>
      <c r="E1765" s="186"/>
      <c r="F1765" s="187"/>
    </row>
    <row r="1766" spans="1:6" x14ac:dyDescent="0.2">
      <c r="A1766" s="275"/>
      <c r="B1766" s="78"/>
      <c r="C1766" s="189"/>
      <c r="D1766" s="185"/>
      <c r="E1766" s="186"/>
      <c r="F1766" s="187"/>
    </row>
    <row r="1767" spans="1:6" x14ac:dyDescent="0.2">
      <c r="A1767" s="275"/>
      <c r="B1767" s="78"/>
      <c r="C1767" s="189"/>
      <c r="D1767" s="185"/>
      <c r="E1767" s="186"/>
      <c r="F1767" s="187"/>
    </row>
    <row r="1768" spans="1:6" x14ac:dyDescent="0.2">
      <c r="A1768" s="275"/>
      <c r="B1768" s="78"/>
      <c r="C1768" s="189"/>
      <c r="D1768" s="185"/>
      <c r="E1768" s="186"/>
      <c r="F1768" s="187"/>
    </row>
    <row r="1769" spans="1:6" x14ac:dyDescent="0.2">
      <c r="A1769" s="275"/>
      <c r="B1769" s="78"/>
      <c r="C1769" s="189"/>
      <c r="D1769" s="185"/>
      <c r="E1769" s="186"/>
      <c r="F1769" s="187"/>
    </row>
    <row r="1770" spans="1:6" x14ac:dyDescent="0.2">
      <c r="A1770" s="275"/>
      <c r="B1770" s="78"/>
      <c r="C1770" s="189"/>
      <c r="D1770" s="185"/>
      <c r="E1770" s="186"/>
      <c r="F1770" s="187"/>
    </row>
    <row r="1771" spans="1:6" x14ac:dyDescent="0.2">
      <c r="A1771" s="275"/>
      <c r="B1771" s="78"/>
      <c r="C1771" s="189"/>
      <c r="D1771" s="185"/>
      <c r="E1771" s="186"/>
      <c r="F1771" s="187"/>
    </row>
    <row r="1772" spans="1:6" x14ac:dyDescent="0.2">
      <c r="A1772" s="275"/>
      <c r="B1772" s="78"/>
      <c r="C1772" s="189"/>
      <c r="D1772" s="185"/>
      <c r="E1772" s="186"/>
      <c r="F1772" s="187"/>
    </row>
    <row r="1773" spans="1:6" x14ac:dyDescent="0.2">
      <c r="A1773" s="275"/>
      <c r="B1773" s="78"/>
      <c r="C1773" s="189"/>
      <c r="D1773" s="185"/>
      <c r="E1773" s="186"/>
      <c r="F1773" s="187"/>
    </row>
    <row r="1774" spans="1:6" x14ac:dyDescent="0.2">
      <c r="A1774" s="275"/>
      <c r="B1774" s="78"/>
      <c r="C1774" s="189"/>
      <c r="D1774" s="185"/>
      <c r="E1774" s="186"/>
      <c r="F1774" s="187"/>
    </row>
    <row r="1775" spans="1:6" x14ac:dyDescent="0.2">
      <c r="A1775" s="275"/>
      <c r="B1775" s="78"/>
      <c r="C1775" s="189"/>
      <c r="D1775" s="185"/>
      <c r="E1775" s="186"/>
      <c r="F1775" s="187"/>
    </row>
    <row r="1776" spans="1:6" x14ac:dyDescent="0.2">
      <c r="A1776" s="275"/>
      <c r="B1776" s="78"/>
      <c r="C1776" s="189"/>
      <c r="D1776" s="185"/>
      <c r="E1776" s="186"/>
      <c r="F1776" s="187"/>
    </row>
    <row r="1777" spans="1:6" x14ac:dyDescent="0.2">
      <c r="A1777" s="275"/>
      <c r="B1777" s="78"/>
      <c r="C1777" s="189"/>
      <c r="D1777" s="185"/>
      <c r="E1777" s="186"/>
      <c r="F1777" s="187"/>
    </row>
    <row r="1778" spans="1:6" x14ac:dyDescent="0.2">
      <c r="A1778" s="275"/>
      <c r="B1778" s="78"/>
      <c r="C1778" s="189"/>
      <c r="D1778" s="185"/>
      <c r="E1778" s="186"/>
      <c r="F1778" s="187"/>
    </row>
    <row r="1779" spans="1:6" x14ac:dyDescent="0.2">
      <c r="A1779" s="275"/>
      <c r="B1779" s="78"/>
      <c r="C1779" s="189"/>
      <c r="D1779" s="185"/>
      <c r="E1779" s="186"/>
      <c r="F1779" s="187"/>
    </row>
    <row r="1780" spans="1:6" x14ac:dyDescent="0.2">
      <c r="A1780" s="275"/>
      <c r="B1780" s="78"/>
      <c r="C1780" s="189"/>
      <c r="D1780" s="185"/>
      <c r="E1780" s="186"/>
      <c r="F1780" s="187"/>
    </row>
    <row r="1781" spans="1:6" x14ac:dyDescent="0.2">
      <c r="A1781" s="275"/>
      <c r="B1781" s="78"/>
      <c r="C1781" s="189"/>
      <c r="D1781" s="185"/>
      <c r="E1781" s="186"/>
      <c r="F1781" s="187"/>
    </row>
    <row r="1782" spans="1:6" x14ac:dyDescent="0.2">
      <c r="A1782" s="275"/>
      <c r="B1782" s="78"/>
      <c r="C1782" s="189"/>
      <c r="D1782" s="185"/>
      <c r="E1782" s="186"/>
      <c r="F1782" s="187"/>
    </row>
    <row r="1783" spans="1:6" x14ac:dyDescent="0.2">
      <c r="A1783" s="275"/>
      <c r="B1783" s="78"/>
      <c r="C1783" s="189"/>
      <c r="D1783" s="185"/>
      <c r="E1783" s="186"/>
      <c r="F1783" s="187"/>
    </row>
    <row r="1784" spans="1:6" x14ac:dyDescent="0.2">
      <c r="A1784" s="275"/>
      <c r="B1784" s="78"/>
      <c r="C1784" s="189"/>
      <c r="D1784" s="185"/>
      <c r="E1784" s="186"/>
      <c r="F1784" s="187"/>
    </row>
    <row r="1785" spans="1:6" x14ac:dyDescent="0.2">
      <c r="A1785" s="275"/>
      <c r="B1785" s="78"/>
      <c r="C1785" s="189"/>
      <c r="D1785" s="185"/>
      <c r="E1785" s="186"/>
      <c r="F1785" s="187"/>
    </row>
    <row r="1786" spans="1:6" x14ac:dyDescent="0.2">
      <c r="A1786" s="275"/>
      <c r="B1786" s="78"/>
      <c r="C1786" s="189"/>
      <c r="D1786" s="185"/>
      <c r="E1786" s="186"/>
      <c r="F1786" s="187"/>
    </row>
    <row r="1787" spans="1:6" x14ac:dyDescent="0.2">
      <c r="A1787" s="275"/>
      <c r="B1787" s="78"/>
      <c r="C1787" s="189"/>
      <c r="D1787" s="185"/>
      <c r="E1787" s="186"/>
      <c r="F1787" s="187"/>
    </row>
    <row r="1788" spans="1:6" x14ac:dyDescent="0.2">
      <c r="A1788" s="275"/>
      <c r="B1788" s="78"/>
      <c r="C1788" s="189"/>
      <c r="D1788" s="185"/>
      <c r="E1788" s="186"/>
      <c r="F1788" s="187"/>
    </row>
    <row r="1789" spans="1:6" x14ac:dyDescent="0.2">
      <c r="A1789" s="275"/>
      <c r="B1789" s="78"/>
      <c r="C1789" s="189"/>
      <c r="D1789" s="185"/>
      <c r="E1789" s="186"/>
      <c r="F1789" s="187"/>
    </row>
    <row r="1790" spans="1:6" x14ac:dyDescent="0.2">
      <c r="A1790" s="275"/>
      <c r="B1790" s="78"/>
      <c r="C1790" s="189"/>
      <c r="D1790" s="185"/>
      <c r="E1790" s="186"/>
      <c r="F1790" s="187"/>
    </row>
    <row r="1791" spans="1:6" x14ac:dyDescent="0.2">
      <c r="A1791" s="275"/>
      <c r="B1791" s="78"/>
      <c r="C1791" s="189"/>
      <c r="D1791" s="185"/>
      <c r="E1791" s="186"/>
      <c r="F1791" s="187"/>
    </row>
    <row r="1792" spans="1:6" x14ac:dyDescent="0.2">
      <c r="A1792" s="275"/>
      <c r="B1792" s="78"/>
      <c r="C1792" s="189"/>
      <c r="D1792" s="185"/>
      <c r="E1792" s="186"/>
      <c r="F1792" s="187"/>
    </row>
    <row r="1793" spans="1:6" x14ac:dyDescent="0.2">
      <c r="A1793" s="275"/>
      <c r="B1793" s="78"/>
      <c r="C1793" s="189"/>
      <c r="D1793" s="185"/>
      <c r="E1793" s="186"/>
      <c r="F1793" s="187"/>
    </row>
    <row r="1794" spans="1:6" x14ac:dyDescent="0.2">
      <c r="A1794" s="275"/>
      <c r="B1794" s="78"/>
      <c r="C1794" s="189"/>
      <c r="D1794" s="185"/>
      <c r="E1794" s="186"/>
      <c r="F1794" s="187"/>
    </row>
    <row r="1795" spans="1:6" x14ac:dyDescent="0.2">
      <c r="A1795" s="275"/>
      <c r="B1795" s="78"/>
      <c r="C1795" s="189"/>
      <c r="D1795" s="185"/>
      <c r="E1795" s="186"/>
      <c r="F1795" s="187"/>
    </row>
    <row r="1796" spans="1:6" x14ac:dyDescent="0.2">
      <c r="A1796" s="275"/>
      <c r="B1796" s="78"/>
      <c r="C1796" s="189"/>
      <c r="D1796" s="185"/>
      <c r="E1796" s="186"/>
      <c r="F1796" s="187"/>
    </row>
    <row r="1797" spans="1:6" x14ac:dyDescent="0.2">
      <c r="A1797" s="275"/>
      <c r="B1797" s="78"/>
      <c r="C1797" s="189"/>
      <c r="D1797" s="185"/>
      <c r="E1797" s="186"/>
      <c r="F1797" s="187"/>
    </row>
    <row r="1798" spans="1:6" x14ac:dyDescent="0.2">
      <c r="A1798" s="275"/>
      <c r="B1798" s="78"/>
      <c r="C1798" s="189"/>
      <c r="D1798" s="185"/>
      <c r="E1798" s="186"/>
      <c r="F1798" s="187"/>
    </row>
    <row r="1799" spans="1:6" x14ac:dyDescent="0.2">
      <c r="A1799" s="275"/>
      <c r="B1799" s="78"/>
      <c r="C1799" s="189"/>
      <c r="D1799" s="185"/>
      <c r="E1799" s="186"/>
      <c r="F1799" s="187"/>
    </row>
    <row r="1800" spans="1:6" x14ac:dyDescent="0.2">
      <c r="A1800" s="275"/>
      <c r="B1800" s="78"/>
      <c r="C1800" s="189"/>
      <c r="D1800" s="185"/>
      <c r="E1800" s="186"/>
      <c r="F1800" s="187"/>
    </row>
    <row r="1801" spans="1:6" x14ac:dyDescent="0.2">
      <c r="A1801" s="275"/>
      <c r="B1801" s="78"/>
      <c r="C1801" s="189"/>
      <c r="D1801" s="185"/>
      <c r="E1801" s="186"/>
      <c r="F1801" s="187"/>
    </row>
    <row r="1802" spans="1:6" x14ac:dyDescent="0.2">
      <c r="A1802" s="275"/>
      <c r="B1802" s="78"/>
      <c r="C1802" s="189"/>
      <c r="D1802" s="185"/>
      <c r="E1802" s="186"/>
      <c r="F1802" s="187"/>
    </row>
    <row r="1803" spans="1:6" x14ac:dyDescent="0.2">
      <c r="A1803" s="275"/>
      <c r="B1803" s="78"/>
      <c r="C1803" s="189"/>
      <c r="D1803" s="185"/>
      <c r="E1803" s="186"/>
      <c r="F1803" s="187"/>
    </row>
    <row r="1804" spans="1:6" x14ac:dyDescent="0.2">
      <c r="A1804" s="275"/>
      <c r="B1804" s="78"/>
      <c r="C1804" s="189"/>
      <c r="D1804" s="185"/>
      <c r="E1804" s="186"/>
      <c r="F1804" s="187"/>
    </row>
    <row r="1805" spans="1:6" x14ac:dyDescent="0.2">
      <c r="A1805" s="275"/>
      <c r="B1805" s="78"/>
      <c r="C1805" s="189"/>
      <c r="D1805" s="185"/>
      <c r="E1805" s="186"/>
      <c r="F1805" s="187"/>
    </row>
    <row r="1806" spans="1:6" x14ac:dyDescent="0.2">
      <c r="A1806" s="275"/>
      <c r="B1806" s="78"/>
      <c r="C1806" s="189"/>
      <c r="D1806" s="185"/>
      <c r="E1806" s="186"/>
      <c r="F1806" s="187"/>
    </row>
    <row r="1807" spans="1:6" x14ac:dyDescent="0.2">
      <c r="A1807" s="275"/>
      <c r="B1807" s="78"/>
      <c r="C1807" s="189"/>
      <c r="D1807" s="185"/>
      <c r="E1807" s="186"/>
      <c r="F1807" s="187"/>
    </row>
    <row r="1808" spans="1:6" x14ac:dyDescent="0.2">
      <c r="A1808" s="275"/>
      <c r="B1808" s="78"/>
      <c r="C1808" s="189"/>
      <c r="D1808" s="185"/>
      <c r="E1808" s="186"/>
      <c r="F1808" s="187"/>
    </row>
    <row r="1809" spans="1:6" x14ac:dyDescent="0.2">
      <c r="A1809" s="275"/>
      <c r="B1809" s="78"/>
      <c r="C1809" s="189"/>
      <c r="D1809" s="185"/>
      <c r="E1809" s="186"/>
      <c r="F1809" s="187"/>
    </row>
    <row r="1810" spans="1:6" x14ac:dyDescent="0.2">
      <c r="A1810" s="275"/>
      <c r="B1810" s="78"/>
      <c r="C1810" s="189"/>
      <c r="D1810" s="185"/>
      <c r="E1810" s="186"/>
      <c r="F1810" s="187"/>
    </row>
    <row r="1811" spans="1:6" x14ac:dyDescent="0.2">
      <c r="A1811" s="275"/>
      <c r="B1811" s="78"/>
      <c r="C1811" s="189"/>
      <c r="D1811" s="185"/>
      <c r="E1811" s="186"/>
      <c r="F1811" s="187"/>
    </row>
    <row r="1812" spans="1:6" x14ac:dyDescent="0.2">
      <c r="A1812" s="275"/>
      <c r="B1812" s="78"/>
      <c r="C1812" s="189"/>
      <c r="D1812" s="185"/>
      <c r="E1812" s="186"/>
      <c r="F1812" s="187"/>
    </row>
    <row r="1813" spans="1:6" x14ac:dyDescent="0.2">
      <c r="A1813" s="275"/>
      <c r="B1813" s="78"/>
      <c r="C1813" s="189"/>
      <c r="D1813" s="185"/>
      <c r="E1813" s="186"/>
      <c r="F1813" s="187"/>
    </row>
    <row r="1814" spans="1:6" x14ac:dyDescent="0.2">
      <c r="A1814" s="275"/>
      <c r="B1814" s="78"/>
      <c r="C1814" s="189"/>
      <c r="D1814" s="185"/>
      <c r="E1814" s="186"/>
      <c r="F1814" s="187"/>
    </row>
    <row r="1815" spans="1:6" x14ac:dyDescent="0.2">
      <c r="A1815" s="275"/>
      <c r="B1815" s="78"/>
      <c r="C1815" s="189"/>
      <c r="D1815" s="185"/>
      <c r="E1815" s="186"/>
      <c r="F1815" s="187"/>
    </row>
    <row r="1816" spans="1:6" x14ac:dyDescent="0.2">
      <c r="A1816" s="275"/>
      <c r="B1816" s="78"/>
      <c r="C1816" s="189"/>
      <c r="D1816" s="185"/>
      <c r="E1816" s="186"/>
      <c r="F1816" s="187"/>
    </row>
    <row r="1817" spans="1:6" x14ac:dyDescent="0.2">
      <c r="A1817" s="275"/>
      <c r="B1817" s="78"/>
      <c r="C1817" s="189"/>
      <c r="D1817" s="185"/>
      <c r="E1817" s="186"/>
      <c r="F1817" s="187"/>
    </row>
    <row r="1818" spans="1:6" x14ac:dyDescent="0.2">
      <c r="A1818" s="275"/>
      <c r="B1818" s="78"/>
      <c r="C1818" s="189"/>
      <c r="D1818" s="185"/>
      <c r="E1818" s="186"/>
      <c r="F1818" s="187"/>
    </row>
    <row r="1819" spans="1:6" x14ac:dyDescent="0.2">
      <c r="A1819" s="275"/>
      <c r="B1819" s="78"/>
      <c r="C1819" s="189"/>
      <c r="D1819" s="185"/>
      <c r="E1819" s="186"/>
      <c r="F1819" s="187"/>
    </row>
    <row r="1820" spans="1:6" x14ac:dyDescent="0.2">
      <c r="A1820" s="275"/>
      <c r="B1820" s="78"/>
      <c r="C1820" s="189"/>
      <c r="D1820" s="185"/>
      <c r="E1820" s="186"/>
      <c r="F1820" s="187"/>
    </row>
    <row r="1821" spans="1:6" x14ac:dyDescent="0.2">
      <c r="A1821" s="275"/>
      <c r="B1821" s="78"/>
      <c r="C1821" s="189"/>
      <c r="D1821" s="185"/>
      <c r="E1821" s="186"/>
      <c r="F1821" s="187"/>
    </row>
    <row r="1822" spans="1:6" x14ac:dyDescent="0.2">
      <c r="A1822" s="275"/>
      <c r="B1822" s="78"/>
      <c r="C1822" s="189"/>
      <c r="D1822" s="185"/>
      <c r="E1822" s="186"/>
      <c r="F1822" s="187"/>
    </row>
    <row r="1823" spans="1:6" x14ac:dyDescent="0.2">
      <c r="A1823" s="275"/>
      <c r="B1823" s="78"/>
      <c r="C1823" s="189"/>
      <c r="D1823" s="185"/>
      <c r="E1823" s="186"/>
      <c r="F1823" s="187"/>
    </row>
    <row r="1824" spans="1:6" x14ac:dyDescent="0.2">
      <c r="A1824" s="275"/>
      <c r="B1824" s="78"/>
      <c r="C1824" s="189"/>
      <c r="D1824" s="185"/>
      <c r="E1824" s="186"/>
      <c r="F1824" s="187"/>
    </row>
    <row r="1825" spans="1:6" x14ac:dyDescent="0.2">
      <c r="A1825" s="275"/>
      <c r="B1825" s="78"/>
      <c r="C1825" s="189"/>
      <c r="D1825" s="185"/>
      <c r="E1825" s="186"/>
      <c r="F1825" s="187"/>
    </row>
    <row r="1826" spans="1:6" x14ac:dyDescent="0.2">
      <c r="A1826" s="275"/>
      <c r="B1826" s="78"/>
      <c r="C1826" s="189"/>
      <c r="D1826" s="185"/>
      <c r="E1826" s="186"/>
      <c r="F1826" s="187"/>
    </row>
    <row r="1827" spans="1:6" x14ac:dyDescent="0.2">
      <c r="A1827" s="275"/>
      <c r="B1827" s="78"/>
      <c r="C1827" s="189"/>
      <c r="D1827" s="185"/>
      <c r="E1827" s="186"/>
      <c r="F1827" s="187"/>
    </row>
    <row r="1828" spans="1:6" x14ac:dyDescent="0.2">
      <c r="A1828" s="275"/>
      <c r="B1828" s="78"/>
      <c r="C1828" s="189"/>
      <c r="D1828" s="185"/>
      <c r="E1828" s="186"/>
      <c r="F1828" s="187"/>
    </row>
    <row r="1829" spans="1:6" x14ac:dyDescent="0.2">
      <c r="A1829" s="275"/>
      <c r="B1829" s="78"/>
      <c r="C1829" s="189"/>
      <c r="D1829" s="185"/>
      <c r="E1829" s="186"/>
      <c r="F1829" s="187"/>
    </row>
    <row r="1830" spans="1:6" x14ac:dyDescent="0.2">
      <c r="A1830" s="275"/>
      <c r="B1830" s="78"/>
      <c r="C1830" s="189"/>
      <c r="D1830" s="185"/>
      <c r="E1830" s="186"/>
      <c r="F1830" s="187"/>
    </row>
    <row r="1831" spans="1:6" x14ac:dyDescent="0.2">
      <c r="A1831" s="275"/>
      <c r="B1831" s="78"/>
      <c r="C1831" s="189"/>
      <c r="D1831" s="185"/>
      <c r="E1831" s="186"/>
      <c r="F1831" s="187"/>
    </row>
    <row r="1832" spans="1:6" x14ac:dyDescent="0.2">
      <c r="A1832" s="275"/>
      <c r="B1832" s="78"/>
      <c r="C1832" s="189"/>
      <c r="D1832" s="185"/>
      <c r="E1832" s="186"/>
      <c r="F1832" s="187"/>
    </row>
    <row r="1833" spans="1:6" x14ac:dyDescent="0.2">
      <c r="A1833" s="275"/>
      <c r="B1833" s="78"/>
      <c r="C1833" s="189"/>
      <c r="D1833" s="185"/>
      <c r="E1833" s="186"/>
      <c r="F1833" s="187"/>
    </row>
    <row r="1834" spans="1:6" x14ac:dyDescent="0.2">
      <c r="A1834" s="275"/>
      <c r="B1834" s="78"/>
      <c r="C1834" s="189"/>
      <c r="D1834" s="185"/>
      <c r="E1834" s="186"/>
      <c r="F1834" s="187"/>
    </row>
    <row r="1835" spans="1:6" x14ac:dyDescent="0.2">
      <c r="A1835" s="275"/>
      <c r="B1835" s="78"/>
      <c r="C1835" s="189"/>
      <c r="D1835" s="185"/>
      <c r="E1835" s="186"/>
      <c r="F1835" s="187"/>
    </row>
    <row r="1836" spans="1:6" x14ac:dyDescent="0.2">
      <c r="A1836" s="275"/>
      <c r="B1836" s="78"/>
      <c r="C1836" s="189"/>
      <c r="D1836" s="185"/>
      <c r="E1836" s="186"/>
      <c r="F1836" s="187"/>
    </row>
    <row r="1837" spans="1:6" x14ac:dyDescent="0.2">
      <c r="A1837" s="275"/>
      <c r="B1837" s="78"/>
      <c r="C1837" s="189"/>
      <c r="D1837" s="185"/>
      <c r="E1837" s="186"/>
      <c r="F1837" s="187"/>
    </row>
    <row r="1838" spans="1:6" x14ac:dyDescent="0.2">
      <c r="A1838" s="275"/>
      <c r="B1838" s="78"/>
      <c r="C1838" s="189"/>
      <c r="D1838" s="185"/>
      <c r="E1838" s="186"/>
      <c r="F1838" s="187"/>
    </row>
  </sheetData>
  <sheetProtection algorithmName="SHA-512" hashValue="ZlfTNPK0joKLiNOn42Gn9grbxuFJskf4vS7vuvDJfazPUitNrDK7eR1f59YgfApJAPPG+D75CaZfMsSNHgABIA==" saltValue="qxK+WcfRNIDAz8KxU3S9wA==" spinCount="100000" sheet="1" objects="1" scenarios="1"/>
  <mergeCells count="6">
    <mergeCell ref="C43:E43"/>
    <mergeCell ref="B1:F1"/>
    <mergeCell ref="C20:E20"/>
    <mergeCell ref="C28:E28"/>
    <mergeCell ref="C34:E34"/>
    <mergeCell ref="C41:E41"/>
  </mergeCells>
  <dataValidations count="1">
    <dataValidation type="custom" showErrorMessage="1" errorTitle="Nepravilen vnos cene" error="Cena mora biti nenegativno število z največ dvema decimalkama!" sqref="E31:E33 E23:E27 E10:E15 E17:E19 E36:E40">
      <formula1>AND(ISNUMBER(E10),E10&gt;=0,ROUND(E10*100,6)-INT(E10*100)=0,NOT(ISBLANK(E10)))</formula1>
    </dataValidation>
  </dataValidations>
  <printOptions horizontalCentered="1"/>
  <pageMargins left="0.78740157480314965" right="0.39370078740157483" top="0.39370078740157483" bottom="0.98425196850393704" header="0.19685039370078741" footer="0.19685039370078741"/>
  <pageSetup paperSize="9" scale="89" fitToHeight="0" orientation="landscape" r:id="rId1"/>
  <headerFooter>
    <oddHeader>&amp;LRTP 110/20 kV Izola&amp;R&amp;G</oddHeader>
    <oddFooter>&amp;LDZR: Ponudbeni predračun
Datoteka: 4407.6G01.PP.rev1.xlsx&amp;R Stran: &amp;P od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J1878"/>
  <sheetViews>
    <sheetView view="pageBreakPreview" topLeftCell="A43" zoomScale="85" zoomScaleNormal="100" zoomScaleSheetLayoutView="85" workbookViewId="0">
      <selection activeCell="E53" sqref="E53"/>
    </sheetView>
  </sheetViews>
  <sheetFormatPr defaultColWidth="6.7109375" defaultRowHeight="12.75" x14ac:dyDescent="0.2"/>
  <cols>
    <col min="1" max="1" width="7.85546875" style="190" customWidth="1"/>
    <col min="2" max="2" width="99.140625" style="179" customWidth="1"/>
    <col min="3" max="3" width="9" style="191" customWidth="1"/>
    <col min="4" max="4" width="11.42578125" style="192" customWidth="1"/>
    <col min="5" max="5" width="12.7109375" style="193" customWidth="1"/>
    <col min="6" max="6" width="13.5703125" style="194" customWidth="1"/>
    <col min="7" max="16384" width="6.7109375" style="78"/>
  </cols>
  <sheetData>
    <row r="1" spans="1:6" ht="15.95" customHeight="1" thickBot="1" x14ac:dyDescent="0.3">
      <c r="A1" s="7"/>
      <c r="B1" s="329"/>
      <c r="C1" s="329"/>
      <c r="D1" s="329"/>
      <c r="E1" s="329"/>
      <c r="F1" s="329"/>
    </row>
    <row r="2" spans="1:6" ht="32.450000000000003" customHeight="1" x14ac:dyDescent="0.2">
      <c r="A2" s="1" t="s">
        <v>1</v>
      </c>
      <c r="B2" s="2" t="s">
        <v>1741</v>
      </c>
      <c r="C2" s="3" t="s">
        <v>1742</v>
      </c>
      <c r="D2" s="4" t="s">
        <v>1743</v>
      </c>
      <c r="E2" s="5" t="s">
        <v>1744</v>
      </c>
      <c r="F2" s="6" t="s">
        <v>1745</v>
      </c>
    </row>
    <row r="3" spans="1:6" ht="15" x14ac:dyDescent="0.2">
      <c r="A3" s="21" t="s">
        <v>2028</v>
      </c>
      <c r="B3" s="22" t="s">
        <v>2029</v>
      </c>
      <c r="C3" s="23"/>
      <c r="D3" s="24"/>
      <c r="E3" s="25"/>
      <c r="F3" s="26"/>
    </row>
    <row r="4" spans="1:6" ht="42.75" x14ac:dyDescent="0.2">
      <c r="A4" s="21"/>
      <c r="B4" s="201" t="s">
        <v>1747</v>
      </c>
      <c r="C4" s="23"/>
      <c r="D4" s="24"/>
      <c r="E4" s="25"/>
      <c r="F4" s="26"/>
    </row>
    <row r="5" spans="1:6" ht="57" x14ac:dyDescent="0.2">
      <c r="A5" s="21"/>
      <c r="B5" s="17" t="str">
        <f>'2.2'!B5</f>
        <v xml:space="preserve">Vsi odpadki, ki bodo nastali pri izvedbi, bodo naloženi na prevozno sredstvo in odpeljani na stalno gradbeno deponijo nenevarnih odpadkov uradnega zbiralca odpadkov. Upoštevati vsa potrebna dela in stroške v zvezi z deponiranjem. Vsi odpadki, ki bodo ponovno uporabljeni pri izvedbi, bodo naloženi na prevozno sredstvo in pripeljani na gradbišče. </v>
      </c>
      <c r="C5" s="23"/>
      <c r="D5" s="24"/>
      <c r="E5" s="25"/>
      <c r="F5" s="26"/>
    </row>
    <row r="6" spans="1:6" ht="28.5" x14ac:dyDescent="0.2">
      <c r="A6" s="29" t="s">
        <v>2030</v>
      </c>
      <c r="B6" s="17" t="s">
        <v>2031</v>
      </c>
      <c r="C6" s="15" t="s">
        <v>2032</v>
      </c>
      <c r="D6" s="16">
        <v>6</v>
      </c>
      <c r="E6" s="31">
        <v>0</v>
      </c>
      <c r="F6" s="28">
        <f>ROUND(D6*E6,2)</f>
        <v>0</v>
      </c>
    </row>
    <row r="7" spans="1:6" ht="28.5" x14ac:dyDescent="0.2">
      <c r="A7" s="29" t="s">
        <v>2033</v>
      </c>
      <c r="B7" s="17" t="s">
        <v>2034</v>
      </c>
      <c r="C7" s="15" t="s">
        <v>1780</v>
      </c>
      <c r="D7" s="16">
        <v>1500</v>
      </c>
      <c r="E7" s="31">
        <v>0</v>
      </c>
      <c r="F7" s="28">
        <f>ROUND(D7*E7,2)</f>
        <v>0</v>
      </c>
    </row>
    <row r="8" spans="1:6" ht="14.25" x14ac:dyDescent="0.2">
      <c r="A8" s="29" t="s">
        <v>2035</v>
      </c>
      <c r="B8" s="17" t="s">
        <v>2036</v>
      </c>
      <c r="C8" s="15" t="s">
        <v>1826</v>
      </c>
      <c r="D8" s="16">
        <v>1</v>
      </c>
      <c r="E8" s="31">
        <v>0</v>
      </c>
      <c r="F8" s="28">
        <f>ROUND(D8*E8,2)</f>
        <v>0</v>
      </c>
    </row>
    <row r="9" spans="1:6" ht="28.5" x14ac:dyDescent="0.2">
      <c r="A9" s="29" t="s">
        <v>2037</v>
      </c>
      <c r="B9" s="17" t="s">
        <v>2038</v>
      </c>
      <c r="C9" s="15"/>
      <c r="D9" s="16"/>
      <c r="E9" s="25"/>
      <c r="F9" s="26"/>
    </row>
    <row r="10" spans="1:6" ht="14.25" x14ac:dyDescent="0.2">
      <c r="A10" s="29" t="s">
        <v>1761</v>
      </c>
      <c r="B10" s="17" t="s">
        <v>2039</v>
      </c>
      <c r="C10" s="15" t="s">
        <v>1800</v>
      </c>
      <c r="D10" s="16">
        <v>36</v>
      </c>
      <c r="E10" s="31">
        <v>0</v>
      </c>
      <c r="F10" s="28">
        <f>ROUND(D10*E10,2)</f>
        <v>0</v>
      </c>
    </row>
    <row r="11" spans="1:6" ht="14.25" x14ac:dyDescent="0.2">
      <c r="A11" s="29" t="s">
        <v>1774</v>
      </c>
      <c r="B11" s="17" t="s">
        <v>2040</v>
      </c>
      <c r="C11" s="15" t="s">
        <v>1800</v>
      </c>
      <c r="D11" s="16">
        <v>34</v>
      </c>
      <c r="E11" s="31">
        <v>0</v>
      </c>
      <c r="F11" s="28">
        <f>ROUND(D11*E11,2)</f>
        <v>0</v>
      </c>
    </row>
    <row r="12" spans="1:6" ht="14.25" x14ac:dyDescent="0.2">
      <c r="A12" s="29" t="s">
        <v>1873</v>
      </c>
      <c r="B12" s="17" t="s">
        <v>2041</v>
      </c>
      <c r="C12" s="15" t="s">
        <v>1826</v>
      </c>
      <c r="D12" s="16">
        <v>6</v>
      </c>
      <c r="E12" s="31">
        <v>0</v>
      </c>
      <c r="F12" s="28">
        <f>ROUND(D12*E12,2)</f>
        <v>0</v>
      </c>
    </row>
    <row r="13" spans="1:6" ht="14.25" x14ac:dyDescent="0.2">
      <c r="A13" s="29" t="s">
        <v>1875</v>
      </c>
      <c r="B13" s="17" t="s">
        <v>2042</v>
      </c>
      <c r="C13" s="15" t="s">
        <v>1826</v>
      </c>
      <c r="D13" s="16">
        <v>2</v>
      </c>
      <c r="E13" s="31">
        <v>0</v>
      </c>
      <c r="F13" s="28">
        <f>ROUND(D13*E13,2)</f>
        <v>0</v>
      </c>
    </row>
    <row r="14" spans="1:6" ht="15" x14ac:dyDescent="0.2">
      <c r="A14" s="29" t="s">
        <v>2043</v>
      </c>
      <c r="B14" s="17" t="s">
        <v>2044</v>
      </c>
      <c r="C14" s="15"/>
      <c r="D14" s="16"/>
      <c r="E14" s="25"/>
      <c r="F14" s="26"/>
    </row>
    <row r="15" spans="1:6" ht="14.25" x14ac:dyDescent="0.2">
      <c r="A15" s="29" t="s">
        <v>1761</v>
      </c>
      <c r="B15" s="17" t="s">
        <v>2045</v>
      </c>
      <c r="C15" s="15" t="s">
        <v>1756</v>
      </c>
      <c r="D15" s="16">
        <v>120</v>
      </c>
      <c r="E15" s="31">
        <v>0</v>
      </c>
      <c r="F15" s="28">
        <f>ROUND(D15*E15,2)</f>
        <v>0</v>
      </c>
    </row>
    <row r="16" spans="1:6" ht="14.25" x14ac:dyDescent="0.2">
      <c r="A16" s="29" t="s">
        <v>1774</v>
      </c>
      <c r="B16" s="17" t="s">
        <v>2046</v>
      </c>
      <c r="C16" s="15" t="s">
        <v>1756</v>
      </c>
      <c r="D16" s="16">
        <v>15</v>
      </c>
      <c r="E16" s="31">
        <v>0</v>
      </c>
      <c r="F16" s="28">
        <f>ROUND(D16*E16,2)</f>
        <v>0</v>
      </c>
    </row>
    <row r="17" spans="1:6" ht="28.5" x14ac:dyDescent="0.2">
      <c r="A17" s="29" t="s">
        <v>2047</v>
      </c>
      <c r="B17" s="17" t="s">
        <v>2048</v>
      </c>
      <c r="C17" s="15"/>
      <c r="D17" s="16"/>
      <c r="E17" s="25"/>
      <c r="F17" s="26"/>
    </row>
    <row r="18" spans="1:6" ht="14.25" x14ac:dyDescent="0.2">
      <c r="A18" s="29" t="s">
        <v>1761</v>
      </c>
      <c r="B18" s="17" t="s">
        <v>2045</v>
      </c>
      <c r="C18" s="15" t="s">
        <v>1756</v>
      </c>
      <c r="D18" s="16">
        <v>30</v>
      </c>
      <c r="E18" s="31">
        <v>0</v>
      </c>
      <c r="F18" s="28">
        <f t="shared" ref="F18:F28" si="0">ROUND(D18*E18,2)</f>
        <v>0</v>
      </c>
    </row>
    <row r="19" spans="1:6" ht="14.25" x14ac:dyDescent="0.2">
      <c r="A19" s="29" t="s">
        <v>1774</v>
      </c>
      <c r="B19" s="17" t="s">
        <v>2046</v>
      </c>
      <c r="C19" s="15" t="s">
        <v>1756</v>
      </c>
      <c r="D19" s="16">
        <v>60</v>
      </c>
      <c r="E19" s="31">
        <v>0</v>
      </c>
      <c r="F19" s="28">
        <f t="shared" si="0"/>
        <v>0</v>
      </c>
    </row>
    <row r="20" spans="1:6" ht="14.25" x14ac:dyDescent="0.2">
      <c r="A20" s="29" t="s">
        <v>2049</v>
      </c>
      <c r="B20" s="17" t="s">
        <v>2050</v>
      </c>
      <c r="C20" s="15" t="s">
        <v>1780</v>
      </c>
      <c r="D20" s="16">
        <v>84</v>
      </c>
      <c r="E20" s="31">
        <v>0</v>
      </c>
      <c r="F20" s="28">
        <f t="shared" si="0"/>
        <v>0</v>
      </c>
    </row>
    <row r="21" spans="1:6" ht="57" x14ac:dyDescent="0.2">
      <c r="A21" s="29" t="s">
        <v>2051</v>
      </c>
      <c r="B21" s="17" t="s">
        <v>1987</v>
      </c>
      <c r="C21" s="15" t="s">
        <v>1780</v>
      </c>
      <c r="D21" s="16">
        <v>500</v>
      </c>
      <c r="E21" s="31">
        <v>0</v>
      </c>
      <c r="F21" s="28">
        <f t="shared" si="0"/>
        <v>0</v>
      </c>
    </row>
    <row r="22" spans="1:6" ht="28.5" x14ac:dyDescent="0.2">
      <c r="A22" s="29" t="s">
        <v>2052</v>
      </c>
      <c r="B22" s="17" t="s">
        <v>2053</v>
      </c>
      <c r="C22" s="15" t="s">
        <v>1756</v>
      </c>
      <c r="D22" s="16">
        <v>13</v>
      </c>
      <c r="E22" s="31">
        <v>0</v>
      </c>
      <c r="F22" s="28">
        <f t="shared" si="0"/>
        <v>0</v>
      </c>
    </row>
    <row r="23" spans="1:6" ht="28.5" x14ac:dyDescent="0.2">
      <c r="A23" s="29" t="s">
        <v>2054</v>
      </c>
      <c r="B23" s="17" t="s">
        <v>2055</v>
      </c>
      <c r="C23" s="15" t="s">
        <v>1756</v>
      </c>
      <c r="D23" s="16">
        <v>78</v>
      </c>
      <c r="E23" s="31">
        <v>0</v>
      </c>
      <c r="F23" s="28">
        <f t="shared" si="0"/>
        <v>0</v>
      </c>
    </row>
    <row r="24" spans="1:6" ht="28.5" x14ac:dyDescent="0.2">
      <c r="A24" s="29" t="s">
        <v>2056</v>
      </c>
      <c r="B24" s="17" t="s">
        <v>2057</v>
      </c>
      <c r="C24" s="15" t="s">
        <v>1756</v>
      </c>
      <c r="D24" s="16">
        <v>6</v>
      </c>
      <c r="E24" s="31">
        <v>0</v>
      </c>
      <c r="F24" s="28">
        <f t="shared" si="0"/>
        <v>0</v>
      </c>
    </row>
    <row r="25" spans="1:6" ht="28.5" x14ac:dyDescent="0.2">
      <c r="A25" s="29" t="s">
        <v>2058</v>
      </c>
      <c r="B25" s="17" t="s">
        <v>2059</v>
      </c>
      <c r="C25" s="15" t="s">
        <v>1756</v>
      </c>
      <c r="D25" s="16">
        <v>50</v>
      </c>
      <c r="E25" s="31">
        <v>0</v>
      </c>
      <c r="F25" s="28">
        <f t="shared" si="0"/>
        <v>0</v>
      </c>
    </row>
    <row r="26" spans="1:6" ht="42.75" x14ac:dyDescent="0.2">
      <c r="A26" s="29" t="s">
        <v>2060</v>
      </c>
      <c r="B26" s="17" t="s">
        <v>2061</v>
      </c>
      <c r="C26" s="15" t="s">
        <v>1756</v>
      </c>
      <c r="D26" s="16">
        <v>20</v>
      </c>
      <c r="E26" s="31">
        <v>0</v>
      </c>
      <c r="F26" s="28">
        <f t="shared" si="0"/>
        <v>0</v>
      </c>
    </row>
    <row r="27" spans="1:6" ht="71.25" x14ac:dyDescent="0.2">
      <c r="A27" s="29" t="s">
        <v>2062</v>
      </c>
      <c r="B27" s="17" t="s">
        <v>2063</v>
      </c>
      <c r="C27" s="15" t="s">
        <v>1756</v>
      </c>
      <c r="D27" s="16">
        <v>110</v>
      </c>
      <c r="E27" s="31">
        <v>0</v>
      </c>
      <c r="F27" s="28">
        <f t="shared" si="0"/>
        <v>0</v>
      </c>
    </row>
    <row r="28" spans="1:6" ht="28.5" x14ac:dyDescent="0.2">
      <c r="A28" s="29" t="s">
        <v>2064</v>
      </c>
      <c r="B28" s="17" t="s">
        <v>2065</v>
      </c>
      <c r="C28" s="15" t="s">
        <v>1756</v>
      </c>
      <c r="D28" s="16">
        <v>160</v>
      </c>
      <c r="E28" s="31">
        <v>0</v>
      </c>
      <c r="F28" s="28">
        <f t="shared" si="0"/>
        <v>0</v>
      </c>
    </row>
    <row r="29" spans="1:6" ht="28.5" x14ac:dyDescent="0.2">
      <c r="A29" s="29" t="s">
        <v>2066</v>
      </c>
      <c r="B29" s="17" t="s">
        <v>2067</v>
      </c>
      <c r="C29" s="15"/>
      <c r="D29" s="16"/>
      <c r="E29" s="25"/>
      <c r="F29" s="26"/>
    </row>
    <row r="30" spans="1:6" ht="14.25" x14ac:dyDescent="0.2">
      <c r="A30" s="29" t="s">
        <v>1761</v>
      </c>
      <c r="B30" s="17" t="s">
        <v>2068</v>
      </c>
      <c r="C30" s="15" t="s">
        <v>1800</v>
      </c>
      <c r="D30" s="16">
        <v>75</v>
      </c>
      <c r="E30" s="31">
        <v>0</v>
      </c>
      <c r="F30" s="28">
        <f>ROUND(D30*E30,2)</f>
        <v>0</v>
      </c>
    </row>
    <row r="31" spans="1:6" ht="28.5" x14ac:dyDescent="0.2">
      <c r="A31" s="29" t="s">
        <v>2069</v>
      </c>
      <c r="B31" s="17" t="s">
        <v>2070</v>
      </c>
      <c r="C31" s="15"/>
      <c r="D31" s="16"/>
      <c r="E31" s="25"/>
      <c r="F31" s="26"/>
    </row>
    <row r="32" spans="1:6" ht="14.25" x14ac:dyDescent="0.2">
      <c r="A32" s="29" t="s">
        <v>1761</v>
      </c>
      <c r="B32" s="17" t="s">
        <v>2071</v>
      </c>
      <c r="C32" s="15" t="s">
        <v>1800</v>
      </c>
      <c r="D32" s="16">
        <f>38+15</f>
        <v>53</v>
      </c>
      <c r="E32" s="31">
        <v>0</v>
      </c>
      <c r="F32" s="28">
        <f>ROUND(D32*E32,2)</f>
        <v>0</v>
      </c>
    </row>
    <row r="33" spans="1:10" ht="28.5" x14ac:dyDescent="0.2">
      <c r="A33" s="29" t="s">
        <v>2072</v>
      </c>
      <c r="B33" s="17" t="s">
        <v>2073</v>
      </c>
      <c r="C33" s="15" t="s">
        <v>1800</v>
      </c>
      <c r="D33" s="16">
        <v>20</v>
      </c>
      <c r="E33" s="31">
        <v>0</v>
      </c>
      <c r="F33" s="28">
        <f>ROUND(D33*E33,2)</f>
        <v>0</v>
      </c>
    </row>
    <row r="34" spans="1:10" ht="42.75" x14ac:dyDescent="0.2">
      <c r="A34" s="29" t="s">
        <v>2074</v>
      </c>
      <c r="B34" s="17" t="s">
        <v>2075</v>
      </c>
      <c r="C34" s="15"/>
      <c r="D34" s="16"/>
      <c r="E34" s="25"/>
      <c r="F34" s="26"/>
    </row>
    <row r="35" spans="1:10" ht="14.25" x14ac:dyDescent="0.2">
      <c r="A35" s="29" t="s">
        <v>1761</v>
      </c>
      <c r="B35" s="17" t="s">
        <v>2076</v>
      </c>
      <c r="C35" s="15" t="s">
        <v>1826</v>
      </c>
      <c r="D35" s="16">
        <v>1</v>
      </c>
      <c r="E35" s="31">
        <v>0</v>
      </c>
      <c r="F35" s="28">
        <f>ROUND(D35*E35,2)</f>
        <v>0</v>
      </c>
    </row>
    <row r="36" spans="1:10" ht="14.25" x14ac:dyDescent="0.2">
      <c r="A36" s="29" t="s">
        <v>1774</v>
      </c>
      <c r="B36" s="17" t="s">
        <v>2077</v>
      </c>
      <c r="C36" s="15" t="s">
        <v>1826</v>
      </c>
      <c r="D36" s="16">
        <v>3</v>
      </c>
      <c r="E36" s="31">
        <v>0</v>
      </c>
      <c r="F36" s="28">
        <f>ROUND(D36*E36,2)</f>
        <v>0</v>
      </c>
    </row>
    <row r="37" spans="1:10" ht="14.25" x14ac:dyDescent="0.2">
      <c r="A37" s="29" t="s">
        <v>1873</v>
      </c>
      <c r="B37" s="17" t="s">
        <v>2078</v>
      </c>
      <c r="C37" s="15" t="s">
        <v>1826</v>
      </c>
      <c r="D37" s="16">
        <v>2</v>
      </c>
      <c r="E37" s="31">
        <v>0</v>
      </c>
      <c r="F37" s="28">
        <f>ROUND(D37*E37,2)</f>
        <v>0</v>
      </c>
    </row>
    <row r="38" spans="1:10" ht="57" x14ac:dyDescent="0.2">
      <c r="A38" s="29" t="s">
        <v>2079</v>
      </c>
      <c r="B38" s="17" t="s">
        <v>2080</v>
      </c>
      <c r="C38" s="15" t="s">
        <v>1826</v>
      </c>
      <c r="D38" s="16">
        <v>4</v>
      </c>
      <c r="E38" s="31">
        <v>0</v>
      </c>
      <c r="F38" s="28">
        <f>ROUND(D38*E38,2)</f>
        <v>0</v>
      </c>
    </row>
    <row r="39" spans="1:10" ht="28.5" x14ac:dyDescent="0.25">
      <c r="A39" s="29" t="s">
        <v>2081</v>
      </c>
      <c r="B39" s="17" t="s">
        <v>2082</v>
      </c>
      <c r="C39" s="15"/>
      <c r="D39" s="16"/>
      <c r="E39" s="25"/>
      <c r="F39" s="26"/>
      <c r="G39" s="202"/>
      <c r="H39" s="203"/>
      <c r="I39" s="203"/>
      <c r="J39" s="203"/>
    </row>
    <row r="40" spans="1:10" ht="14.25" x14ac:dyDescent="0.2">
      <c r="A40" s="29" t="s">
        <v>1761</v>
      </c>
      <c r="B40" s="17" t="s">
        <v>2083</v>
      </c>
      <c r="C40" s="15" t="s">
        <v>1826</v>
      </c>
      <c r="D40" s="16">
        <v>8</v>
      </c>
      <c r="E40" s="31">
        <v>0</v>
      </c>
      <c r="F40" s="28">
        <f t="shared" ref="F40:F51" si="1">ROUND(D40*E40,2)</f>
        <v>0</v>
      </c>
    </row>
    <row r="41" spans="1:10" ht="42.75" x14ac:dyDescent="0.2">
      <c r="A41" s="29" t="s">
        <v>2084</v>
      </c>
      <c r="B41" s="17" t="s">
        <v>2085</v>
      </c>
      <c r="C41" s="15" t="s">
        <v>1826</v>
      </c>
      <c r="D41" s="16">
        <v>4</v>
      </c>
      <c r="E41" s="31">
        <v>0</v>
      </c>
      <c r="F41" s="28">
        <f t="shared" si="1"/>
        <v>0</v>
      </c>
    </row>
    <row r="42" spans="1:10" ht="57" x14ac:dyDescent="0.2">
      <c r="A42" s="29" t="s">
        <v>2086</v>
      </c>
      <c r="B42" s="17" t="s">
        <v>2087</v>
      </c>
      <c r="C42" s="15" t="s">
        <v>1826</v>
      </c>
      <c r="D42" s="16">
        <v>2</v>
      </c>
      <c r="E42" s="31">
        <v>0</v>
      </c>
      <c r="F42" s="28">
        <f t="shared" si="1"/>
        <v>0</v>
      </c>
    </row>
    <row r="43" spans="1:10" ht="85.5" x14ac:dyDescent="0.2">
      <c r="A43" s="29" t="s">
        <v>2088</v>
      </c>
      <c r="B43" s="17" t="s">
        <v>2089</v>
      </c>
      <c r="C43" s="15" t="s">
        <v>1826</v>
      </c>
      <c r="D43" s="16">
        <v>1</v>
      </c>
      <c r="E43" s="31">
        <v>0</v>
      </c>
      <c r="F43" s="28">
        <f t="shared" si="1"/>
        <v>0</v>
      </c>
    </row>
    <row r="44" spans="1:10" ht="57" x14ac:dyDescent="0.2">
      <c r="A44" s="29" t="s">
        <v>2090</v>
      </c>
      <c r="B44" s="17" t="s">
        <v>2091</v>
      </c>
      <c r="C44" s="15" t="s">
        <v>1826</v>
      </c>
      <c r="D44" s="16">
        <v>3</v>
      </c>
      <c r="E44" s="31">
        <v>0</v>
      </c>
      <c r="F44" s="28">
        <f t="shared" si="1"/>
        <v>0</v>
      </c>
    </row>
    <row r="45" spans="1:10" ht="42.75" x14ac:dyDescent="0.2">
      <c r="A45" s="29" t="s">
        <v>2092</v>
      </c>
      <c r="B45" s="17" t="s">
        <v>2093</v>
      </c>
      <c r="C45" s="15" t="s">
        <v>1800</v>
      </c>
      <c r="D45" s="16">
        <v>45</v>
      </c>
      <c r="E45" s="31">
        <v>0</v>
      </c>
      <c r="F45" s="28">
        <f t="shared" si="1"/>
        <v>0</v>
      </c>
    </row>
    <row r="46" spans="1:10" ht="156.75" x14ac:dyDescent="0.2">
      <c r="A46" s="29" t="s">
        <v>2094</v>
      </c>
      <c r="B46" s="17" t="s">
        <v>2095</v>
      </c>
      <c r="C46" s="15" t="s">
        <v>1826</v>
      </c>
      <c r="D46" s="16">
        <v>2</v>
      </c>
      <c r="E46" s="31">
        <v>0</v>
      </c>
      <c r="F46" s="28">
        <f t="shared" si="1"/>
        <v>0</v>
      </c>
    </row>
    <row r="47" spans="1:10" ht="57" x14ac:dyDescent="0.2">
      <c r="A47" s="29" t="s">
        <v>2096</v>
      </c>
      <c r="B47" s="17" t="s">
        <v>2097</v>
      </c>
      <c r="C47" s="15" t="s">
        <v>1826</v>
      </c>
      <c r="D47" s="16">
        <v>1</v>
      </c>
      <c r="E47" s="31">
        <v>0</v>
      </c>
      <c r="F47" s="28">
        <f>ROUND(D47*E47,2)</f>
        <v>0</v>
      </c>
    </row>
    <row r="48" spans="1:10" ht="42.75" x14ac:dyDescent="0.2">
      <c r="A48" s="29" t="s">
        <v>2098</v>
      </c>
      <c r="B48" s="17" t="s">
        <v>2099</v>
      </c>
      <c r="C48" s="15" t="s">
        <v>1826</v>
      </c>
      <c r="D48" s="16">
        <v>2</v>
      </c>
      <c r="E48" s="31">
        <v>0</v>
      </c>
      <c r="F48" s="28">
        <f t="shared" si="1"/>
        <v>0</v>
      </c>
    </row>
    <row r="49" spans="1:7" ht="42.75" x14ac:dyDescent="0.2">
      <c r="A49" s="29" t="s">
        <v>2100</v>
      </c>
      <c r="B49" s="17" t="s">
        <v>2101</v>
      </c>
      <c r="C49" s="15" t="s">
        <v>1800</v>
      </c>
      <c r="D49" s="16">
        <v>20</v>
      </c>
      <c r="E49" s="31">
        <v>0</v>
      </c>
      <c r="F49" s="28">
        <f t="shared" si="1"/>
        <v>0</v>
      </c>
    </row>
    <row r="50" spans="1:7" ht="14.25" x14ac:dyDescent="0.2">
      <c r="A50" s="29" t="s">
        <v>2102</v>
      </c>
      <c r="B50" s="17" t="s">
        <v>2103</v>
      </c>
      <c r="C50" s="15" t="s">
        <v>1800</v>
      </c>
      <c r="D50" s="16">
        <v>120</v>
      </c>
      <c r="E50" s="31">
        <v>0</v>
      </c>
      <c r="F50" s="28">
        <f t="shared" si="1"/>
        <v>0</v>
      </c>
    </row>
    <row r="51" spans="1:7" ht="28.5" x14ac:dyDescent="0.2">
      <c r="A51" s="29" t="s">
        <v>2104</v>
      </c>
      <c r="B51" s="17" t="s">
        <v>2105</v>
      </c>
      <c r="C51" s="15" t="s">
        <v>1826</v>
      </c>
      <c r="D51" s="16">
        <v>1</v>
      </c>
      <c r="E51" s="31">
        <v>0</v>
      </c>
      <c r="F51" s="28">
        <f t="shared" si="1"/>
        <v>0</v>
      </c>
    </row>
    <row r="52" spans="1:7" ht="28.5" x14ac:dyDescent="0.2">
      <c r="A52" s="29" t="s">
        <v>2106</v>
      </c>
      <c r="B52" s="17" t="s">
        <v>2107</v>
      </c>
      <c r="C52" s="15"/>
      <c r="D52" s="16"/>
      <c r="E52" s="25"/>
      <c r="F52" s="26"/>
    </row>
    <row r="53" spans="1:7" ht="29.25" thickBot="1" x14ac:dyDescent="0.25">
      <c r="A53" s="29" t="s">
        <v>1761</v>
      </c>
      <c r="B53" s="17" t="s">
        <v>2108</v>
      </c>
      <c r="C53" s="15" t="s">
        <v>1800</v>
      </c>
      <c r="D53" s="16">
        <v>5</v>
      </c>
      <c r="E53" s="31">
        <v>0</v>
      </c>
      <c r="F53" s="28">
        <f>ROUND(D53*E53,2)</f>
        <v>0</v>
      </c>
    </row>
    <row r="54" spans="1:7" ht="35.25" customHeight="1" thickBot="1" x14ac:dyDescent="0.3">
      <c r="A54" s="264"/>
      <c r="B54" s="268"/>
      <c r="C54" s="336" t="s">
        <v>2109</v>
      </c>
      <c r="D54" s="337"/>
      <c r="E54" s="338"/>
      <c r="F54" s="18">
        <f>SUM(F6:F53)</f>
        <v>0</v>
      </c>
      <c r="G54" s="8"/>
    </row>
    <row r="55" spans="1:7" ht="18" x14ac:dyDescent="0.25">
      <c r="A55" s="182"/>
      <c r="B55" s="183"/>
      <c r="C55" s="184"/>
      <c r="D55" s="185"/>
      <c r="E55" s="186"/>
      <c r="F55" s="187"/>
      <c r="G55" s="8"/>
    </row>
    <row r="56" spans="1:7" ht="18" x14ac:dyDescent="0.25">
      <c r="A56" s="182"/>
      <c r="B56" s="183"/>
      <c r="C56" s="184"/>
      <c r="D56" s="185"/>
      <c r="E56" s="186"/>
      <c r="F56" s="187"/>
      <c r="G56" s="8"/>
    </row>
    <row r="57" spans="1:7" ht="18" x14ac:dyDescent="0.25">
      <c r="A57" s="182"/>
      <c r="B57" s="183"/>
      <c r="C57" s="184"/>
      <c r="D57" s="185"/>
      <c r="E57" s="186"/>
      <c r="F57" s="187"/>
      <c r="G57" s="8"/>
    </row>
    <row r="58" spans="1:7" x14ac:dyDescent="0.2">
      <c r="A58" s="275"/>
      <c r="B58" s="78"/>
      <c r="C58" s="189"/>
      <c r="D58" s="185"/>
      <c r="E58" s="186"/>
      <c r="F58" s="187"/>
    </row>
    <row r="59" spans="1:7" x14ac:dyDescent="0.2">
      <c r="A59" s="275"/>
      <c r="B59" s="78"/>
      <c r="C59" s="189"/>
      <c r="D59" s="185"/>
      <c r="E59" s="186"/>
      <c r="F59" s="187"/>
    </row>
    <row r="60" spans="1:7" x14ac:dyDescent="0.2">
      <c r="A60" s="275"/>
      <c r="B60" s="78"/>
      <c r="C60" s="189"/>
      <c r="D60" s="185"/>
      <c r="E60" s="186"/>
      <c r="F60" s="187"/>
    </row>
    <row r="61" spans="1:7" x14ac:dyDescent="0.2">
      <c r="A61" s="275"/>
      <c r="B61" s="78"/>
      <c r="C61" s="189"/>
      <c r="D61" s="185"/>
      <c r="E61" s="186"/>
      <c r="F61" s="187"/>
    </row>
    <row r="62" spans="1:7" x14ac:dyDescent="0.2">
      <c r="A62" s="275"/>
      <c r="B62" s="78"/>
      <c r="C62" s="189"/>
      <c r="D62" s="185"/>
      <c r="E62" s="186"/>
      <c r="F62" s="187"/>
    </row>
    <row r="63" spans="1:7" x14ac:dyDescent="0.2">
      <c r="A63" s="275"/>
      <c r="B63" s="78"/>
      <c r="C63" s="189"/>
      <c r="D63" s="185"/>
      <c r="E63" s="186"/>
      <c r="F63" s="187"/>
    </row>
    <row r="64" spans="1:7" x14ac:dyDescent="0.2">
      <c r="A64" s="275"/>
      <c r="B64" s="78"/>
      <c r="C64" s="189"/>
      <c r="D64" s="185"/>
      <c r="E64" s="186"/>
      <c r="F64" s="187"/>
    </row>
    <row r="65" spans="1:6" x14ac:dyDescent="0.2">
      <c r="A65" s="275"/>
      <c r="B65" s="78"/>
      <c r="C65" s="189"/>
      <c r="D65" s="185"/>
      <c r="E65" s="186"/>
      <c r="F65" s="187"/>
    </row>
    <row r="66" spans="1:6" x14ac:dyDescent="0.2">
      <c r="A66" s="275"/>
      <c r="B66" s="78"/>
      <c r="C66" s="189"/>
      <c r="D66" s="185"/>
      <c r="E66" s="186"/>
      <c r="F66" s="187"/>
    </row>
    <row r="67" spans="1:6" x14ac:dyDescent="0.2">
      <c r="A67" s="275"/>
      <c r="B67" s="78"/>
      <c r="C67" s="189"/>
      <c r="D67" s="185"/>
      <c r="E67" s="186"/>
      <c r="F67" s="187"/>
    </row>
    <row r="68" spans="1:6" x14ac:dyDescent="0.2">
      <c r="A68" s="275"/>
      <c r="B68" s="78"/>
      <c r="C68" s="189"/>
      <c r="D68" s="185"/>
      <c r="E68" s="186"/>
      <c r="F68" s="187"/>
    </row>
    <row r="69" spans="1:6" x14ac:dyDescent="0.2">
      <c r="A69" s="275"/>
      <c r="B69" s="78"/>
      <c r="C69" s="189"/>
      <c r="D69" s="185"/>
      <c r="E69" s="186"/>
      <c r="F69" s="187"/>
    </row>
    <row r="70" spans="1:6" x14ac:dyDescent="0.2">
      <c r="A70" s="275"/>
      <c r="B70" s="78"/>
      <c r="C70" s="189"/>
      <c r="D70" s="185"/>
      <c r="E70" s="186"/>
      <c r="F70" s="187"/>
    </row>
    <row r="71" spans="1:6" x14ac:dyDescent="0.2">
      <c r="A71" s="275"/>
      <c r="B71" s="78"/>
      <c r="C71" s="189"/>
      <c r="D71" s="185"/>
      <c r="E71" s="186"/>
      <c r="F71" s="187"/>
    </row>
    <row r="72" spans="1:6" x14ac:dyDescent="0.2">
      <c r="A72" s="275"/>
      <c r="B72" s="78"/>
      <c r="C72" s="189"/>
      <c r="D72" s="185"/>
      <c r="E72" s="186"/>
      <c r="F72" s="187"/>
    </row>
    <row r="73" spans="1:6" x14ac:dyDescent="0.2">
      <c r="A73" s="275"/>
      <c r="B73" s="78"/>
      <c r="C73" s="189"/>
      <c r="D73" s="185"/>
      <c r="E73" s="186"/>
      <c r="F73" s="187"/>
    </row>
    <row r="74" spans="1:6" x14ac:dyDescent="0.2">
      <c r="A74" s="275"/>
      <c r="B74" s="78"/>
      <c r="C74" s="189"/>
      <c r="D74" s="185"/>
      <c r="E74" s="186"/>
      <c r="F74" s="187"/>
    </row>
    <row r="75" spans="1:6" x14ac:dyDescent="0.2">
      <c r="A75" s="275"/>
      <c r="B75" s="78"/>
      <c r="C75" s="189"/>
      <c r="D75" s="185"/>
      <c r="E75" s="186"/>
      <c r="F75" s="187"/>
    </row>
    <row r="76" spans="1:6" x14ac:dyDescent="0.2">
      <c r="A76" s="275"/>
      <c r="B76" s="78"/>
      <c r="C76" s="189"/>
      <c r="D76" s="185"/>
      <c r="E76" s="186"/>
      <c r="F76" s="187"/>
    </row>
    <row r="77" spans="1:6" x14ac:dyDescent="0.2">
      <c r="A77" s="275"/>
      <c r="B77" s="78"/>
      <c r="C77" s="189"/>
      <c r="D77" s="185"/>
      <c r="E77" s="186"/>
      <c r="F77" s="187"/>
    </row>
    <row r="78" spans="1:6" x14ac:dyDescent="0.2">
      <c r="A78" s="275"/>
      <c r="B78" s="78"/>
      <c r="C78" s="189"/>
      <c r="D78" s="185"/>
      <c r="E78" s="186"/>
      <c r="F78" s="187"/>
    </row>
    <row r="79" spans="1:6" x14ac:dyDescent="0.2">
      <c r="A79" s="275"/>
      <c r="B79" s="78"/>
      <c r="C79" s="189"/>
      <c r="D79" s="185"/>
      <c r="E79" s="186"/>
      <c r="F79" s="187"/>
    </row>
    <row r="80" spans="1:6" x14ac:dyDescent="0.2">
      <c r="A80" s="275"/>
      <c r="B80" s="78"/>
      <c r="C80" s="189"/>
      <c r="D80" s="185"/>
      <c r="E80" s="186"/>
      <c r="F80" s="187"/>
    </row>
    <row r="81" spans="1:6" x14ac:dyDescent="0.2">
      <c r="A81" s="275"/>
      <c r="B81" s="78"/>
      <c r="C81" s="189"/>
      <c r="D81" s="185"/>
      <c r="E81" s="186"/>
      <c r="F81" s="187"/>
    </row>
    <row r="82" spans="1:6" x14ac:dyDescent="0.2">
      <c r="A82" s="275"/>
      <c r="B82" s="78"/>
      <c r="C82" s="189"/>
      <c r="D82" s="185"/>
      <c r="E82" s="186"/>
      <c r="F82" s="187"/>
    </row>
    <row r="83" spans="1:6" x14ac:dyDescent="0.2">
      <c r="A83" s="275"/>
      <c r="B83" s="78"/>
      <c r="C83" s="189"/>
      <c r="D83" s="185"/>
      <c r="E83" s="186"/>
      <c r="F83" s="187"/>
    </row>
    <row r="84" spans="1:6" x14ac:dyDescent="0.2">
      <c r="A84" s="275"/>
      <c r="B84" s="78"/>
      <c r="C84" s="189"/>
      <c r="D84" s="185"/>
      <c r="E84" s="186"/>
      <c r="F84" s="187"/>
    </row>
    <row r="85" spans="1:6" x14ac:dyDescent="0.2">
      <c r="A85" s="275"/>
      <c r="B85" s="78"/>
      <c r="C85" s="189"/>
      <c r="D85" s="185"/>
      <c r="E85" s="186"/>
      <c r="F85" s="187"/>
    </row>
    <row r="86" spans="1:6" x14ac:dyDescent="0.2">
      <c r="A86" s="275"/>
      <c r="B86" s="78"/>
      <c r="C86" s="189"/>
      <c r="D86" s="185"/>
      <c r="E86" s="186"/>
      <c r="F86" s="187"/>
    </row>
    <row r="87" spans="1:6" x14ac:dyDescent="0.2">
      <c r="A87" s="275"/>
      <c r="B87" s="78"/>
      <c r="C87" s="189"/>
      <c r="D87" s="185"/>
      <c r="E87" s="186"/>
      <c r="F87" s="187"/>
    </row>
    <row r="88" spans="1:6" x14ac:dyDescent="0.2">
      <c r="A88" s="275"/>
      <c r="B88" s="78"/>
      <c r="C88" s="189"/>
      <c r="D88" s="185"/>
      <c r="E88" s="186"/>
      <c r="F88" s="187"/>
    </row>
    <row r="89" spans="1:6" x14ac:dyDescent="0.2">
      <c r="A89" s="275"/>
      <c r="B89" s="78"/>
      <c r="C89" s="189"/>
      <c r="D89" s="185"/>
      <c r="E89" s="186"/>
      <c r="F89" s="187"/>
    </row>
    <row r="90" spans="1:6" x14ac:dyDescent="0.2">
      <c r="A90" s="275"/>
      <c r="B90" s="78"/>
      <c r="C90" s="189"/>
      <c r="D90" s="185"/>
      <c r="E90" s="186"/>
      <c r="F90" s="187"/>
    </row>
    <row r="91" spans="1:6" x14ac:dyDescent="0.2">
      <c r="A91" s="275"/>
      <c r="B91" s="78"/>
      <c r="C91" s="189"/>
      <c r="D91" s="185"/>
      <c r="E91" s="186"/>
      <c r="F91" s="187"/>
    </row>
    <row r="92" spans="1:6" x14ac:dyDescent="0.2">
      <c r="A92" s="275"/>
      <c r="B92" s="78"/>
      <c r="C92" s="189"/>
      <c r="D92" s="185"/>
      <c r="E92" s="186"/>
      <c r="F92" s="187"/>
    </row>
    <row r="93" spans="1:6" x14ac:dyDescent="0.2">
      <c r="A93" s="275"/>
      <c r="B93" s="78"/>
      <c r="C93" s="189"/>
      <c r="D93" s="185"/>
      <c r="E93" s="186"/>
      <c r="F93" s="187"/>
    </row>
    <row r="94" spans="1:6" x14ac:dyDescent="0.2">
      <c r="A94" s="275"/>
      <c r="B94" s="78"/>
      <c r="C94" s="189"/>
      <c r="D94" s="185"/>
      <c r="E94" s="186"/>
      <c r="F94" s="187"/>
    </row>
    <row r="95" spans="1:6" x14ac:dyDescent="0.2">
      <c r="A95" s="275"/>
      <c r="B95" s="78"/>
      <c r="C95" s="189"/>
      <c r="D95" s="185"/>
      <c r="E95" s="186"/>
      <c r="F95" s="187"/>
    </row>
    <row r="96" spans="1:6" x14ac:dyDescent="0.2">
      <c r="A96" s="275"/>
      <c r="B96" s="78"/>
      <c r="C96" s="189"/>
      <c r="D96" s="185"/>
      <c r="E96" s="186"/>
      <c r="F96" s="187"/>
    </row>
    <row r="97" spans="1:6" x14ac:dyDescent="0.2">
      <c r="A97" s="275"/>
      <c r="B97" s="78"/>
      <c r="C97" s="189"/>
      <c r="D97" s="185"/>
      <c r="E97" s="186"/>
      <c r="F97" s="187"/>
    </row>
    <row r="98" spans="1:6" x14ac:dyDescent="0.2">
      <c r="A98" s="275"/>
      <c r="B98" s="78"/>
      <c r="C98" s="189"/>
      <c r="D98" s="185"/>
      <c r="E98" s="186"/>
      <c r="F98" s="187"/>
    </row>
    <row r="99" spans="1:6" x14ac:dyDescent="0.2">
      <c r="A99" s="275"/>
      <c r="B99" s="78"/>
      <c r="C99" s="189"/>
      <c r="D99" s="185"/>
      <c r="E99" s="186"/>
      <c r="F99" s="187"/>
    </row>
    <row r="100" spans="1:6" x14ac:dyDescent="0.2">
      <c r="A100" s="275"/>
      <c r="B100" s="78"/>
      <c r="C100" s="189"/>
      <c r="D100" s="185"/>
      <c r="E100" s="186"/>
      <c r="F100" s="187"/>
    </row>
    <row r="101" spans="1:6" x14ac:dyDescent="0.2">
      <c r="A101" s="275"/>
      <c r="B101" s="78"/>
      <c r="C101" s="189"/>
      <c r="D101" s="185"/>
      <c r="E101" s="186"/>
      <c r="F101" s="187"/>
    </row>
    <row r="102" spans="1:6" x14ac:dyDescent="0.2">
      <c r="A102" s="275"/>
      <c r="B102" s="78"/>
      <c r="C102" s="189"/>
      <c r="D102" s="185"/>
      <c r="E102" s="186"/>
      <c r="F102" s="187"/>
    </row>
    <row r="103" spans="1:6" x14ac:dyDescent="0.2">
      <c r="A103" s="275"/>
      <c r="B103" s="78"/>
      <c r="C103" s="189"/>
      <c r="D103" s="185"/>
      <c r="E103" s="186"/>
      <c r="F103" s="187"/>
    </row>
    <row r="104" spans="1:6" x14ac:dyDescent="0.2">
      <c r="A104" s="275"/>
      <c r="B104" s="78"/>
      <c r="C104" s="189"/>
      <c r="D104" s="185"/>
      <c r="E104" s="186"/>
      <c r="F104" s="187"/>
    </row>
    <row r="105" spans="1:6" x14ac:dyDescent="0.2">
      <c r="A105" s="275"/>
      <c r="B105" s="78"/>
      <c r="C105" s="189"/>
      <c r="D105" s="185"/>
      <c r="E105" s="186"/>
      <c r="F105" s="187"/>
    </row>
    <row r="106" spans="1:6" x14ac:dyDescent="0.2">
      <c r="A106" s="275"/>
      <c r="B106" s="78"/>
      <c r="C106" s="189"/>
      <c r="D106" s="185"/>
      <c r="E106" s="186"/>
      <c r="F106" s="187"/>
    </row>
    <row r="107" spans="1:6" x14ac:dyDescent="0.2">
      <c r="A107" s="275"/>
      <c r="B107" s="78"/>
      <c r="C107" s="189"/>
      <c r="D107" s="185"/>
      <c r="E107" s="186"/>
      <c r="F107" s="187"/>
    </row>
    <row r="108" spans="1:6" x14ac:dyDescent="0.2">
      <c r="A108" s="275"/>
      <c r="B108" s="78"/>
      <c r="C108" s="189"/>
      <c r="D108" s="185"/>
      <c r="E108" s="186"/>
      <c r="F108" s="187"/>
    </row>
    <row r="109" spans="1:6" x14ac:dyDescent="0.2">
      <c r="A109" s="275"/>
      <c r="B109" s="78"/>
      <c r="C109" s="189"/>
      <c r="D109" s="185"/>
      <c r="E109" s="186"/>
      <c r="F109" s="187"/>
    </row>
    <row r="110" spans="1:6" x14ac:dyDescent="0.2">
      <c r="A110" s="275"/>
      <c r="B110" s="78"/>
      <c r="C110" s="189"/>
      <c r="D110" s="185"/>
      <c r="E110" s="186"/>
      <c r="F110" s="187"/>
    </row>
    <row r="111" spans="1:6" x14ac:dyDescent="0.2">
      <c r="A111" s="275"/>
      <c r="B111" s="78"/>
      <c r="C111" s="189"/>
      <c r="D111" s="185"/>
      <c r="E111" s="186"/>
      <c r="F111" s="187"/>
    </row>
    <row r="112" spans="1:6" x14ac:dyDescent="0.2">
      <c r="A112" s="275"/>
      <c r="B112" s="78"/>
      <c r="C112" s="189"/>
      <c r="D112" s="185"/>
      <c r="E112" s="186"/>
      <c r="F112" s="187"/>
    </row>
    <row r="113" spans="1:6" x14ac:dyDescent="0.2">
      <c r="A113" s="275"/>
      <c r="B113" s="78"/>
      <c r="C113" s="189"/>
      <c r="D113" s="185"/>
      <c r="E113" s="186"/>
      <c r="F113" s="187"/>
    </row>
    <row r="114" spans="1:6" x14ac:dyDescent="0.2">
      <c r="A114" s="275"/>
      <c r="B114" s="78"/>
      <c r="C114" s="189"/>
      <c r="D114" s="185"/>
      <c r="E114" s="186"/>
      <c r="F114" s="187"/>
    </row>
    <row r="115" spans="1:6" x14ac:dyDescent="0.2">
      <c r="A115" s="275"/>
      <c r="B115" s="78"/>
      <c r="C115" s="189"/>
      <c r="D115" s="185"/>
      <c r="E115" s="186"/>
      <c r="F115" s="187"/>
    </row>
    <row r="116" spans="1:6" x14ac:dyDescent="0.2">
      <c r="A116" s="275"/>
      <c r="B116" s="78"/>
      <c r="C116" s="189"/>
      <c r="D116" s="185"/>
      <c r="E116" s="186"/>
      <c r="F116" s="187"/>
    </row>
    <row r="117" spans="1:6" x14ac:dyDescent="0.2">
      <c r="A117" s="275"/>
      <c r="B117" s="78"/>
      <c r="C117" s="189"/>
      <c r="D117" s="185"/>
      <c r="E117" s="186"/>
      <c r="F117" s="187"/>
    </row>
    <row r="118" spans="1:6" x14ac:dyDescent="0.2">
      <c r="A118" s="275"/>
      <c r="B118" s="78"/>
      <c r="C118" s="189"/>
      <c r="D118" s="185"/>
      <c r="E118" s="186"/>
      <c r="F118" s="187"/>
    </row>
    <row r="119" spans="1:6" x14ac:dyDescent="0.2">
      <c r="A119" s="275"/>
      <c r="B119" s="78"/>
      <c r="C119" s="189"/>
      <c r="D119" s="185"/>
      <c r="E119" s="186"/>
      <c r="F119" s="187"/>
    </row>
    <row r="120" spans="1:6" x14ac:dyDescent="0.2">
      <c r="A120" s="275"/>
      <c r="B120" s="78"/>
      <c r="C120" s="189"/>
      <c r="D120" s="185"/>
      <c r="E120" s="186"/>
      <c r="F120" s="187"/>
    </row>
    <row r="121" spans="1:6" x14ac:dyDescent="0.2">
      <c r="A121" s="275"/>
      <c r="B121" s="78"/>
      <c r="C121" s="189"/>
      <c r="D121" s="185"/>
      <c r="E121" s="186"/>
      <c r="F121" s="187"/>
    </row>
    <row r="122" spans="1:6" x14ac:dyDescent="0.2">
      <c r="A122" s="275"/>
      <c r="B122" s="78"/>
      <c r="C122" s="189"/>
      <c r="D122" s="185"/>
      <c r="E122" s="186"/>
      <c r="F122" s="187"/>
    </row>
    <row r="123" spans="1:6" x14ac:dyDescent="0.2">
      <c r="A123" s="275"/>
      <c r="B123" s="78"/>
      <c r="C123" s="189"/>
      <c r="D123" s="185"/>
      <c r="E123" s="186"/>
      <c r="F123" s="187"/>
    </row>
    <row r="124" spans="1:6" x14ac:dyDescent="0.2">
      <c r="A124" s="275"/>
      <c r="B124" s="78"/>
      <c r="C124" s="189"/>
      <c r="D124" s="185"/>
      <c r="E124" s="186"/>
      <c r="F124" s="187"/>
    </row>
    <row r="125" spans="1:6" x14ac:dyDescent="0.2">
      <c r="A125" s="275"/>
      <c r="B125" s="78"/>
      <c r="C125" s="189"/>
      <c r="D125" s="185"/>
      <c r="E125" s="186"/>
      <c r="F125" s="187"/>
    </row>
    <row r="126" spans="1:6" x14ac:dyDescent="0.2">
      <c r="A126" s="275"/>
      <c r="B126" s="78"/>
      <c r="C126" s="189"/>
      <c r="D126" s="185"/>
      <c r="E126" s="186"/>
      <c r="F126" s="187"/>
    </row>
    <row r="127" spans="1:6" x14ac:dyDescent="0.2">
      <c r="A127" s="275"/>
      <c r="B127" s="78"/>
      <c r="C127" s="189"/>
      <c r="D127" s="185"/>
      <c r="E127" s="186"/>
      <c r="F127" s="187"/>
    </row>
    <row r="128" spans="1:6" x14ac:dyDescent="0.2">
      <c r="A128" s="275"/>
      <c r="B128" s="78"/>
      <c r="C128" s="189"/>
      <c r="D128" s="185"/>
      <c r="E128" s="186"/>
      <c r="F128" s="187"/>
    </row>
    <row r="129" spans="1:6" x14ac:dyDescent="0.2">
      <c r="A129" s="275"/>
      <c r="B129" s="78"/>
      <c r="C129" s="189"/>
      <c r="D129" s="185"/>
      <c r="E129" s="186"/>
      <c r="F129" s="187"/>
    </row>
    <row r="130" spans="1:6" x14ac:dyDescent="0.2">
      <c r="A130" s="275"/>
      <c r="B130" s="78"/>
      <c r="C130" s="189"/>
      <c r="D130" s="185"/>
      <c r="E130" s="186"/>
      <c r="F130" s="187"/>
    </row>
    <row r="131" spans="1:6" x14ac:dyDescent="0.2">
      <c r="A131" s="275"/>
      <c r="B131" s="78"/>
      <c r="C131" s="189"/>
      <c r="D131" s="185"/>
      <c r="E131" s="186"/>
      <c r="F131" s="187"/>
    </row>
    <row r="132" spans="1:6" x14ac:dyDescent="0.2">
      <c r="A132" s="275"/>
      <c r="B132" s="78"/>
      <c r="C132" s="189"/>
      <c r="D132" s="185"/>
      <c r="E132" s="186"/>
      <c r="F132" s="187"/>
    </row>
    <row r="133" spans="1:6" x14ac:dyDescent="0.2">
      <c r="A133" s="275"/>
      <c r="B133" s="78"/>
      <c r="C133" s="189"/>
      <c r="D133" s="185"/>
      <c r="E133" s="186"/>
      <c r="F133" s="187"/>
    </row>
    <row r="134" spans="1:6" x14ac:dyDescent="0.2">
      <c r="A134" s="275"/>
      <c r="B134" s="78"/>
      <c r="C134" s="189"/>
      <c r="D134" s="185"/>
      <c r="E134" s="186"/>
      <c r="F134" s="187"/>
    </row>
    <row r="135" spans="1:6" x14ac:dyDescent="0.2">
      <c r="A135" s="275"/>
      <c r="B135" s="78"/>
      <c r="C135" s="189"/>
      <c r="D135" s="185"/>
      <c r="E135" s="186"/>
      <c r="F135" s="187"/>
    </row>
    <row r="136" spans="1:6" x14ac:dyDescent="0.2">
      <c r="A136" s="275"/>
      <c r="B136" s="78"/>
      <c r="C136" s="189"/>
      <c r="D136" s="185"/>
      <c r="E136" s="186"/>
      <c r="F136" s="187"/>
    </row>
    <row r="137" spans="1:6" x14ac:dyDescent="0.2">
      <c r="A137" s="275"/>
      <c r="B137" s="78"/>
      <c r="C137" s="189"/>
      <c r="D137" s="185"/>
      <c r="E137" s="186"/>
      <c r="F137" s="187"/>
    </row>
    <row r="138" spans="1:6" x14ac:dyDescent="0.2">
      <c r="A138" s="275"/>
      <c r="B138" s="78"/>
      <c r="C138" s="189"/>
      <c r="D138" s="185"/>
      <c r="E138" s="186"/>
      <c r="F138" s="187"/>
    </row>
    <row r="139" spans="1:6" x14ac:dyDescent="0.2">
      <c r="A139" s="275"/>
      <c r="B139" s="78"/>
      <c r="C139" s="189"/>
      <c r="D139" s="185"/>
      <c r="E139" s="186"/>
      <c r="F139" s="187"/>
    </row>
    <row r="140" spans="1:6" x14ac:dyDescent="0.2">
      <c r="A140" s="275"/>
      <c r="B140" s="78"/>
      <c r="C140" s="189"/>
      <c r="D140" s="185"/>
      <c r="E140" s="186"/>
      <c r="F140" s="187"/>
    </row>
    <row r="141" spans="1:6" x14ac:dyDescent="0.2">
      <c r="A141" s="275"/>
      <c r="B141" s="78"/>
      <c r="C141" s="189"/>
      <c r="D141" s="185"/>
      <c r="E141" s="186"/>
      <c r="F141" s="187"/>
    </row>
    <row r="142" spans="1:6" x14ac:dyDescent="0.2">
      <c r="A142" s="275"/>
      <c r="B142" s="78"/>
      <c r="C142" s="189"/>
      <c r="D142" s="185"/>
      <c r="E142" s="186"/>
      <c r="F142" s="187"/>
    </row>
    <row r="143" spans="1:6" x14ac:dyDescent="0.2">
      <c r="A143" s="275"/>
      <c r="B143" s="78"/>
      <c r="C143" s="189"/>
      <c r="D143" s="185"/>
      <c r="E143" s="186"/>
      <c r="F143" s="187"/>
    </row>
    <row r="144" spans="1:6" x14ac:dyDescent="0.2">
      <c r="A144" s="275"/>
      <c r="B144" s="78"/>
      <c r="C144" s="189"/>
      <c r="D144" s="185"/>
      <c r="E144" s="186"/>
      <c r="F144" s="187"/>
    </row>
    <row r="145" spans="1:6" x14ac:dyDescent="0.2">
      <c r="A145" s="275"/>
      <c r="B145" s="78"/>
      <c r="C145" s="189"/>
      <c r="D145" s="185"/>
      <c r="E145" s="186"/>
      <c r="F145" s="187"/>
    </row>
    <row r="146" spans="1:6" x14ac:dyDescent="0.2">
      <c r="A146" s="275"/>
      <c r="B146" s="78"/>
      <c r="C146" s="189"/>
      <c r="D146" s="185"/>
      <c r="E146" s="186"/>
      <c r="F146" s="187"/>
    </row>
    <row r="147" spans="1:6" x14ac:dyDescent="0.2">
      <c r="A147" s="275"/>
      <c r="B147" s="78"/>
      <c r="C147" s="189"/>
      <c r="D147" s="185"/>
      <c r="E147" s="186"/>
      <c r="F147" s="187"/>
    </row>
    <row r="148" spans="1:6" x14ac:dyDescent="0.2">
      <c r="A148" s="275"/>
      <c r="B148" s="78"/>
      <c r="C148" s="189"/>
      <c r="D148" s="185"/>
      <c r="E148" s="186"/>
      <c r="F148" s="187"/>
    </row>
    <row r="149" spans="1:6" x14ac:dyDescent="0.2">
      <c r="A149" s="275"/>
      <c r="B149" s="78"/>
      <c r="C149" s="189"/>
      <c r="D149" s="185"/>
      <c r="E149" s="186"/>
      <c r="F149" s="187"/>
    </row>
    <row r="150" spans="1:6" x14ac:dyDescent="0.2">
      <c r="A150" s="275"/>
      <c r="B150" s="78"/>
      <c r="C150" s="189"/>
      <c r="D150" s="185"/>
      <c r="E150" s="186"/>
      <c r="F150" s="187"/>
    </row>
    <row r="151" spans="1:6" x14ac:dyDescent="0.2">
      <c r="A151" s="275"/>
      <c r="B151" s="78"/>
      <c r="C151" s="189"/>
      <c r="D151" s="185"/>
      <c r="E151" s="186"/>
      <c r="F151" s="187"/>
    </row>
    <row r="152" spans="1:6" x14ac:dyDescent="0.2">
      <c r="A152" s="275"/>
      <c r="B152" s="78"/>
      <c r="C152" s="189"/>
      <c r="D152" s="185"/>
      <c r="E152" s="186"/>
      <c r="F152" s="187"/>
    </row>
    <row r="153" spans="1:6" x14ac:dyDescent="0.2">
      <c r="A153" s="275"/>
      <c r="B153" s="78"/>
      <c r="C153" s="189"/>
      <c r="D153" s="185"/>
      <c r="E153" s="186"/>
      <c r="F153" s="187"/>
    </row>
    <row r="154" spans="1:6" x14ac:dyDescent="0.2">
      <c r="A154" s="275"/>
      <c r="B154" s="78"/>
      <c r="C154" s="189"/>
      <c r="D154" s="185"/>
      <c r="E154" s="186"/>
      <c r="F154" s="187"/>
    </row>
    <row r="155" spans="1:6" x14ac:dyDescent="0.2">
      <c r="A155" s="275"/>
      <c r="B155" s="78"/>
      <c r="C155" s="189"/>
      <c r="D155" s="185"/>
      <c r="E155" s="186"/>
      <c r="F155" s="187"/>
    </row>
    <row r="156" spans="1:6" x14ac:dyDescent="0.2">
      <c r="A156" s="275"/>
      <c r="B156" s="78"/>
      <c r="C156" s="189"/>
      <c r="D156" s="185"/>
      <c r="E156" s="186"/>
      <c r="F156" s="187"/>
    </row>
    <row r="157" spans="1:6" x14ac:dyDescent="0.2">
      <c r="A157" s="275"/>
      <c r="B157" s="78"/>
      <c r="C157" s="189"/>
      <c r="D157" s="185"/>
      <c r="E157" s="186"/>
      <c r="F157" s="187"/>
    </row>
    <row r="158" spans="1:6" x14ac:dyDescent="0.2">
      <c r="A158" s="275"/>
      <c r="B158" s="78"/>
      <c r="C158" s="189"/>
      <c r="D158" s="185"/>
      <c r="E158" s="186"/>
      <c r="F158" s="187"/>
    </row>
    <row r="159" spans="1:6" x14ac:dyDescent="0.2">
      <c r="A159" s="275"/>
      <c r="B159" s="78"/>
      <c r="C159" s="189"/>
      <c r="D159" s="185"/>
      <c r="E159" s="186"/>
      <c r="F159" s="187"/>
    </row>
    <row r="160" spans="1:6" x14ac:dyDescent="0.2">
      <c r="A160" s="275"/>
      <c r="B160" s="78"/>
      <c r="C160" s="189"/>
      <c r="D160" s="185"/>
      <c r="E160" s="186"/>
      <c r="F160" s="187"/>
    </row>
    <row r="161" spans="1:6" x14ac:dyDescent="0.2">
      <c r="A161" s="275"/>
      <c r="B161" s="78"/>
      <c r="C161" s="189"/>
      <c r="D161" s="185"/>
      <c r="E161" s="186"/>
      <c r="F161" s="187"/>
    </row>
    <row r="162" spans="1:6" x14ac:dyDescent="0.2">
      <c r="A162" s="275"/>
      <c r="B162" s="78"/>
      <c r="C162" s="189"/>
      <c r="D162" s="185"/>
      <c r="E162" s="186"/>
      <c r="F162" s="187"/>
    </row>
    <row r="163" spans="1:6" x14ac:dyDescent="0.2">
      <c r="A163" s="275"/>
      <c r="B163" s="78"/>
      <c r="C163" s="189"/>
      <c r="D163" s="185"/>
      <c r="E163" s="186"/>
      <c r="F163" s="187"/>
    </row>
    <row r="164" spans="1:6" x14ac:dyDescent="0.2">
      <c r="A164" s="275"/>
      <c r="B164" s="78"/>
      <c r="C164" s="189"/>
      <c r="D164" s="185"/>
      <c r="E164" s="186"/>
      <c r="F164" s="187"/>
    </row>
    <row r="165" spans="1:6" x14ac:dyDescent="0.2">
      <c r="A165" s="275"/>
      <c r="B165" s="78"/>
      <c r="C165" s="189"/>
      <c r="D165" s="185"/>
      <c r="E165" s="186"/>
      <c r="F165" s="187"/>
    </row>
    <row r="166" spans="1:6" x14ac:dyDescent="0.2">
      <c r="A166" s="275"/>
      <c r="B166" s="78"/>
      <c r="C166" s="189"/>
      <c r="D166" s="185"/>
      <c r="E166" s="186"/>
      <c r="F166" s="187"/>
    </row>
    <row r="167" spans="1:6" x14ac:dyDescent="0.2">
      <c r="A167" s="275"/>
      <c r="B167" s="78"/>
      <c r="C167" s="189"/>
      <c r="D167" s="185"/>
      <c r="E167" s="186"/>
      <c r="F167" s="187"/>
    </row>
    <row r="168" spans="1:6" x14ac:dyDescent="0.2">
      <c r="A168" s="275"/>
      <c r="B168" s="78"/>
      <c r="C168" s="189"/>
      <c r="D168" s="185"/>
      <c r="E168" s="186"/>
      <c r="F168" s="187"/>
    </row>
    <row r="169" spans="1:6" x14ac:dyDescent="0.2">
      <c r="A169" s="275"/>
      <c r="B169" s="78"/>
      <c r="C169" s="189"/>
      <c r="D169" s="185"/>
      <c r="E169" s="186"/>
      <c r="F169" s="187"/>
    </row>
    <row r="170" spans="1:6" x14ac:dyDescent="0.2">
      <c r="A170" s="275"/>
      <c r="B170" s="78"/>
      <c r="C170" s="189"/>
      <c r="D170" s="185"/>
      <c r="E170" s="186"/>
      <c r="F170" s="187"/>
    </row>
    <row r="171" spans="1:6" x14ac:dyDescent="0.2">
      <c r="A171" s="275"/>
      <c r="B171" s="78"/>
      <c r="C171" s="189"/>
      <c r="D171" s="185"/>
      <c r="E171" s="186"/>
      <c r="F171" s="187"/>
    </row>
    <row r="172" spans="1:6" x14ac:dyDescent="0.2">
      <c r="A172" s="275"/>
      <c r="B172" s="78"/>
      <c r="C172" s="189"/>
      <c r="D172" s="185"/>
      <c r="E172" s="186"/>
      <c r="F172" s="187"/>
    </row>
    <row r="173" spans="1:6" x14ac:dyDescent="0.2">
      <c r="A173" s="275"/>
      <c r="B173" s="78"/>
      <c r="C173" s="189"/>
      <c r="D173" s="185"/>
      <c r="E173" s="186"/>
      <c r="F173" s="187"/>
    </row>
    <row r="174" spans="1:6" x14ac:dyDescent="0.2">
      <c r="A174" s="275"/>
      <c r="B174" s="78"/>
      <c r="C174" s="189"/>
      <c r="D174" s="185"/>
      <c r="E174" s="186"/>
      <c r="F174" s="187"/>
    </row>
    <row r="175" spans="1:6" x14ac:dyDescent="0.2">
      <c r="A175" s="275"/>
      <c r="B175" s="78"/>
      <c r="C175" s="189"/>
      <c r="D175" s="185"/>
      <c r="E175" s="186"/>
      <c r="F175" s="187"/>
    </row>
    <row r="176" spans="1:6" x14ac:dyDescent="0.2">
      <c r="A176" s="275"/>
      <c r="B176" s="78"/>
      <c r="C176" s="189"/>
      <c r="D176" s="185"/>
      <c r="E176" s="186"/>
      <c r="F176" s="187"/>
    </row>
    <row r="177" spans="1:6" x14ac:dyDescent="0.2">
      <c r="A177" s="275"/>
      <c r="B177" s="78"/>
      <c r="C177" s="189"/>
      <c r="D177" s="185"/>
      <c r="E177" s="186"/>
      <c r="F177" s="187"/>
    </row>
    <row r="178" spans="1:6" x14ac:dyDescent="0.2">
      <c r="A178" s="275"/>
      <c r="B178" s="78"/>
      <c r="C178" s="189"/>
      <c r="D178" s="185"/>
      <c r="E178" s="186"/>
      <c r="F178" s="187"/>
    </row>
    <row r="179" spans="1:6" x14ac:dyDescent="0.2">
      <c r="A179" s="275"/>
      <c r="B179" s="78"/>
      <c r="C179" s="189"/>
      <c r="D179" s="185"/>
      <c r="E179" s="186"/>
      <c r="F179" s="187"/>
    </row>
    <row r="180" spans="1:6" x14ac:dyDescent="0.2">
      <c r="A180" s="275"/>
      <c r="B180" s="78"/>
      <c r="C180" s="189"/>
      <c r="D180" s="185"/>
      <c r="E180" s="186"/>
      <c r="F180" s="187"/>
    </row>
    <row r="181" spans="1:6" x14ac:dyDescent="0.2">
      <c r="A181" s="275"/>
      <c r="B181" s="78"/>
      <c r="C181" s="189"/>
      <c r="D181" s="185"/>
      <c r="E181" s="186"/>
      <c r="F181" s="187"/>
    </row>
    <row r="182" spans="1:6" x14ac:dyDescent="0.2">
      <c r="A182" s="275"/>
      <c r="B182" s="78"/>
      <c r="C182" s="189"/>
      <c r="D182" s="185"/>
      <c r="E182" s="186"/>
      <c r="F182" s="187"/>
    </row>
    <row r="183" spans="1:6" x14ac:dyDescent="0.2">
      <c r="A183" s="275"/>
      <c r="B183" s="78"/>
      <c r="C183" s="189"/>
      <c r="D183" s="185"/>
      <c r="E183" s="186"/>
      <c r="F183" s="187"/>
    </row>
    <row r="184" spans="1:6" x14ac:dyDescent="0.2">
      <c r="A184" s="275"/>
      <c r="B184" s="78"/>
      <c r="C184" s="189"/>
      <c r="D184" s="185"/>
      <c r="E184" s="186"/>
      <c r="F184" s="187"/>
    </row>
    <row r="185" spans="1:6" x14ac:dyDescent="0.2">
      <c r="A185" s="275"/>
      <c r="B185" s="78"/>
      <c r="C185" s="189"/>
      <c r="D185" s="185"/>
      <c r="E185" s="186"/>
      <c r="F185" s="187"/>
    </row>
    <row r="186" spans="1:6" x14ac:dyDescent="0.2">
      <c r="A186" s="275"/>
      <c r="B186" s="78"/>
      <c r="C186" s="189"/>
      <c r="D186" s="185"/>
      <c r="E186" s="186"/>
      <c r="F186" s="187"/>
    </row>
    <row r="187" spans="1:6" x14ac:dyDescent="0.2">
      <c r="A187" s="275"/>
      <c r="B187" s="78"/>
      <c r="C187" s="189"/>
      <c r="D187" s="185"/>
      <c r="E187" s="186"/>
      <c r="F187" s="187"/>
    </row>
    <row r="188" spans="1:6" x14ac:dyDescent="0.2">
      <c r="A188" s="275"/>
      <c r="B188" s="78"/>
      <c r="C188" s="189"/>
      <c r="D188" s="185"/>
      <c r="E188" s="186"/>
      <c r="F188" s="187"/>
    </row>
    <row r="189" spans="1:6" x14ac:dyDescent="0.2">
      <c r="A189" s="275"/>
      <c r="B189" s="78"/>
      <c r="C189" s="189"/>
      <c r="D189" s="185"/>
      <c r="E189" s="186"/>
      <c r="F189" s="187"/>
    </row>
    <row r="190" spans="1:6" x14ac:dyDescent="0.2">
      <c r="A190" s="275"/>
      <c r="B190" s="78"/>
      <c r="C190" s="189"/>
      <c r="D190" s="185"/>
      <c r="E190" s="186"/>
      <c r="F190" s="187"/>
    </row>
    <row r="191" spans="1:6" x14ac:dyDescent="0.2">
      <c r="A191" s="275"/>
      <c r="B191" s="78"/>
      <c r="C191" s="189"/>
      <c r="D191" s="185"/>
      <c r="E191" s="186"/>
      <c r="F191" s="187"/>
    </row>
    <row r="192" spans="1:6" x14ac:dyDescent="0.2">
      <c r="A192" s="275"/>
      <c r="B192" s="78"/>
      <c r="C192" s="189"/>
      <c r="D192" s="185"/>
      <c r="E192" s="186"/>
      <c r="F192" s="187"/>
    </row>
    <row r="193" spans="1:6" x14ac:dyDescent="0.2">
      <c r="A193" s="275"/>
      <c r="B193" s="78"/>
      <c r="C193" s="189"/>
      <c r="D193" s="185"/>
      <c r="E193" s="186"/>
      <c r="F193" s="187"/>
    </row>
    <row r="194" spans="1:6" x14ac:dyDescent="0.2">
      <c r="A194" s="275"/>
      <c r="B194" s="78"/>
      <c r="C194" s="189"/>
      <c r="D194" s="185"/>
      <c r="E194" s="186"/>
      <c r="F194" s="187"/>
    </row>
    <row r="195" spans="1:6" x14ac:dyDescent="0.2">
      <c r="A195" s="275"/>
      <c r="B195" s="78"/>
      <c r="C195" s="189"/>
      <c r="D195" s="185"/>
      <c r="E195" s="186"/>
      <c r="F195" s="187"/>
    </row>
    <row r="196" spans="1:6" x14ac:dyDescent="0.2">
      <c r="A196" s="275"/>
      <c r="B196" s="78"/>
      <c r="C196" s="189"/>
      <c r="D196" s="185"/>
      <c r="E196" s="186"/>
      <c r="F196" s="187"/>
    </row>
    <row r="197" spans="1:6" x14ac:dyDescent="0.2">
      <c r="A197" s="275"/>
      <c r="B197" s="78"/>
      <c r="C197" s="189"/>
      <c r="D197" s="185"/>
      <c r="E197" s="186"/>
      <c r="F197" s="187"/>
    </row>
    <row r="198" spans="1:6" x14ac:dyDescent="0.2">
      <c r="A198" s="275"/>
      <c r="B198" s="78"/>
      <c r="C198" s="189"/>
      <c r="D198" s="185"/>
      <c r="E198" s="186"/>
      <c r="F198" s="187"/>
    </row>
    <row r="199" spans="1:6" x14ac:dyDescent="0.2">
      <c r="A199" s="275"/>
      <c r="B199" s="78"/>
      <c r="C199" s="189"/>
      <c r="D199" s="185"/>
      <c r="E199" s="186"/>
      <c r="F199" s="187"/>
    </row>
    <row r="200" spans="1:6" x14ac:dyDescent="0.2">
      <c r="A200" s="275"/>
      <c r="B200" s="78"/>
      <c r="C200" s="189"/>
      <c r="D200" s="185"/>
      <c r="E200" s="186"/>
      <c r="F200" s="187"/>
    </row>
    <row r="201" spans="1:6" x14ac:dyDescent="0.2">
      <c r="A201" s="275"/>
      <c r="B201" s="78"/>
      <c r="C201" s="189"/>
      <c r="D201" s="185"/>
      <c r="E201" s="186"/>
      <c r="F201" s="187"/>
    </row>
    <row r="202" spans="1:6" x14ac:dyDescent="0.2">
      <c r="A202" s="275"/>
      <c r="B202" s="78"/>
      <c r="C202" s="189"/>
      <c r="D202" s="185"/>
      <c r="E202" s="186"/>
      <c r="F202" s="187"/>
    </row>
    <row r="203" spans="1:6" x14ac:dyDescent="0.2">
      <c r="A203" s="275"/>
      <c r="B203" s="78"/>
      <c r="C203" s="189"/>
      <c r="D203" s="185"/>
      <c r="E203" s="186"/>
      <c r="F203" s="187"/>
    </row>
    <row r="204" spans="1:6" x14ac:dyDescent="0.2">
      <c r="A204" s="275"/>
      <c r="B204" s="78"/>
      <c r="C204" s="189"/>
      <c r="D204" s="185"/>
      <c r="E204" s="186"/>
      <c r="F204" s="187"/>
    </row>
    <row r="205" spans="1:6" x14ac:dyDescent="0.2">
      <c r="A205" s="275"/>
      <c r="B205" s="78"/>
      <c r="C205" s="189"/>
      <c r="D205" s="185"/>
      <c r="E205" s="186"/>
      <c r="F205" s="187"/>
    </row>
    <row r="206" spans="1:6" x14ac:dyDescent="0.2">
      <c r="A206" s="275"/>
      <c r="B206" s="78"/>
      <c r="C206" s="189"/>
      <c r="D206" s="185"/>
      <c r="E206" s="186"/>
      <c r="F206" s="187"/>
    </row>
    <row r="207" spans="1:6" x14ac:dyDescent="0.2">
      <c r="A207" s="275"/>
      <c r="B207" s="78"/>
      <c r="C207" s="189"/>
      <c r="D207" s="185"/>
      <c r="E207" s="186"/>
      <c r="F207" s="187"/>
    </row>
    <row r="208" spans="1:6" x14ac:dyDescent="0.2">
      <c r="A208" s="275"/>
      <c r="B208" s="78"/>
      <c r="C208" s="189"/>
      <c r="D208" s="185"/>
      <c r="E208" s="186"/>
      <c r="F208" s="187"/>
    </row>
    <row r="209" spans="1:6" x14ac:dyDescent="0.2">
      <c r="A209" s="275"/>
      <c r="B209" s="78"/>
      <c r="C209" s="189"/>
      <c r="D209" s="185"/>
      <c r="E209" s="186"/>
      <c r="F209" s="187"/>
    </row>
    <row r="210" spans="1:6" x14ac:dyDescent="0.2">
      <c r="A210" s="275"/>
      <c r="B210" s="78"/>
      <c r="C210" s="189"/>
      <c r="D210" s="185"/>
      <c r="E210" s="186"/>
      <c r="F210" s="187"/>
    </row>
    <row r="211" spans="1:6" x14ac:dyDescent="0.2">
      <c r="A211" s="275"/>
      <c r="B211" s="78"/>
      <c r="C211" s="189"/>
      <c r="D211" s="185"/>
      <c r="E211" s="186"/>
      <c r="F211" s="187"/>
    </row>
    <row r="212" spans="1:6" x14ac:dyDescent="0.2">
      <c r="A212" s="275"/>
      <c r="B212" s="78"/>
      <c r="C212" s="189"/>
      <c r="D212" s="185"/>
      <c r="E212" s="186"/>
      <c r="F212" s="187"/>
    </row>
    <row r="213" spans="1:6" x14ac:dyDescent="0.2">
      <c r="A213" s="275"/>
      <c r="B213" s="78"/>
      <c r="C213" s="189"/>
      <c r="D213" s="185"/>
      <c r="E213" s="186"/>
      <c r="F213" s="187"/>
    </row>
    <row r="214" spans="1:6" x14ac:dyDescent="0.2">
      <c r="A214" s="275"/>
      <c r="B214" s="78"/>
      <c r="C214" s="189"/>
      <c r="D214" s="185"/>
      <c r="E214" s="186"/>
      <c r="F214" s="187"/>
    </row>
    <row r="215" spans="1:6" x14ac:dyDescent="0.2">
      <c r="A215" s="275"/>
      <c r="B215" s="78"/>
      <c r="C215" s="189"/>
      <c r="D215" s="185"/>
      <c r="E215" s="186"/>
      <c r="F215" s="187"/>
    </row>
    <row r="216" spans="1:6" x14ac:dyDescent="0.2">
      <c r="A216" s="275"/>
      <c r="B216" s="78"/>
      <c r="C216" s="189"/>
      <c r="D216" s="185"/>
      <c r="E216" s="186"/>
      <c r="F216" s="187"/>
    </row>
    <row r="217" spans="1:6" x14ac:dyDescent="0.2">
      <c r="A217" s="275"/>
      <c r="B217" s="78"/>
      <c r="C217" s="189"/>
      <c r="D217" s="185"/>
      <c r="E217" s="186"/>
      <c r="F217" s="187"/>
    </row>
    <row r="218" spans="1:6" x14ac:dyDescent="0.2">
      <c r="A218" s="275"/>
      <c r="B218" s="78"/>
      <c r="C218" s="189"/>
      <c r="D218" s="185"/>
      <c r="E218" s="186"/>
      <c r="F218" s="187"/>
    </row>
    <row r="219" spans="1:6" x14ac:dyDescent="0.2">
      <c r="A219" s="275"/>
      <c r="B219" s="78"/>
      <c r="C219" s="189"/>
      <c r="D219" s="185"/>
      <c r="E219" s="186"/>
      <c r="F219" s="187"/>
    </row>
    <row r="220" spans="1:6" x14ac:dyDescent="0.2">
      <c r="A220" s="275"/>
      <c r="B220" s="78"/>
      <c r="C220" s="189"/>
      <c r="D220" s="185"/>
      <c r="E220" s="186"/>
      <c r="F220" s="187"/>
    </row>
    <row r="221" spans="1:6" x14ac:dyDescent="0.2">
      <c r="A221" s="275"/>
      <c r="B221" s="78"/>
      <c r="C221" s="189"/>
      <c r="D221" s="185"/>
      <c r="E221" s="186"/>
      <c r="F221" s="187"/>
    </row>
    <row r="222" spans="1:6" x14ac:dyDescent="0.2">
      <c r="A222" s="275"/>
      <c r="B222" s="78"/>
      <c r="C222" s="189"/>
      <c r="D222" s="185"/>
      <c r="E222" s="186"/>
      <c r="F222" s="187"/>
    </row>
    <row r="223" spans="1:6" x14ac:dyDescent="0.2">
      <c r="A223" s="275"/>
      <c r="B223" s="78"/>
      <c r="C223" s="189"/>
      <c r="D223" s="185"/>
      <c r="E223" s="186"/>
      <c r="F223" s="187"/>
    </row>
    <row r="224" spans="1:6" x14ac:dyDescent="0.2">
      <c r="A224" s="275"/>
      <c r="B224" s="78"/>
      <c r="C224" s="189"/>
      <c r="D224" s="185"/>
      <c r="E224" s="186"/>
      <c r="F224" s="187"/>
    </row>
    <row r="225" spans="1:6" x14ac:dyDescent="0.2">
      <c r="A225" s="275"/>
      <c r="B225" s="78"/>
      <c r="C225" s="189"/>
      <c r="D225" s="185"/>
      <c r="E225" s="186"/>
      <c r="F225" s="187"/>
    </row>
    <row r="226" spans="1:6" x14ac:dyDescent="0.2">
      <c r="A226" s="275"/>
      <c r="B226" s="78"/>
      <c r="C226" s="189"/>
      <c r="D226" s="185"/>
      <c r="E226" s="186"/>
      <c r="F226" s="187"/>
    </row>
    <row r="227" spans="1:6" x14ac:dyDescent="0.2">
      <c r="A227" s="275"/>
      <c r="B227" s="78"/>
      <c r="C227" s="189"/>
      <c r="D227" s="185"/>
      <c r="E227" s="186"/>
      <c r="F227" s="187"/>
    </row>
    <row r="228" spans="1:6" x14ac:dyDescent="0.2">
      <c r="A228" s="275"/>
      <c r="B228" s="78"/>
      <c r="C228" s="189"/>
      <c r="D228" s="185"/>
      <c r="E228" s="186"/>
      <c r="F228" s="187"/>
    </row>
    <row r="229" spans="1:6" x14ac:dyDescent="0.2">
      <c r="A229" s="275"/>
      <c r="B229" s="78"/>
      <c r="C229" s="189"/>
      <c r="D229" s="185"/>
      <c r="E229" s="186"/>
      <c r="F229" s="187"/>
    </row>
    <row r="230" spans="1:6" x14ac:dyDescent="0.2">
      <c r="A230" s="275"/>
      <c r="B230" s="78"/>
      <c r="C230" s="189"/>
      <c r="D230" s="185"/>
      <c r="E230" s="186"/>
      <c r="F230" s="187"/>
    </row>
    <row r="231" spans="1:6" x14ac:dyDescent="0.2">
      <c r="A231" s="275"/>
      <c r="B231" s="78"/>
      <c r="C231" s="189"/>
      <c r="D231" s="185"/>
      <c r="E231" s="186"/>
      <c r="F231" s="187"/>
    </row>
    <row r="232" spans="1:6" x14ac:dyDescent="0.2">
      <c r="A232" s="275"/>
      <c r="B232" s="78"/>
      <c r="C232" s="189"/>
      <c r="D232" s="185"/>
      <c r="E232" s="186"/>
      <c r="F232" s="187"/>
    </row>
    <row r="233" spans="1:6" x14ac:dyDescent="0.2">
      <c r="A233" s="275"/>
      <c r="B233" s="78"/>
      <c r="C233" s="189"/>
      <c r="D233" s="185"/>
      <c r="E233" s="186"/>
      <c r="F233" s="187"/>
    </row>
    <row r="234" spans="1:6" x14ac:dyDescent="0.2">
      <c r="A234" s="275"/>
      <c r="B234" s="78"/>
      <c r="C234" s="189"/>
      <c r="D234" s="185"/>
      <c r="E234" s="186"/>
      <c r="F234" s="187"/>
    </row>
    <row r="235" spans="1:6" x14ac:dyDescent="0.2">
      <c r="A235" s="275"/>
      <c r="B235" s="78"/>
      <c r="C235" s="189"/>
      <c r="D235" s="185"/>
      <c r="E235" s="186"/>
      <c r="F235" s="187"/>
    </row>
    <row r="236" spans="1:6" x14ac:dyDescent="0.2">
      <c r="A236" s="275"/>
      <c r="B236" s="78"/>
      <c r="C236" s="189"/>
      <c r="D236" s="185"/>
      <c r="E236" s="186"/>
      <c r="F236" s="187"/>
    </row>
    <row r="237" spans="1:6" x14ac:dyDescent="0.2">
      <c r="A237" s="275"/>
      <c r="B237" s="78"/>
      <c r="C237" s="189"/>
      <c r="D237" s="185"/>
      <c r="E237" s="186"/>
      <c r="F237" s="187"/>
    </row>
    <row r="238" spans="1:6" x14ac:dyDescent="0.2">
      <c r="A238" s="275"/>
      <c r="B238" s="78"/>
      <c r="C238" s="189"/>
      <c r="D238" s="185"/>
      <c r="E238" s="186"/>
      <c r="F238" s="187"/>
    </row>
    <row r="239" spans="1:6" x14ac:dyDescent="0.2">
      <c r="A239" s="275"/>
      <c r="B239" s="78"/>
      <c r="C239" s="189"/>
      <c r="D239" s="185"/>
      <c r="E239" s="186"/>
      <c r="F239" s="187"/>
    </row>
    <row r="240" spans="1:6" x14ac:dyDescent="0.2">
      <c r="A240" s="275"/>
      <c r="B240" s="78"/>
      <c r="C240" s="189"/>
      <c r="D240" s="185"/>
      <c r="E240" s="186"/>
      <c r="F240" s="187"/>
    </row>
    <row r="241" spans="1:6" x14ac:dyDescent="0.2">
      <c r="A241" s="275"/>
      <c r="B241" s="78"/>
      <c r="C241" s="189"/>
      <c r="D241" s="185"/>
      <c r="E241" s="186"/>
      <c r="F241" s="187"/>
    </row>
    <row r="242" spans="1:6" x14ac:dyDescent="0.2">
      <c r="A242" s="275"/>
      <c r="B242" s="78"/>
      <c r="C242" s="189"/>
      <c r="D242" s="185"/>
      <c r="E242" s="186"/>
      <c r="F242" s="187"/>
    </row>
    <row r="243" spans="1:6" x14ac:dyDescent="0.2">
      <c r="A243" s="275"/>
      <c r="B243" s="78"/>
      <c r="C243" s="189"/>
      <c r="D243" s="185"/>
      <c r="E243" s="186"/>
      <c r="F243" s="187"/>
    </row>
    <row r="244" spans="1:6" x14ac:dyDescent="0.2">
      <c r="A244" s="275"/>
      <c r="B244" s="78"/>
      <c r="C244" s="189"/>
      <c r="D244" s="185"/>
      <c r="E244" s="186"/>
      <c r="F244" s="187"/>
    </row>
    <row r="245" spans="1:6" x14ac:dyDescent="0.2">
      <c r="A245" s="275"/>
      <c r="B245" s="78"/>
      <c r="C245" s="189"/>
      <c r="D245" s="185"/>
      <c r="E245" s="186"/>
      <c r="F245" s="187"/>
    </row>
    <row r="246" spans="1:6" x14ac:dyDescent="0.2">
      <c r="A246" s="275"/>
      <c r="B246" s="78"/>
      <c r="C246" s="189"/>
      <c r="D246" s="185"/>
      <c r="E246" s="186"/>
      <c r="F246" s="187"/>
    </row>
    <row r="247" spans="1:6" x14ac:dyDescent="0.2">
      <c r="A247" s="275"/>
      <c r="B247" s="78"/>
      <c r="C247" s="189"/>
      <c r="D247" s="185"/>
      <c r="E247" s="186"/>
      <c r="F247" s="187"/>
    </row>
    <row r="248" spans="1:6" x14ac:dyDescent="0.2">
      <c r="A248" s="275"/>
      <c r="B248" s="78"/>
      <c r="C248" s="189"/>
      <c r="D248" s="185"/>
      <c r="E248" s="186"/>
      <c r="F248" s="187"/>
    </row>
    <row r="249" spans="1:6" x14ac:dyDescent="0.2">
      <c r="A249" s="275"/>
      <c r="B249" s="78"/>
      <c r="C249" s="189"/>
      <c r="D249" s="185"/>
      <c r="E249" s="186"/>
      <c r="F249" s="187"/>
    </row>
    <row r="250" spans="1:6" x14ac:dyDescent="0.2">
      <c r="A250" s="275"/>
      <c r="B250" s="78"/>
      <c r="C250" s="189"/>
      <c r="D250" s="185"/>
      <c r="E250" s="186"/>
      <c r="F250" s="187"/>
    </row>
    <row r="251" spans="1:6" x14ac:dyDescent="0.2">
      <c r="A251" s="275"/>
      <c r="B251" s="78"/>
      <c r="C251" s="189"/>
      <c r="D251" s="185"/>
      <c r="E251" s="186"/>
      <c r="F251" s="187"/>
    </row>
    <row r="252" spans="1:6" x14ac:dyDescent="0.2">
      <c r="A252" s="275"/>
      <c r="B252" s="78"/>
      <c r="C252" s="189"/>
      <c r="D252" s="185"/>
      <c r="E252" s="186"/>
      <c r="F252" s="187"/>
    </row>
    <row r="253" spans="1:6" x14ac:dyDescent="0.2">
      <c r="A253" s="275"/>
      <c r="B253" s="78"/>
      <c r="C253" s="189"/>
      <c r="D253" s="185"/>
      <c r="E253" s="186"/>
      <c r="F253" s="187"/>
    </row>
    <row r="254" spans="1:6" x14ac:dyDescent="0.2">
      <c r="A254" s="275"/>
      <c r="B254" s="78"/>
      <c r="C254" s="189"/>
      <c r="D254" s="185"/>
      <c r="E254" s="186"/>
      <c r="F254" s="187"/>
    </row>
    <row r="255" spans="1:6" x14ac:dyDescent="0.2">
      <c r="A255" s="275"/>
      <c r="B255" s="78"/>
      <c r="C255" s="189"/>
      <c r="D255" s="185"/>
      <c r="E255" s="186"/>
      <c r="F255" s="187"/>
    </row>
    <row r="256" spans="1:6" x14ac:dyDescent="0.2">
      <c r="A256" s="275"/>
      <c r="B256" s="78"/>
      <c r="C256" s="189"/>
      <c r="D256" s="185"/>
      <c r="E256" s="186"/>
      <c r="F256" s="187"/>
    </row>
    <row r="257" spans="1:6" x14ac:dyDescent="0.2">
      <c r="A257" s="275"/>
      <c r="B257" s="78"/>
      <c r="C257" s="189"/>
      <c r="D257" s="185"/>
      <c r="E257" s="186"/>
      <c r="F257" s="187"/>
    </row>
    <row r="258" spans="1:6" x14ac:dyDescent="0.2">
      <c r="A258" s="275"/>
      <c r="B258" s="78"/>
      <c r="C258" s="189"/>
      <c r="D258" s="185"/>
      <c r="E258" s="186"/>
      <c r="F258" s="187"/>
    </row>
    <row r="259" spans="1:6" x14ac:dyDescent="0.2">
      <c r="A259" s="275"/>
      <c r="B259" s="78"/>
      <c r="C259" s="189"/>
      <c r="D259" s="185"/>
      <c r="E259" s="186"/>
      <c r="F259" s="187"/>
    </row>
    <row r="260" spans="1:6" x14ac:dyDescent="0.2">
      <c r="A260" s="275"/>
      <c r="B260" s="78"/>
      <c r="C260" s="189"/>
      <c r="D260" s="185"/>
      <c r="E260" s="186"/>
      <c r="F260" s="187"/>
    </row>
    <row r="261" spans="1:6" x14ac:dyDescent="0.2">
      <c r="A261" s="275"/>
      <c r="B261" s="78"/>
      <c r="C261" s="189"/>
      <c r="D261" s="185"/>
      <c r="E261" s="186"/>
      <c r="F261" s="187"/>
    </row>
    <row r="262" spans="1:6" x14ac:dyDescent="0.2">
      <c r="A262" s="275"/>
      <c r="B262" s="78"/>
      <c r="C262" s="189"/>
      <c r="D262" s="185"/>
      <c r="E262" s="186"/>
      <c r="F262" s="187"/>
    </row>
    <row r="263" spans="1:6" x14ac:dyDescent="0.2">
      <c r="A263" s="275"/>
      <c r="B263" s="78"/>
      <c r="C263" s="189"/>
      <c r="D263" s="185"/>
      <c r="E263" s="186"/>
      <c r="F263" s="187"/>
    </row>
    <row r="264" spans="1:6" x14ac:dyDescent="0.2">
      <c r="A264" s="275"/>
      <c r="B264" s="78"/>
      <c r="C264" s="189"/>
      <c r="D264" s="185"/>
      <c r="E264" s="186"/>
      <c r="F264" s="187"/>
    </row>
    <row r="265" spans="1:6" x14ac:dyDescent="0.2">
      <c r="A265" s="275"/>
      <c r="B265" s="78"/>
      <c r="C265" s="189"/>
      <c r="D265" s="185"/>
      <c r="E265" s="186"/>
      <c r="F265" s="187"/>
    </row>
    <row r="266" spans="1:6" x14ac:dyDescent="0.2">
      <c r="A266" s="275"/>
      <c r="B266" s="78"/>
      <c r="C266" s="189"/>
      <c r="D266" s="185"/>
      <c r="E266" s="186"/>
      <c r="F266" s="187"/>
    </row>
    <row r="267" spans="1:6" x14ac:dyDescent="0.2">
      <c r="A267" s="275"/>
      <c r="B267" s="78"/>
      <c r="C267" s="189"/>
      <c r="D267" s="185"/>
      <c r="E267" s="186"/>
      <c r="F267" s="187"/>
    </row>
    <row r="268" spans="1:6" x14ac:dyDescent="0.2">
      <c r="A268" s="275"/>
      <c r="B268" s="78"/>
      <c r="C268" s="189"/>
      <c r="D268" s="185"/>
      <c r="E268" s="186"/>
      <c r="F268" s="187"/>
    </row>
    <row r="269" spans="1:6" x14ac:dyDescent="0.2">
      <c r="A269" s="275"/>
      <c r="B269" s="78"/>
      <c r="C269" s="189"/>
      <c r="D269" s="185"/>
      <c r="E269" s="186"/>
      <c r="F269" s="187"/>
    </row>
    <row r="270" spans="1:6" x14ac:dyDescent="0.2">
      <c r="A270" s="275"/>
      <c r="B270" s="78"/>
      <c r="C270" s="189"/>
      <c r="D270" s="185"/>
      <c r="E270" s="186"/>
      <c r="F270" s="187"/>
    </row>
    <row r="271" spans="1:6" x14ac:dyDescent="0.2">
      <c r="A271" s="275"/>
      <c r="B271" s="78"/>
      <c r="C271" s="189"/>
      <c r="D271" s="185"/>
      <c r="E271" s="186"/>
      <c r="F271" s="187"/>
    </row>
    <row r="272" spans="1:6" x14ac:dyDescent="0.2">
      <c r="A272" s="275"/>
      <c r="B272" s="78"/>
      <c r="C272" s="189"/>
      <c r="D272" s="185"/>
      <c r="E272" s="186"/>
      <c r="F272" s="187"/>
    </row>
    <row r="273" spans="1:6" x14ac:dyDescent="0.2">
      <c r="A273" s="275"/>
      <c r="B273" s="78"/>
      <c r="C273" s="189"/>
      <c r="D273" s="185"/>
      <c r="E273" s="186"/>
      <c r="F273" s="187"/>
    </row>
    <row r="274" spans="1:6" x14ac:dyDescent="0.2">
      <c r="A274" s="275"/>
      <c r="B274" s="78"/>
      <c r="C274" s="189"/>
      <c r="D274" s="185"/>
      <c r="E274" s="186"/>
      <c r="F274" s="187"/>
    </row>
    <row r="275" spans="1:6" x14ac:dyDescent="0.2">
      <c r="A275" s="275"/>
      <c r="B275" s="78"/>
      <c r="C275" s="189"/>
      <c r="D275" s="185"/>
      <c r="E275" s="186"/>
      <c r="F275" s="187"/>
    </row>
    <row r="276" spans="1:6" x14ac:dyDescent="0.2">
      <c r="A276" s="275"/>
      <c r="B276" s="78"/>
      <c r="C276" s="189"/>
      <c r="D276" s="185"/>
      <c r="E276" s="186"/>
      <c r="F276" s="187"/>
    </row>
    <row r="277" spans="1:6" x14ac:dyDescent="0.2">
      <c r="A277" s="275"/>
      <c r="B277" s="78"/>
      <c r="C277" s="189"/>
      <c r="D277" s="185"/>
      <c r="E277" s="186"/>
      <c r="F277" s="187"/>
    </row>
    <row r="278" spans="1:6" x14ac:dyDescent="0.2">
      <c r="A278" s="275"/>
      <c r="B278" s="78"/>
      <c r="C278" s="189"/>
      <c r="D278" s="185"/>
      <c r="E278" s="186"/>
      <c r="F278" s="187"/>
    </row>
    <row r="279" spans="1:6" x14ac:dyDescent="0.2">
      <c r="A279" s="275"/>
      <c r="B279" s="78"/>
      <c r="C279" s="189"/>
      <c r="D279" s="185"/>
      <c r="E279" s="186"/>
      <c r="F279" s="187"/>
    </row>
    <row r="280" spans="1:6" x14ac:dyDescent="0.2">
      <c r="A280" s="275"/>
      <c r="B280" s="78"/>
      <c r="C280" s="189"/>
      <c r="D280" s="185"/>
      <c r="E280" s="186"/>
      <c r="F280" s="187"/>
    </row>
    <row r="281" spans="1:6" x14ac:dyDescent="0.2">
      <c r="A281" s="275"/>
      <c r="B281" s="78"/>
      <c r="C281" s="189"/>
      <c r="D281" s="185"/>
      <c r="E281" s="186"/>
      <c r="F281" s="187"/>
    </row>
    <row r="282" spans="1:6" x14ac:dyDescent="0.2">
      <c r="A282" s="275"/>
      <c r="B282" s="78"/>
      <c r="C282" s="189"/>
      <c r="D282" s="185"/>
      <c r="E282" s="186"/>
      <c r="F282" s="187"/>
    </row>
    <row r="283" spans="1:6" x14ac:dyDescent="0.2">
      <c r="A283" s="275"/>
      <c r="B283" s="78"/>
      <c r="C283" s="189"/>
      <c r="D283" s="185"/>
      <c r="E283" s="186"/>
      <c r="F283" s="187"/>
    </row>
    <row r="284" spans="1:6" x14ac:dyDescent="0.2">
      <c r="A284" s="275"/>
      <c r="B284" s="78"/>
      <c r="C284" s="189"/>
      <c r="D284" s="185"/>
      <c r="E284" s="186"/>
      <c r="F284" s="187"/>
    </row>
    <row r="285" spans="1:6" x14ac:dyDescent="0.2">
      <c r="A285" s="275"/>
      <c r="B285" s="78"/>
      <c r="C285" s="189"/>
      <c r="D285" s="185"/>
      <c r="E285" s="186"/>
      <c r="F285" s="187"/>
    </row>
    <row r="286" spans="1:6" x14ac:dyDescent="0.2">
      <c r="A286" s="275"/>
      <c r="B286" s="78"/>
      <c r="C286" s="189"/>
      <c r="D286" s="185"/>
      <c r="E286" s="186"/>
      <c r="F286" s="187"/>
    </row>
    <row r="287" spans="1:6" x14ac:dyDescent="0.2">
      <c r="A287" s="275"/>
      <c r="B287" s="78"/>
      <c r="C287" s="189"/>
      <c r="D287" s="185"/>
      <c r="E287" s="186"/>
      <c r="F287" s="187"/>
    </row>
    <row r="288" spans="1:6" x14ac:dyDescent="0.2">
      <c r="A288" s="275"/>
      <c r="B288" s="78"/>
      <c r="C288" s="189"/>
      <c r="D288" s="185"/>
      <c r="E288" s="186"/>
      <c r="F288" s="187"/>
    </row>
    <row r="289" spans="1:6" x14ac:dyDescent="0.2">
      <c r="A289" s="275"/>
      <c r="B289" s="78"/>
      <c r="C289" s="189"/>
      <c r="D289" s="185"/>
      <c r="E289" s="186"/>
      <c r="F289" s="187"/>
    </row>
    <row r="290" spans="1:6" x14ac:dyDescent="0.2">
      <c r="A290" s="275"/>
      <c r="B290" s="78"/>
      <c r="C290" s="189"/>
      <c r="D290" s="185"/>
      <c r="E290" s="186"/>
      <c r="F290" s="187"/>
    </row>
    <row r="291" spans="1:6" x14ac:dyDescent="0.2">
      <c r="A291" s="275"/>
      <c r="B291" s="78"/>
      <c r="C291" s="189"/>
      <c r="D291" s="185"/>
      <c r="E291" s="186"/>
      <c r="F291" s="187"/>
    </row>
    <row r="292" spans="1:6" x14ac:dyDescent="0.2">
      <c r="A292" s="275"/>
      <c r="B292" s="78"/>
      <c r="C292" s="189"/>
      <c r="D292" s="185"/>
      <c r="E292" s="186"/>
      <c r="F292" s="187"/>
    </row>
    <row r="293" spans="1:6" x14ac:dyDescent="0.2">
      <c r="A293" s="275"/>
      <c r="B293" s="78"/>
      <c r="C293" s="189"/>
      <c r="D293" s="185"/>
      <c r="E293" s="186"/>
      <c r="F293" s="187"/>
    </row>
    <row r="294" spans="1:6" x14ac:dyDescent="0.2">
      <c r="A294" s="275"/>
      <c r="B294" s="78"/>
      <c r="C294" s="189"/>
      <c r="D294" s="185"/>
      <c r="E294" s="186"/>
      <c r="F294" s="187"/>
    </row>
    <row r="295" spans="1:6" x14ac:dyDescent="0.2">
      <c r="A295" s="275"/>
      <c r="B295" s="78"/>
      <c r="C295" s="189"/>
      <c r="D295" s="185"/>
      <c r="E295" s="186"/>
      <c r="F295" s="187"/>
    </row>
    <row r="296" spans="1:6" x14ac:dyDescent="0.2">
      <c r="A296" s="275"/>
      <c r="B296" s="78"/>
      <c r="C296" s="189"/>
      <c r="D296" s="185"/>
      <c r="E296" s="186"/>
      <c r="F296" s="187"/>
    </row>
    <row r="297" spans="1:6" x14ac:dyDescent="0.2">
      <c r="A297" s="275"/>
      <c r="B297" s="78"/>
      <c r="C297" s="189"/>
      <c r="D297" s="185"/>
      <c r="E297" s="186"/>
      <c r="F297" s="187"/>
    </row>
    <row r="298" spans="1:6" x14ac:dyDescent="0.2">
      <c r="A298" s="275"/>
      <c r="B298" s="78"/>
      <c r="C298" s="189"/>
      <c r="D298" s="185"/>
      <c r="E298" s="186"/>
      <c r="F298" s="187"/>
    </row>
    <row r="299" spans="1:6" x14ac:dyDescent="0.2">
      <c r="A299" s="275"/>
      <c r="B299" s="78"/>
      <c r="C299" s="189"/>
      <c r="D299" s="185"/>
      <c r="E299" s="186"/>
      <c r="F299" s="187"/>
    </row>
    <row r="300" spans="1:6" x14ac:dyDescent="0.2">
      <c r="A300" s="275"/>
      <c r="B300" s="78"/>
      <c r="C300" s="189"/>
      <c r="D300" s="185"/>
      <c r="E300" s="186"/>
      <c r="F300" s="187"/>
    </row>
    <row r="301" spans="1:6" x14ac:dyDescent="0.2">
      <c r="A301" s="275"/>
      <c r="B301" s="78"/>
      <c r="C301" s="189"/>
      <c r="D301" s="185"/>
      <c r="E301" s="186"/>
      <c r="F301" s="187"/>
    </row>
    <row r="302" spans="1:6" x14ac:dyDescent="0.2">
      <c r="A302" s="275"/>
      <c r="B302" s="78"/>
      <c r="C302" s="189"/>
      <c r="D302" s="185"/>
      <c r="E302" s="186"/>
      <c r="F302" s="187"/>
    </row>
    <row r="303" spans="1:6" x14ac:dyDescent="0.2">
      <c r="A303" s="275"/>
      <c r="B303" s="78"/>
      <c r="C303" s="189"/>
      <c r="D303" s="185"/>
      <c r="E303" s="186"/>
      <c r="F303" s="187"/>
    </row>
    <row r="304" spans="1:6" x14ac:dyDescent="0.2">
      <c r="A304" s="275"/>
      <c r="B304" s="78"/>
      <c r="C304" s="189"/>
      <c r="D304" s="185"/>
      <c r="E304" s="186"/>
      <c r="F304" s="187"/>
    </row>
    <row r="305" spans="1:6" x14ac:dyDescent="0.2">
      <c r="A305" s="275"/>
      <c r="B305" s="78"/>
      <c r="C305" s="189"/>
      <c r="D305" s="185"/>
      <c r="E305" s="186"/>
      <c r="F305" s="187"/>
    </row>
    <row r="306" spans="1:6" x14ac:dyDescent="0.2">
      <c r="A306" s="275"/>
      <c r="B306" s="78"/>
      <c r="C306" s="189"/>
      <c r="D306" s="185"/>
      <c r="E306" s="186"/>
      <c r="F306" s="187"/>
    </row>
    <row r="307" spans="1:6" x14ac:dyDescent="0.2">
      <c r="A307" s="275"/>
      <c r="B307" s="78"/>
      <c r="C307" s="189"/>
      <c r="D307" s="185"/>
      <c r="E307" s="186"/>
      <c r="F307" s="187"/>
    </row>
    <row r="308" spans="1:6" x14ac:dyDescent="0.2">
      <c r="A308" s="275"/>
      <c r="B308" s="78"/>
      <c r="C308" s="189"/>
      <c r="D308" s="185"/>
      <c r="E308" s="186"/>
      <c r="F308" s="187"/>
    </row>
    <row r="309" spans="1:6" x14ac:dyDescent="0.2">
      <c r="A309" s="275"/>
      <c r="B309" s="78"/>
      <c r="C309" s="189"/>
      <c r="D309" s="185"/>
      <c r="E309" s="186"/>
      <c r="F309" s="187"/>
    </row>
    <row r="310" spans="1:6" x14ac:dyDescent="0.2">
      <c r="A310" s="275"/>
      <c r="B310" s="78"/>
      <c r="C310" s="189"/>
      <c r="D310" s="185"/>
      <c r="E310" s="186"/>
      <c r="F310" s="187"/>
    </row>
    <row r="311" spans="1:6" x14ac:dyDescent="0.2">
      <c r="A311" s="275"/>
      <c r="B311" s="78"/>
      <c r="C311" s="189"/>
      <c r="D311" s="185"/>
      <c r="E311" s="186"/>
      <c r="F311" s="187"/>
    </row>
    <row r="312" spans="1:6" x14ac:dyDescent="0.2">
      <c r="A312" s="275"/>
      <c r="B312" s="78"/>
      <c r="C312" s="189"/>
      <c r="D312" s="185"/>
      <c r="E312" s="186"/>
      <c r="F312" s="187"/>
    </row>
    <row r="313" spans="1:6" x14ac:dyDescent="0.2">
      <c r="A313" s="275"/>
      <c r="B313" s="78"/>
      <c r="C313" s="189"/>
      <c r="D313" s="185"/>
      <c r="E313" s="186"/>
      <c r="F313" s="187"/>
    </row>
    <row r="314" spans="1:6" x14ac:dyDescent="0.2">
      <c r="A314" s="275"/>
      <c r="B314" s="78"/>
      <c r="C314" s="189"/>
      <c r="D314" s="185"/>
      <c r="E314" s="186"/>
      <c r="F314" s="187"/>
    </row>
    <row r="315" spans="1:6" x14ac:dyDescent="0.2">
      <c r="A315" s="275"/>
      <c r="B315" s="78"/>
      <c r="C315" s="189"/>
      <c r="D315" s="185"/>
      <c r="E315" s="186"/>
      <c r="F315" s="187"/>
    </row>
    <row r="316" spans="1:6" x14ac:dyDescent="0.2">
      <c r="A316" s="275"/>
      <c r="B316" s="78"/>
      <c r="C316" s="189"/>
      <c r="D316" s="185"/>
      <c r="E316" s="186"/>
      <c r="F316" s="187"/>
    </row>
    <row r="317" spans="1:6" x14ac:dyDescent="0.2">
      <c r="A317" s="275"/>
      <c r="B317" s="78"/>
      <c r="C317" s="189"/>
      <c r="D317" s="185"/>
      <c r="E317" s="186"/>
      <c r="F317" s="187"/>
    </row>
    <row r="318" spans="1:6" x14ac:dyDescent="0.2">
      <c r="A318" s="275"/>
      <c r="B318" s="78"/>
      <c r="C318" s="189"/>
      <c r="D318" s="185"/>
      <c r="E318" s="186"/>
      <c r="F318" s="187"/>
    </row>
    <row r="319" spans="1:6" x14ac:dyDescent="0.2">
      <c r="A319" s="275"/>
      <c r="B319" s="78"/>
      <c r="C319" s="189"/>
      <c r="D319" s="185"/>
      <c r="E319" s="186"/>
      <c r="F319" s="187"/>
    </row>
    <row r="320" spans="1:6" x14ac:dyDescent="0.2">
      <c r="A320" s="275"/>
      <c r="B320" s="78"/>
      <c r="C320" s="189"/>
      <c r="D320" s="185"/>
      <c r="E320" s="186"/>
      <c r="F320" s="187"/>
    </row>
    <row r="321" spans="1:6" x14ac:dyDescent="0.2">
      <c r="A321" s="275"/>
      <c r="B321" s="78"/>
      <c r="C321" s="189"/>
      <c r="D321" s="185"/>
      <c r="E321" s="186"/>
      <c r="F321" s="187"/>
    </row>
    <row r="322" spans="1:6" x14ac:dyDescent="0.2">
      <c r="A322" s="275"/>
      <c r="B322" s="78"/>
      <c r="C322" s="189"/>
      <c r="D322" s="185"/>
      <c r="E322" s="186"/>
      <c r="F322" s="187"/>
    </row>
    <row r="323" spans="1:6" x14ac:dyDescent="0.2">
      <c r="A323" s="275"/>
      <c r="B323" s="78"/>
      <c r="C323" s="189"/>
      <c r="D323" s="185"/>
      <c r="E323" s="186"/>
      <c r="F323" s="187"/>
    </row>
    <row r="324" spans="1:6" x14ac:dyDescent="0.2">
      <c r="A324" s="275"/>
      <c r="B324" s="78"/>
      <c r="C324" s="189"/>
      <c r="D324" s="185"/>
      <c r="E324" s="186"/>
      <c r="F324" s="187"/>
    </row>
    <row r="325" spans="1:6" x14ac:dyDescent="0.2">
      <c r="A325" s="275"/>
      <c r="B325" s="78"/>
      <c r="C325" s="189"/>
      <c r="D325" s="185"/>
      <c r="E325" s="186"/>
      <c r="F325" s="187"/>
    </row>
    <row r="326" spans="1:6" x14ac:dyDescent="0.2">
      <c r="A326" s="275"/>
      <c r="B326" s="78"/>
      <c r="C326" s="189"/>
      <c r="D326" s="185"/>
      <c r="E326" s="186"/>
      <c r="F326" s="187"/>
    </row>
    <row r="327" spans="1:6" x14ac:dyDescent="0.2">
      <c r="A327" s="275"/>
      <c r="B327" s="78"/>
      <c r="C327" s="189"/>
      <c r="D327" s="185"/>
      <c r="E327" s="186"/>
      <c r="F327" s="187"/>
    </row>
    <row r="328" spans="1:6" x14ac:dyDescent="0.2">
      <c r="A328" s="275"/>
      <c r="B328" s="78"/>
      <c r="C328" s="189"/>
      <c r="D328" s="185"/>
      <c r="E328" s="186"/>
      <c r="F328" s="187"/>
    </row>
    <row r="329" spans="1:6" x14ac:dyDescent="0.2">
      <c r="A329" s="275"/>
      <c r="B329" s="78"/>
      <c r="C329" s="189"/>
      <c r="D329" s="185"/>
      <c r="E329" s="186"/>
      <c r="F329" s="187"/>
    </row>
    <row r="330" spans="1:6" x14ac:dyDescent="0.2">
      <c r="A330" s="275"/>
      <c r="B330" s="78"/>
      <c r="C330" s="189"/>
      <c r="D330" s="185"/>
      <c r="E330" s="186"/>
      <c r="F330" s="187"/>
    </row>
    <row r="331" spans="1:6" x14ac:dyDescent="0.2">
      <c r="A331" s="275"/>
      <c r="B331" s="78"/>
      <c r="C331" s="189"/>
      <c r="D331" s="185"/>
      <c r="E331" s="186"/>
      <c r="F331" s="187"/>
    </row>
    <row r="332" spans="1:6" x14ac:dyDescent="0.2">
      <c r="A332" s="275"/>
      <c r="B332" s="78"/>
      <c r="C332" s="189"/>
      <c r="D332" s="185"/>
      <c r="E332" s="186"/>
      <c r="F332" s="187"/>
    </row>
    <row r="333" spans="1:6" x14ac:dyDescent="0.2">
      <c r="A333" s="275"/>
      <c r="B333" s="78"/>
      <c r="C333" s="189"/>
      <c r="D333" s="185"/>
      <c r="E333" s="186"/>
      <c r="F333" s="187"/>
    </row>
    <row r="334" spans="1:6" x14ac:dyDescent="0.2">
      <c r="A334" s="275"/>
      <c r="B334" s="78"/>
      <c r="C334" s="189"/>
      <c r="D334" s="185"/>
      <c r="E334" s="186"/>
      <c r="F334" s="187"/>
    </row>
    <row r="335" spans="1:6" x14ac:dyDescent="0.2">
      <c r="A335" s="275"/>
      <c r="B335" s="78"/>
      <c r="C335" s="189"/>
      <c r="D335" s="185"/>
      <c r="E335" s="186"/>
      <c r="F335" s="187"/>
    </row>
    <row r="336" spans="1:6" x14ac:dyDescent="0.2">
      <c r="A336" s="275"/>
      <c r="B336" s="78"/>
      <c r="C336" s="189"/>
      <c r="D336" s="185"/>
      <c r="E336" s="186"/>
      <c r="F336" s="187"/>
    </row>
    <row r="337" spans="1:6" x14ac:dyDescent="0.2">
      <c r="A337" s="275"/>
      <c r="B337" s="78"/>
      <c r="C337" s="189"/>
      <c r="D337" s="185"/>
      <c r="E337" s="186"/>
      <c r="F337" s="187"/>
    </row>
    <row r="338" spans="1:6" x14ac:dyDescent="0.2">
      <c r="A338" s="275"/>
      <c r="B338" s="78"/>
      <c r="C338" s="189"/>
      <c r="D338" s="185"/>
      <c r="E338" s="186"/>
      <c r="F338" s="187"/>
    </row>
    <row r="339" spans="1:6" x14ac:dyDescent="0.2">
      <c r="A339" s="275"/>
      <c r="B339" s="78"/>
      <c r="C339" s="189"/>
      <c r="D339" s="185"/>
      <c r="E339" s="186"/>
      <c r="F339" s="187"/>
    </row>
    <row r="340" spans="1:6" x14ac:dyDescent="0.2">
      <c r="A340" s="275"/>
      <c r="B340" s="78"/>
      <c r="C340" s="189"/>
      <c r="D340" s="185"/>
      <c r="E340" s="186"/>
      <c r="F340" s="187"/>
    </row>
    <row r="341" spans="1:6" x14ac:dyDescent="0.2">
      <c r="A341" s="275"/>
      <c r="B341" s="78"/>
      <c r="C341" s="189"/>
      <c r="D341" s="185"/>
      <c r="E341" s="186"/>
      <c r="F341" s="187"/>
    </row>
    <row r="342" spans="1:6" x14ac:dyDescent="0.2">
      <c r="A342" s="275"/>
      <c r="B342" s="78"/>
      <c r="C342" s="189"/>
      <c r="D342" s="185"/>
      <c r="E342" s="186"/>
      <c r="F342" s="187"/>
    </row>
    <row r="343" spans="1:6" x14ac:dyDescent="0.2">
      <c r="A343" s="275"/>
      <c r="B343" s="78"/>
      <c r="C343" s="189"/>
      <c r="D343" s="185"/>
      <c r="E343" s="186"/>
      <c r="F343" s="187"/>
    </row>
    <row r="344" spans="1:6" x14ac:dyDescent="0.2">
      <c r="A344" s="275"/>
      <c r="B344" s="78"/>
      <c r="C344" s="189"/>
      <c r="D344" s="185"/>
      <c r="E344" s="186"/>
      <c r="F344" s="187"/>
    </row>
    <row r="345" spans="1:6" x14ac:dyDescent="0.2">
      <c r="A345" s="275"/>
      <c r="B345" s="78"/>
      <c r="C345" s="189"/>
      <c r="D345" s="185"/>
      <c r="E345" s="186"/>
      <c r="F345" s="187"/>
    </row>
    <row r="346" spans="1:6" x14ac:dyDescent="0.2">
      <c r="A346" s="275"/>
      <c r="B346" s="78"/>
      <c r="C346" s="189"/>
      <c r="D346" s="185"/>
      <c r="E346" s="186"/>
      <c r="F346" s="187"/>
    </row>
    <row r="347" spans="1:6" x14ac:dyDescent="0.2">
      <c r="A347" s="275"/>
      <c r="B347" s="78"/>
      <c r="C347" s="189"/>
      <c r="D347" s="185"/>
      <c r="E347" s="186"/>
      <c r="F347" s="187"/>
    </row>
    <row r="348" spans="1:6" x14ac:dyDescent="0.2">
      <c r="A348" s="275"/>
      <c r="B348" s="78"/>
      <c r="C348" s="189"/>
      <c r="D348" s="185"/>
      <c r="E348" s="186"/>
      <c r="F348" s="187"/>
    </row>
    <row r="349" spans="1:6" x14ac:dyDescent="0.2">
      <c r="A349" s="275"/>
      <c r="B349" s="78"/>
      <c r="C349" s="189"/>
      <c r="D349" s="185"/>
      <c r="E349" s="186"/>
      <c r="F349" s="187"/>
    </row>
    <row r="350" spans="1:6" x14ac:dyDescent="0.2">
      <c r="A350" s="275"/>
      <c r="B350" s="78"/>
      <c r="C350" s="189"/>
      <c r="D350" s="185"/>
      <c r="E350" s="186"/>
      <c r="F350" s="187"/>
    </row>
    <row r="351" spans="1:6" x14ac:dyDescent="0.2">
      <c r="A351" s="275"/>
      <c r="B351" s="78"/>
      <c r="C351" s="189"/>
      <c r="D351" s="185"/>
      <c r="E351" s="186"/>
      <c r="F351" s="187"/>
    </row>
    <row r="352" spans="1:6" x14ac:dyDescent="0.2">
      <c r="A352" s="275"/>
      <c r="B352" s="78"/>
      <c r="C352" s="189"/>
      <c r="D352" s="185"/>
      <c r="E352" s="186"/>
      <c r="F352" s="187"/>
    </row>
    <row r="353" spans="1:6" x14ac:dyDescent="0.2">
      <c r="A353" s="275"/>
      <c r="B353" s="78"/>
      <c r="C353" s="189"/>
      <c r="D353" s="185"/>
      <c r="E353" s="186"/>
      <c r="F353" s="187"/>
    </row>
    <row r="354" spans="1:6" x14ac:dyDescent="0.2">
      <c r="A354" s="275"/>
      <c r="B354" s="78"/>
      <c r="C354" s="189"/>
      <c r="D354" s="185"/>
      <c r="E354" s="186"/>
      <c r="F354" s="187"/>
    </row>
    <row r="355" spans="1:6" x14ac:dyDescent="0.2">
      <c r="A355" s="275"/>
      <c r="B355" s="78"/>
      <c r="C355" s="189"/>
      <c r="D355" s="185"/>
      <c r="E355" s="186"/>
      <c r="F355" s="187"/>
    </row>
    <row r="356" spans="1:6" x14ac:dyDescent="0.2">
      <c r="A356" s="275"/>
      <c r="B356" s="78"/>
      <c r="C356" s="189"/>
      <c r="D356" s="185"/>
      <c r="E356" s="186"/>
      <c r="F356" s="187"/>
    </row>
    <row r="357" spans="1:6" x14ac:dyDescent="0.2">
      <c r="A357" s="275"/>
      <c r="B357" s="78"/>
      <c r="C357" s="189"/>
      <c r="D357" s="185"/>
      <c r="E357" s="186"/>
      <c r="F357" s="187"/>
    </row>
    <row r="358" spans="1:6" x14ac:dyDescent="0.2">
      <c r="A358" s="275"/>
      <c r="B358" s="78"/>
      <c r="C358" s="189"/>
      <c r="D358" s="185"/>
      <c r="E358" s="186"/>
      <c r="F358" s="187"/>
    </row>
    <row r="359" spans="1:6" x14ac:dyDescent="0.2">
      <c r="A359" s="275"/>
      <c r="B359" s="78"/>
      <c r="C359" s="189"/>
      <c r="D359" s="185"/>
      <c r="E359" s="186"/>
      <c r="F359" s="187"/>
    </row>
    <row r="360" spans="1:6" x14ac:dyDescent="0.2">
      <c r="A360" s="275"/>
      <c r="B360" s="78"/>
      <c r="C360" s="189"/>
      <c r="D360" s="185"/>
      <c r="E360" s="186"/>
      <c r="F360" s="187"/>
    </row>
    <row r="361" spans="1:6" x14ac:dyDescent="0.2">
      <c r="A361" s="275"/>
      <c r="B361" s="78"/>
      <c r="C361" s="189"/>
      <c r="D361" s="185"/>
      <c r="E361" s="186"/>
      <c r="F361" s="187"/>
    </row>
    <row r="362" spans="1:6" x14ac:dyDescent="0.2">
      <c r="A362" s="275"/>
      <c r="B362" s="78"/>
      <c r="C362" s="189"/>
      <c r="D362" s="185"/>
      <c r="E362" s="186"/>
      <c r="F362" s="187"/>
    </row>
    <row r="363" spans="1:6" x14ac:dyDescent="0.2">
      <c r="A363" s="275"/>
      <c r="B363" s="78"/>
      <c r="C363" s="189"/>
      <c r="D363" s="185"/>
      <c r="E363" s="186"/>
      <c r="F363" s="187"/>
    </row>
    <row r="364" spans="1:6" x14ac:dyDescent="0.2">
      <c r="A364" s="275"/>
      <c r="B364" s="78"/>
      <c r="C364" s="189"/>
      <c r="D364" s="185"/>
      <c r="E364" s="186"/>
      <c r="F364" s="187"/>
    </row>
    <row r="365" spans="1:6" x14ac:dyDescent="0.2">
      <c r="A365" s="275"/>
      <c r="B365" s="78"/>
      <c r="C365" s="189"/>
      <c r="D365" s="185"/>
      <c r="E365" s="186"/>
      <c r="F365" s="187"/>
    </row>
    <row r="366" spans="1:6" x14ac:dyDescent="0.2">
      <c r="A366" s="275"/>
      <c r="B366" s="78"/>
      <c r="C366" s="189"/>
      <c r="D366" s="185"/>
      <c r="E366" s="186"/>
      <c r="F366" s="187"/>
    </row>
    <row r="367" spans="1:6" x14ac:dyDescent="0.2">
      <c r="A367" s="275"/>
      <c r="B367" s="78"/>
      <c r="C367" s="189"/>
      <c r="D367" s="185"/>
      <c r="E367" s="186"/>
      <c r="F367" s="187"/>
    </row>
    <row r="368" spans="1:6" x14ac:dyDescent="0.2">
      <c r="A368" s="275"/>
      <c r="B368" s="78"/>
      <c r="C368" s="189"/>
      <c r="D368" s="185"/>
      <c r="E368" s="186"/>
      <c r="F368" s="187"/>
    </row>
    <row r="369" spans="1:6" x14ac:dyDescent="0.2">
      <c r="A369" s="275"/>
      <c r="B369" s="78"/>
      <c r="C369" s="189"/>
      <c r="D369" s="185"/>
      <c r="E369" s="186"/>
      <c r="F369" s="187"/>
    </row>
    <row r="370" spans="1:6" x14ac:dyDescent="0.2">
      <c r="A370" s="275"/>
      <c r="B370" s="78"/>
      <c r="C370" s="189"/>
      <c r="D370" s="185"/>
      <c r="E370" s="186"/>
      <c r="F370" s="187"/>
    </row>
    <row r="371" spans="1:6" x14ac:dyDescent="0.2">
      <c r="A371" s="275"/>
      <c r="B371" s="78"/>
      <c r="C371" s="189"/>
      <c r="D371" s="185"/>
      <c r="E371" s="186"/>
      <c r="F371" s="187"/>
    </row>
    <row r="372" spans="1:6" x14ac:dyDescent="0.2">
      <c r="A372" s="275"/>
      <c r="B372" s="78"/>
      <c r="C372" s="189"/>
      <c r="D372" s="185"/>
      <c r="E372" s="186"/>
      <c r="F372" s="187"/>
    </row>
    <row r="373" spans="1:6" x14ac:dyDescent="0.2">
      <c r="A373" s="275"/>
      <c r="B373" s="78"/>
      <c r="C373" s="189"/>
      <c r="D373" s="185"/>
      <c r="E373" s="186"/>
      <c r="F373" s="187"/>
    </row>
    <row r="374" spans="1:6" x14ac:dyDescent="0.2">
      <c r="A374" s="275"/>
      <c r="B374" s="78"/>
      <c r="C374" s="189"/>
      <c r="D374" s="185"/>
      <c r="E374" s="186"/>
      <c r="F374" s="187"/>
    </row>
    <row r="375" spans="1:6" x14ac:dyDescent="0.2">
      <c r="A375" s="275"/>
      <c r="B375" s="78"/>
      <c r="C375" s="189"/>
      <c r="D375" s="185"/>
      <c r="E375" s="186"/>
      <c r="F375" s="187"/>
    </row>
    <row r="376" spans="1:6" x14ac:dyDescent="0.2">
      <c r="A376" s="275"/>
      <c r="B376" s="78"/>
      <c r="C376" s="189"/>
      <c r="D376" s="185"/>
      <c r="E376" s="186"/>
      <c r="F376" s="187"/>
    </row>
    <row r="377" spans="1:6" x14ac:dyDescent="0.2">
      <c r="A377" s="275"/>
      <c r="B377" s="78"/>
      <c r="C377" s="189"/>
      <c r="D377" s="185"/>
      <c r="E377" s="186"/>
      <c r="F377" s="187"/>
    </row>
    <row r="378" spans="1:6" x14ac:dyDescent="0.2">
      <c r="A378" s="275"/>
      <c r="B378" s="78"/>
      <c r="C378" s="189"/>
      <c r="D378" s="185"/>
      <c r="E378" s="186"/>
      <c r="F378" s="187"/>
    </row>
    <row r="379" spans="1:6" x14ac:dyDescent="0.2">
      <c r="A379" s="275"/>
      <c r="B379" s="78"/>
      <c r="C379" s="189"/>
      <c r="D379" s="185"/>
      <c r="E379" s="186"/>
      <c r="F379" s="187"/>
    </row>
    <row r="380" spans="1:6" x14ac:dyDescent="0.2">
      <c r="A380" s="275"/>
      <c r="B380" s="78"/>
      <c r="C380" s="189"/>
      <c r="D380" s="185"/>
      <c r="E380" s="186"/>
      <c r="F380" s="187"/>
    </row>
    <row r="381" spans="1:6" x14ac:dyDescent="0.2">
      <c r="A381" s="275"/>
      <c r="B381" s="78"/>
      <c r="C381" s="189"/>
      <c r="D381" s="185"/>
      <c r="E381" s="186"/>
      <c r="F381" s="187"/>
    </row>
    <row r="382" spans="1:6" x14ac:dyDescent="0.2">
      <c r="A382" s="275"/>
      <c r="B382" s="78"/>
      <c r="C382" s="189"/>
      <c r="D382" s="185"/>
      <c r="E382" s="186"/>
      <c r="F382" s="187"/>
    </row>
    <row r="383" spans="1:6" x14ac:dyDescent="0.2">
      <c r="A383" s="275"/>
      <c r="B383" s="78"/>
      <c r="C383" s="189"/>
      <c r="D383" s="185"/>
      <c r="E383" s="186"/>
      <c r="F383" s="187"/>
    </row>
    <row r="384" spans="1:6" x14ac:dyDescent="0.2">
      <c r="A384" s="275"/>
      <c r="B384" s="78"/>
      <c r="C384" s="189"/>
      <c r="D384" s="185"/>
      <c r="E384" s="186"/>
      <c r="F384" s="187"/>
    </row>
    <row r="385" spans="1:6" x14ac:dyDescent="0.2">
      <c r="A385" s="275"/>
      <c r="B385" s="78"/>
      <c r="C385" s="189"/>
      <c r="D385" s="185"/>
      <c r="E385" s="186"/>
      <c r="F385" s="187"/>
    </row>
    <row r="386" spans="1:6" x14ac:dyDescent="0.2">
      <c r="A386" s="275"/>
      <c r="B386" s="78"/>
      <c r="C386" s="189"/>
      <c r="D386" s="185"/>
      <c r="E386" s="186"/>
      <c r="F386" s="187"/>
    </row>
    <row r="387" spans="1:6" x14ac:dyDescent="0.2">
      <c r="A387" s="275"/>
      <c r="B387" s="78"/>
      <c r="C387" s="189"/>
      <c r="D387" s="185"/>
      <c r="E387" s="186"/>
      <c r="F387" s="187"/>
    </row>
    <row r="388" spans="1:6" x14ac:dyDescent="0.2">
      <c r="A388" s="275"/>
      <c r="B388" s="78"/>
      <c r="C388" s="189"/>
      <c r="D388" s="185"/>
      <c r="E388" s="186"/>
      <c r="F388" s="187"/>
    </row>
    <row r="389" spans="1:6" x14ac:dyDescent="0.2">
      <c r="A389" s="275"/>
      <c r="B389" s="78"/>
      <c r="C389" s="189"/>
      <c r="D389" s="185"/>
      <c r="E389" s="186"/>
      <c r="F389" s="187"/>
    </row>
    <row r="390" spans="1:6" x14ac:dyDescent="0.2">
      <c r="A390" s="275"/>
      <c r="B390" s="78"/>
      <c r="C390" s="189"/>
      <c r="D390" s="185"/>
      <c r="E390" s="186"/>
      <c r="F390" s="187"/>
    </row>
    <row r="391" spans="1:6" x14ac:dyDescent="0.2">
      <c r="A391" s="275"/>
      <c r="B391" s="78"/>
      <c r="C391" s="189"/>
      <c r="D391" s="185"/>
      <c r="E391" s="186"/>
      <c r="F391" s="187"/>
    </row>
    <row r="392" spans="1:6" x14ac:dyDescent="0.2">
      <c r="A392" s="275"/>
      <c r="B392" s="78"/>
      <c r="C392" s="189"/>
      <c r="D392" s="185"/>
      <c r="E392" s="186"/>
      <c r="F392" s="187"/>
    </row>
    <row r="393" spans="1:6" x14ac:dyDescent="0.2">
      <c r="A393" s="275"/>
      <c r="B393" s="78"/>
      <c r="C393" s="189"/>
      <c r="D393" s="185"/>
      <c r="E393" s="186"/>
      <c r="F393" s="187"/>
    </row>
    <row r="394" spans="1:6" x14ac:dyDescent="0.2">
      <c r="A394" s="275"/>
      <c r="B394" s="78"/>
      <c r="C394" s="189"/>
      <c r="D394" s="185"/>
      <c r="E394" s="186"/>
      <c r="F394" s="187"/>
    </row>
    <row r="395" spans="1:6" x14ac:dyDescent="0.2">
      <c r="A395" s="275"/>
      <c r="B395" s="78"/>
      <c r="C395" s="189"/>
      <c r="D395" s="185"/>
      <c r="E395" s="186"/>
      <c r="F395" s="187"/>
    </row>
    <row r="396" spans="1:6" x14ac:dyDescent="0.2">
      <c r="A396" s="275"/>
      <c r="B396" s="78"/>
      <c r="C396" s="189"/>
      <c r="D396" s="185"/>
      <c r="E396" s="186"/>
      <c r="F396" s="187"/>
    </row>
    <row r="397" spans="1:6" x14ac:dyDescent="0.2">
      <c r="A397" s="275"/>
      <c r="B397" s="78"/>
      <c r="C397" s="189"/>
      <c r="D397" s="185"/>
      <c r="E397" s="186"/>
      <c r="F397" s="187"/>
    </row>
    <row r="398" spans="1:6" x14ac:dyDescent="0.2">
      <c r="A398" s="275"/>
      <c r="B398" s="78"/>
      <c r="C398" s="189"/>
      <c r="D398" s="185"/>
      <c r="E398" s="186"/>
      <c r="F398" s="187"/>
    </row>
    <row r="399" spans="1:6" x14ac:dyDescent="0.2">
      <c r="A399" s="275"/>
      <c r="B399" s="78"/>
      <c r="C399" s="189"/>
      <c r="D399" s="185"/>
      <c r="E399" s="186"/>
      <c r="F399" s="187"/>
    </row>
    <row r="400" spans="1:6" x14ac:dyDescent="0.2">
      <c r="A400" s="275"/>
      <c r="B400" s="78"/>
      <c r="C400" s="189"/>
      <c r="D400" s="185"/>
      <c r="E400" s="186"/>
      <c r="F400" s="187"/>
    </row>
    <row r="401" spans="1:6" x14ac:dyDescent="0.2">
      <c r="A401" s="275"/>
      <c r="B401" s="78"/>
      <c r="C401" s="189"/>
      <c r="D401" s="185"/>
      <c r="E401" s="186"/>
      <c r="F401" s="187"/>
    </row>
    <row r="402" spans="1:6" x14ac:dyDescent="0.2">
      <c r="A402" s="275"/>
      <c r="B402" s="78"/>
      <c r="C402" s="189"/>
      <c r="D402" s="185"/>
      <c r="E402" s="186"/>
      <c r="F402" s="187"/>
    </row>
    <row r="403" spans="1:6" x14ac:dyDescent="0.2">
      <c r="A403" s="275"/>
      <c r="B403" s="78"/>
      <c r="C403" s="189"/>
      <c r="D403" s="185"/>
      <c r="E403" s="186"/>
      <c r="F403" s="187"/>
    </row>
    <row r="404" spans="1:6" x14ac:dyDescent="0.2">
      <c r="A404" s="275"/>
      <c r="B404" s="78"/>
      <c r="C404" s="189"/>
      <c r="D404" s="185"/>
      <c r="E404" s="186"/>
      <c r="F404" s="187"/>
    </row>
    <row r="405" spans="1:6" x14ac:dyDescent="0.2">
      <c r="A405" s="275"/>
      <c r="B405" s="78"/>
      <c r="C405" s="189"/>
      <c r="D405" s="185"/>
      <c r="E405" s="186"/>
      <c r="F405" s="187"/>
    </row>
    <row r="406" spans="1:6" x14ac:dyDescent="0.2">
      <c r="A406" s="275"/>
      <c r="B406" s="78"/>
      <c r="C406" s="189"/>
      <c r="D406" s="185"/>
      <c r="E406" s="186"/>
      <c r="F406" s="187"/>
    </row>
    <row r="407" spans="1:6" x14ac:dyDescent="0.2">
      <c r="A407" s="275"/>
      <c r="B407" s="78"/>
      <c r="C407" s="189"/>
      <c r="D407" s="185"/>
      <c r="E407" s="186"/>
      <c r="F407" s="187"/>
    </row>
    <row r="408" spans="1:6" x14ac:dyDescent="0.2">
      <c r="A408" s="275"/>
      <c r="B408" s="78"/>
      <c r="C408" s="189"/>
      <c r="D408" s="185"/>
      <c r="E408" s="186"/>
      <c r="F408" s="187"/>
    </row>
    <row r="409" spans="1:6" x14ac:dyDescent="0.2">
      <c r="A409" s="275"/>
      <c r="B409" s="78"/>
      <c r="C409" s="189"/>
      <c r="D409" s="185"/>
      <c r="E409" s="186"/>
      <c r="F409" s="187"/>
    </row>
    <row r="410" spans="1:6" x14ac:dyDescent="0.2">
      <c r="A410" s="275"/>
      <c r="B410" s="78"/>
      <c r="C410" s="189"/>
      <c r="D410" s="185"/>
      <c r="E410" s="186"/>
      <c r="F410" s="187"/>
    </row>
    <row r="411" spans="1:6" x14ac:dyDescent="0.2">
      <c r="A411" s="275"/>
      <c r="B411" s="78"/>
      <c r="C411" s="189"/>
      <c r="D411" s="185"/>
      <c r="E411" s="186"/>
      <c r="F411" s="187"/>
    </row>
    <row r="412" spans="1:6" x14ac:dyDescent="0.2">
      <c r="A412" s="275"/>
      <c r="B412" s="78"/>
      <c r="C412" s="189"/>
      <c r="D412" s="185"/>
      <c r="E412" s="186"/>
      <c r="F412" s="187"/>
    </row>
    <row r="413" spans="1:6" x14ac:dyDescent="0.2">
      <c r="A413" s="275"/>
      <c r="B413" s="78"/>
      <c r="C413" s="189"/>
      <c r="D413" s="185"/>
      <c r="E413" s="186"/>
      <c r="F413" s="187"/>
    </row>
    <row r="414" spans="1:6" x14ac:dyDescent="0.2">
      <c r="A414" s="275"/>
      <c r="B414" s="78"/>
      <c r="C414" s="189"/>
      <c r="D414" s="185"/>
      <c r="E414" s="186"/>
      <c r="F414" s="187"/>
    </row>
    <row r="415" spans="1:6" x14ac:dyDescent="0.2">
      <c r="A415" s="275"/>
      <c r="B415" s="78"/>
      <c r="C415" s="189"/>
      <c r="D415" s="185"/>
      <c r="E415" s="186"/>
      <c r="F415" s="187"/>
    </row>
    <row r="416" spans="1:6" x14ac:dyDescent="0.2">
      <c r="A416" s="275"/>
      <c r="B416" s="78"/>
      <c r="C416" s="189"/>
      <c r="D416" s="185"/>
      <c r="E416" s="186"/>
      <c r="F416" s="187"/>
    </row>
    <row r="417" spans="1:6" x14ac:dyDescent="0.2">
      <c r="A417" s="275"/>
      <c r="B417" s="78"/>
      <c r="C417" s="189"/>
      <c r="D417" s="185"/>
      <c r="E417" s="186"/>
      <c r="F417" s="187"/>
    </row>
    <row r="418" spans="1:6" x14ac:dyDescent="0.2">
      <c r="A418" s="275"/>
      <c r="B418" s="78"/>
      <c r="C418" s="189"/>
      <c r="D418" s="185"/>
      <c r="E418" s="186"/>
      <c r="F418" s="187"/>
    </row>
    <row r="419" spans="1:6" x14ac:dyDescent="0.2">
      <c r="A419" s="275"/>
      <c r="B419" s="78"/>
      <c r="C419" s="189"/>
      <c r="D419" s="185"/>
      <c r="E419" s="186"/>
      <c r="F419" s="187"/>
    </row>
    <row r="420" spans="1:6" x14ac:dyDescent="0.2">
      <c r="A420" s="275"/>
      <c r="B420" s="78"/>
      <c r="C420" s="189"/>
      <c r="D420" s="185"/>
      <c r="E420" s="186"/>
      <c r="F420" s="187"/>
    </row>
    <row r="421" spans="1:6" x14ac:dyDescent="0.2">
      <c r="A421" s="275"/>
      <c r="B421" s="78"/>
      <c r="C421" s="189"/>
      <c r="D421" s="185"/>
      <c r="E421" s="186"/>
      <c r="F421" s="187"/>
    </row>
    <row r="422" spans="1:6" x14ac:dyDescent="0.2">
      <c r="A422" s="275"/>
      <c r="B422" s="78"/>
      <c r="C422" s="189"/>
      <c r="D422" s="185"/>
      <c r="E422" s="186"/>
      <c r="F422" s="187"/>
    </row>
    <row r="423" spans="1:6" x14ac:dyDescent="0.2">
      <c r="A423" s="275"/>
      <c r="B423" s="78"/>
      <c r="C423" s="189"/>
      <c r="D423" s="185"/>
      <c r="E423" s="186"/>
      <c r="F423" s="187"/>
    </row>
    <row r="424" spans="1:6" x14ac:dyDescent="0.2">
      <c r="A424" s="275"/>
      <c r="B424" s="78"/>
      <c r="C424" s="189"/>
      <c r="D424" s="185"/>
      <c r="E424" s="186"/>
      <c r="F424" s="187"/>
    </row>
    <row r="425" spans="1:6" x14ac:dyDescent="0.2">
      <c r="A425" s="275"/>
      <c r="B425" s="78"/>
      <c r="C425" s="189"/>
      <c r="D425" s="185"/>
      <c r="E425" s="186"/>
      <c r="F425" s="187"/>
    </row>
    <row r="426" spans="1:6" x14ac:dyDescent="0.2">
      <c r="A426" s="275"/>
      <c r="B426" s="78"/>
      <c r="C426" s="189"/>
      <c r="D426" s="185"/>
      <c r="E426" s="186"/>
      <c r="F426" s="187"/>
    </row>
    <row r="427" spans="1:6" x14ac:dyDescent="0.2">
      <c r="A427" s="275"/>
      <c r="B427" s="78"/>
      <c r="C427" s="189"/>
      <c r="D427" s="185"/>
      <c r="E427" s="186"/>
      <c r="F427" s="187"/>
    </row>
    <row r="428" spans="1:6" x14ac:dyDescent="0.2">
      <c r="A428" s="275"/>
      <c r="B428" s="78"/>
      <c r="C428" s="189"/>
      <c r="D428" s="185"/>
      <c r="E428" s="186"/>
      <c r="F428" s="187"/>
    </row>
    <row r="429" spans="1:6" x14ac:dyDescent="0.2">
      <c r="A429" s="275"/>
      <c r="B429" s="78"/>
      <c r="C429" s="189"/>
      <c r="D429" s="185"/>
      <c r="E429" s="186"/>
      <c r="F429" s="187"/>
    </row>
    <row r="430" spans="1:6" x14ac:dyDescent="0.2">
      <c r="A430" s="275"/>
      <c r="B430" s="78"/>
      <c r="C430" s="189"/>
      <c r="D430" s="185"/>
      <c r="E430" s="186"/>
      <c r="F430" s="187"/>
    </row>
    <row r="431" spans="1:6" x14ac:dyDescent="0.2">
      <c r="A431" s="275"/>
      <c r="B431" s="78"/>
      <c r="C431" s="189"/>
      <c r="D431" s="185"/>
      <c r="E431" s="186"/>
      <c r="F431" s="187"/>
    </row>
    <row r="432" spans="1:6" x14ac:dyDescent="0.2">
      <c r="A432" s="275"/>
      <c r="B432" s="78"/>
      <c r="C432" s="189"/>
      <c r="D432" s="185"/>
      <c r="E432" s="186"/>
      <c r="F432" s="187"/>
    </row>
    <row r="433" spans="1:6" x14ac:dyDescent="0.2">
      <c r="A433" s="275"/>
      <c r="B433" s="78"/>
      <c r="C433" s="189"/>
      <c r="D433" s="185"/>
      <c r="E433" s="186"/>
      <c r="F433" s="187"/>
    </row>
    <row r="434" spans="1:6" x14ac:dyDescent="0.2">
      <c r="A434" s="275"/>
      <c r="B434" s="78"/>
      <c r="C434" s="189"/>
      <c r="D434" s="185"/>
      <c r="E434" s="186"/>
      <c r="F434" s="187"/>
    </row>
    <row r="435" spans="1:6" x14ac:dyDescent="0.2">
      <c r="A435" s="275"/>
      <c r="B435" s="78"/>
      <c r="C435" s="189"/>
      <c r="D435" s="185"/>
      <c r="E435" s="186"/>
      <c r="F435" s="187"/>
    </row>
    <row r="436" spans="1:6" x14ac:dyDescent="0.2">
      <c r="A436" s="275"/>
      <c r="B436" s="78"/>
      <c r="C436" s="189"/>
      <c r="D436" s="185"/>
      <c r="E436" s="186"/>
      <c r="F436" s="187"/>
    </row>
    <row r="437" spans="1:6" x14ac:dyDescent="0.2">
      <c r="A437" s="275"/>
      <c r="B437" s="78"/>
      <c r="C437" s="189"/>
      <c r="D437" s="185"/>
      <c r="E437" s="186"/>
      <c r="F437" s="187"/>
    </row>
    <row r="438" spans="1:6" x14ac:dyDescent="0.2">
      <c r="A438" s="275"/>
      <c r="B438" s="78"/>
      <c r="C438" s="189"/>
      <c r="D438" s="185"/>
      <c r="E438" s="186"/>
      <c r="F438" s="187"/>
    </row>
    <row r="439" spans="1:6" x14ac:dyDescent="0.2">
      <c r="A439" s="275"/>
      <c r="B439" s="78"/>
      <c r="C439" s="189"/>
      <c r="D439" s="185"/>
      <c r="E439" s="186"/>
      <c r="F439" s="187"/>
    </row>
    <row r="440" spans="1:6" x14ac:dyDescent="0.2">
      <c r="A440" s="275"/>
      <c r="B440" s="78"/>
      <c r="C440" s="189"/>
      <c r="D440" s="185"/>
      <c r="E440" s="186"/>
      <c r="F440" s="187"/>
    </row>
    <row r="441" spans="1:6" x14ac:dyDescent="0.2">
      <c r="A441" s="275"/>
      <c r="B441" s="78"/>
      <c r="C441" s="189"/>
      <c r="D441" s="185"/>
      <c r="E441" s="186"/>
      <c r="F441" s="187"/>
    </row>
    <row r="442" spans="1:6" x14ac:dyDescent="0.2">
      <c r="A442" s="275"/>
      <c r="B442" s="78"/>
      <c r="C442" s="189"/>
      <c r="D442" s="185"/>
      <c r="E442" s="186"/>
      <c r="F442" s="187"/>
    </row>
    <row r="443" spans="1:6" x14ac:dyDescent="0.2">
      <c r="A443" s="275"/>
      <c r="B443" s="78"/>
      <c r="C443" s="189"/>
      <c r="D443" s="185"/>
      <c r="E443" s="186"/>
      <c r="F443" s="187"/>
    </row>
    <row r="444" spans="1:6" x14ac:dyDescent="0.2">
      <c r="A444" s="275"/>
      <c r="B444" s="78"/>
      <c r="C444" s="189"/>
      <c r="D444" s="185"/>
      <c r="E444" s="186"/>
      <c r="F444" s="187"/>
    </row>
    <row r="445" spans="1:6" x14ac:dyDescent="0.2">
      <c r="A445" s="275"/>
      <c r="B445" s="78"/>
      <c r="C445" s="189"/>
      <c r="D445" s="185"/>
      <c r="E445" s="186"/>
      <c r="F445" s="187"/>
    </row>
    <row r="446" spans="1:6" x14ac:dyDescent="0.2">
      <c r="A446" s="275"/>
      <c r="B446" s="78"/>
      <c r="C446" s="189"/>
      <c r="D446" s="185"/>
      <c r="E446" s="186"/>
      <c r="F446" s="187"/>
    </row>
    <row r="447" spans="1:6" x14ac:dyDescent="0.2">
      <c r="A447" s="275"/>
      <c r="B447" s="78"/>
      <c r="C447" s="189"/>
      <c r="D447" s="185"/>
      <c r="E447" s="186"/>
      <c r="F447" s="187"/>
    </row>
    <row r="448" spans="1:6" x14ac:dyDescent="0.2">
      <c r="A448" s="275"/>
      <c r="B448" s="78"/>
      <c r="C448" s="189"/>
      <c r="D448" s="185"/>
      <c r="E448" s="186"/>
      <c r="F448" s="187"/>
    </row>
    <row r="449" spans="1:6" x14ac:dyDescent="0.2">
      <c r="A449" s="275"/>
      <c r="B449" s="78"/>
      <c r="C449" s="189"/>
      <c r="D449" s="185"/>
      <c r="E449" s="186"/>
      <c r="F449" s="187"/>
    </row>
    <row r="450" spans="1:6" x14ac:dyDescent="0.2">
      <c r="A450" s="275"/>
      <c r="B450" s="78"/>
      <c r="C450" s="189"/>
      <c r="D450" s="185"/>
      <c r="E450" s="186"/>
      <c r="F450" s="187"/>
    </row>
    <row r="451" spans="1:6" x14ac:dyDescent="0.2">
      <c r="A451" s="275"/>
      <c r="B451" s="78"/>
      <c r="C451" s="189"/>
      <c r="D451" s="185"/>
      <c r="E451" s="186"/>
      <c r="F451" s="187"/>
    </row>
    <row r="452" spans="1:6" x14ac:dyDescent="0.2">
      <c r="A452" s="275"/>
      <c r="B452" s="78"/>
      <c r="C452" s="189"/>
      <c r="D452" s="185"/>
      <c r="E452" s="186"/>
      <c r="F452" s="187"/>
    </row>
    <row r="453" spans="1:6" x14ac:dyDescent="0.2">
      <c r="A453" s="275"/>
      <c r="B453" s="78"/>
      <c r="C453" s="189"/>
      <c r="D453" s="185"/>
      <c r="E453" s="186"/>
      <c r="F453" s="187"/>
    </row>
    <row r="454" spans="1:6" x14ac:dyDescent="0.2">
      <c r="A454" s="275"/>
      <c r="B454" s="78"/>
      <c r="C454" s="189"/>
      <c r="D454" s="185"/>
      <c r="E454" s="186"/>
      <c r="F454" s="187"/>
    </row>
    <row r="455" spans="1:6" x14ac:dyDescent="0.2">
      <c r="A455" s="275"/>
      <c r="B455" s="78"/>
      <c r="C455" s="189"/>
      <c r="D455" s="185"/>
      <c r="E455" s="186"/>
      <c r="F455" s="187"/>
    </row>
    <row r="456" spans="1:6" x14ac:dyDescent="0.2">
      <c r="A456" s="275"/>
      <c r="B456" s="78"/>
      <c r="C456" s="189"/>
      <c r="D456" s="185"/>
      <c r="E456" s="186"/>
      <c r="F456" s="187"/>
    </row>
    <row r="457" spans="1:6" x14ac:dyDescent="0.2">
      <c r="A457" s="275"/>
      <c r="B457" s="78"/>
      <c r="C457" s="189"/>
      <c r="D457" s="185"/>
      <c r="E457" s="186"/>
      <c r="F457" s="187"/>
    </row>
    <row r="458" spans="1:6" x14ac:dyDescent="0.2">
      <c r="A458" s="275"/>
      <c r="B458" s="78"/>
      <c r="C458" s="189"/>
      <c r="D458" s="185"/>
      <c r="E458" s="186"/>
      <c r="F458" s="187"/>
    </row>
    <row r="459" spans="1:6" x14ac:dyDescent="0.2">
      <c r="A459" s="275"/>
      <c r="B459" s="78"/>
      <c r="C459" s="189"/>
      <c r="D459" s="185"/>
      <c r="E459" s="186"/>
      <c r="F459" s="187"/>
    </row>
    <row r="460" spans="1:6" x14ac:dyDescent="0.2">
      <c r="A460" s="275"/>
      <c r="B460" s="78"/>
      <c r="C460" s="189"/>
      <c r="D460" s="185"/>
      <c r="E460" s="186"/>
      <c r="F460" s="187"/>
    </row>
    <row r="461" spans="1:6" x14ac:dyDescent="0.2">
      <c r="A461" s="275"/>
      <c r="B461" s="78"/>
      <c r="C461" s="189"/>
      <c r="D461" s="185"/>
      <c r="E461" s="186"/>
      <c r="F461" s="187"/>
    </row>
    <row r="462" spans="1:6" x14ac:dyDescent="0.2">
      <c r="A462" s="275"/>
      <c r="B462" s="78"/>
      <c r="C462" s="189"/>
      <c r="D462" s="185"/>
      <c r="E462" s="186"/>
      <c r="F462" s="187"/>
    </row>
    <row r="463" spans="1:6" x14ac:dyDescent="0.2">
      <c r="A463" s="275"/>
      <c r="B463" s="78"/>
      <c r="C463" s="189"/>
      <c r="D463" s="185"/>
      <c r="E463" s="186"/>
      <c r="F463" s="187"/>
    </row>
    <row r="464" spans="1:6" x14ac:dyDescent="0.2">
      <c r="A464" s="275"/>
      <c r="B464" s="78"/>
      <c r="C464" s="189"/>
      <c r="D464" s="185"/>
      <c r="E464" s="186"/>
      <c r="F464" s="187"/>
    </row>
    <row r="465" spans="1:6" x14ac:dyDescent="0.2">
      <c r="A465" s="275"/>
      <c r="B465" s="78"/>
      <c r="C465" s="189"/>
      <c r="D465" s="185"/>
      <c r="E465" s="186"/>
      <c r="F465" s="187"/>
    </row>
    <row r="466" spans="1:6" x14ac:dyDescent="0.2">
      <c r="A466" s="275"/>
      <c r="B466" s="78"/>
      <c r="C466" s="189"/>
      <c r="D466" s="185"/>
      <c r="E466" s="186"/>
      <c r="F466" s="187"/>
    </row>
    <row r="467" spans="1:6" x14ac:dyDescent="0.2">
      <c r="A467" s="275"/>
      <c r="B467" s="78"/>
      <c r="C467" s="189"/>
      <c r="D467" s="185"/>
      <c r="E467" s="186"/>
      <c r="F467" s="187"/>
    </row>
    <row r="468" spans="1:6" x14ac:dyDescent="0.2">
      <c r="A468" s="275"/>
      <c r="B468" s="78"/>
      <c r="C468" s="189"/>
      <c r="D468" s="185"/>
      <c r="E468" s="186"/>
      <c r="F468" s="187"/>
    </row>
    <row r="469" spans="1:6" x14ac:dyDescent="0.2">
      <c r="A469" s="275"/>
      <c r="B469" s="78"/>
      <c r="C469" s="189"/>
      <c r="D469" s="185"/>
      <c r="E469" s="186"/>
      <c r="F469" s="187"/>
    </row>
    <row r="470" spans="1:6" x14ac:dyDescent="0.2">
      <c r="A470" s="275"/>
      <c r="B470" s="78"/>
      <c r="C470" s="189"/>
      <c r="D470" s="185"/>
      <c r="E470" s="186"/>
      <c r="F470" s="187"/>
    </row>
    <row r="471" spans="1:6" x14ac:dyDescent="0.2">
      <c r="A471" s="275"/>
      <c r="B471" s="78"/>
      <c r="C471" s="189"/>
      <c r="D471" s="185"/>
      <c r="E471" s="186"/>
      <c r="F471" s="187"/>
    </row>
    <row r="472" spans="1:6" x14ac:dyDescent="0.2">
      <c r="A472" s="275"/>
      <c r="B472" s="78"/>
      <c r="C472" s="189"/>
      <c r="D472" s="185"/>
      <c r="E472" s="186"/>
      <c r="F472" s="187"/>
    </row>
    <row r="473" spans="1:6" x14ac:dyDescent="0.2">
      <c r="A473" s="275"/>
      <c r="B473" s="78"/>
      <c r="C473" s="189"/>
      <c r="D473" s="185"/>
      <c r="E473" s="186"/>
      <c r="F473" s="187"/>
    </row>
    <row r="474" spans="1:6" x14ac:dyDescent="0.2">
      <c r="A474" s="275"/>
      <c r="B474" s="78"/>
      <c r="C474" s="189"/>
      <c r="D474" s="185"/>
      <c r="E474" s="186"/>
      <c r="F474" s="187"/>
    </row>
    <row r="475" spans="1:6" x14ac:dyDescent="0.2">
      <c r="A475" s="275"/>
      <c r="B475" s="78"/>
      <c r="C475" s="189"/>
      <c r="D475" s="185"/>
      <c r="E475" s="186"/>
      <c r="F475" s="187"/>
    </row>
    <row r="476" spans="1:6" x14ac:dyDescent="0.2">
      <c r="A476" s="275"/>
      <c r="B476" s="78"/>
      <c r="C476" s="189"/>
      <c r="D476" s="185"/>
      <c r="E476" s="186"/>
      <c r="F476" s="187"/>
    </row>
    <row r="477" spans="1:6" x14ac:dyDescent="0.2">
      <c r="A477" s="275"/>
      <c r="B477" s="78"/>
      <c r="C477" s="189"/>
      <c r="D477" s="185"/>
      <c r="E477" s="186"/>
      <c r="F477" s="187"/>
    </row>
    <row r="478" spans="1:6" x14ac:dyDescent="0.2">
      <c r="A478" s="275"/>
      <c r="B478" s="78"/>
      <c r="C478" s="189"/>
      <c r="D478" s="185"/>
      <c r="E478" s="186"/>
      <c r="F478" s="187"/>
    </row>
    <row r="479" spans="1:6" x14ac:dyDescent="0.2">
      <c r="A479" s="275"/>
      <c r="B479" s="78"/>
      <c r="C479" s="189"/>
      <c r="D479" s="185"/>
      <c r="E479" s="186"/>
      <c r="F479" s="187"/>
    </row>
    <row r="480" spans="1:6" x14ac:dyDescent="0.2">
      <c r="A480" s="275"/>
      <c r="B480" s="78"/>
      <c r="C480" s="189"/>
      <c r="D480" s="185"/>
      <c r="E480" s="186"/>
      <c r="F480" s="187"/>
    </row>
    <row r="481" spans="1:6" x14ac:dyDescent="0.2">
      <c r="A481" s="275"/>
      <c r="B481" s="78"/>
      <c r="C481" s="189"/>
      <c r="D481" s="185"/>
      <c r="E481" s="186"/>
      <c r="F481" s="187"/>
    </row>
    <row r="482" spans="1:6" x14ac:dyDescent="0.2">
      <c r="A482" s="275"/>
      <c r="B482" s="78"/>
      <c r="C482" s="189"/>
      <c r="D482" s="185"/>
      <c r="E482" s="186"/>
      <c r="F482" s="187"/>
    </row>
    <row r="483" spans="1:6" x14ac:dyDescent="0.2">
      <c r="A483" s="275"/>
      <c r="B483" s="78"/>
      <c r="C483" s="189"/>
      <c r="D483" s="185"/>
      <c r="E483" s="186"/>
      <c r="F483" s="187"/>
    </row>
    <row r="484" spans="1:6" x14ac:dyDescent="0.2">
      <c r="A484" s="275"/>
      <c r="B484" s="78"/>
      <c r="C484" s="189"/>
      <c r="D484" s="185"/>
      <c r="E484" s="186"/>
      <c r="F484" s="187"/>
    </row>
    <row r="485" spans="1:6" x14ac:dyDescent="0.2">
      <c r="A485" s="275"/>
      <c r="B485" s="78"/>
      <c r="C485" s="189"/>
      <c r="D485" s="185"/>
      <c r="E485" s="186"/>
      <c r="F485" s="187"/>
    </row>
    <row r="486" spans="1:6" x14ac:dyDescent="0.2">
      <c r="A486" s="275"/>
      <c r="B486" s="78"/>
      <c r="C486" s="189"/>
      <c r="D486" s="185"/>
      <c r="E486" s="186"/>
      <c r="F486" s="187"/>
    </row>
    <row r="487" spans="1:6" x14ac:dyDescent="0.2">
      <c r="A487" s="275"/>
      <c r="B487" s="78"/>
      <c r="C487" s="189"/>
      <c r="D487" s="185"/>
      <c r="E487" s="186"/>
      <c r="F487" s="187"/>
    </row>
    <row r="488" spans="1:6" x14ac:dyDescent="0.2">
      <c r="A488" s="275"/>
      <c r="B488" s="78"/>
      <c r="C488" s="189"/>
      <c r="D488" s="185"/>
      <c r="E488" s="186"/>
      <c r="F488" s="187"/>
    </row>
    <row r="489" spans="1:6" x14ac:dyDescent="0.2">
      <c r="A489" s="275"/>
      <c r="B489" s="78"/>
      <c r="C489" s="189"/>
      <c r="D489" s="185"/>
      <c r="E489" s="186"/>
      <c r="F489" s="187"/>
    </row>
    <row r="490" spans="1:6" x14ac:dyDescent="0.2">
      <c r="A490" s="275"/>
      <c r="B490" s="78"/>
      <c r="C490" s="189"/>
      <c r="D490" s="185"/>
      <c r="E490" s="186"/>
      <c r="F490" s="187"/>
    </row>
    <row r="491" spans="1:6" x14ac:dyDescent="0.2">
      <c r="A491" s="275"/>
      <c r="B491" s="78"/>
      <c r="C491" s="189"/>
      <c r="D491" s="185"/>
      <c r="E491" s="186"/>
      <c r="F491" s="187"/>
    </row>
    <row r="492" spans="1:6" x14ac:dyDescent="0.2">
      <c r="A492" s="275"/>
      <c r="B492" s="78"/>
      <c r="C492" s="189"/>
      <c r="D492" s="185"/>
      <c r="E492" s="186"/>
      <c r="F492" s="187"/>
    </row>
    <row r="493" spans="1:6" x14ac:dyDescent="0.2">
      <c r="A493" s="275"/>
      <c r="B493" s="78"/>
      <c r="C493" s="189"/>
      <c r="D493" s="185"/>
      <c r="E493" s="186"/>
      <c r="F493" s="187"/>
    </row>
    <row r="494" spans="1:6" x14ac:dyDescent="0.2">
      <c r="A494" s="275"/>
      <c r="B494" s="78"/>
      <c r="C494" s="189"/>
      <c r="D494" s="185"/>
      <c r="E494" s="186"/>
      <c r="F494" s="187"/>
    </row>
    <row r="495" spans="1:6" x14ac:dyDescent="0.2">
      <c r="A495" s="275"/>
      <c r="B495" s="78"/>
      <c r="C495" s="189"/>
      <c r="D495" s="185"/>
      <c r="E495" s="186"/>
      <c r="F495" s="187"/>
    </row>
    <row r="496" spans="1:6" x14ac:dyDescent="0.2">
      <c r="A496" s="275"/>
      <c r="B496" s="78"/>
      <c r="C496" s="189"/>
      <c r="D496" s="185"/>
      <c r="E496" s="186"/>
      <c r="F496" s="187"/>
    </row>
    <row r="497" spans="1:6" x14ac:dyDescent="0.2">
      <c r="A497" s="275"/>
      <c r="B497" s="78"/>
      <c r="C497" s="189"/>
      <c r="D497" s="185"/>
      <c r="E497" s="186"/>
      <c r="F497" s="187"/>
    </row>
    <row r="498" spans="1:6" x14ac:dyDescent="0.2">
      <c r="A498" s="275"/>
      <c r="B498" s="78"/>
      <c r="C498" s="189"/>
      <c r="D498" s="185"/>
      <c r="E498" s="186"/>
      <c r="F498" s="187"/>
    </row>
    <row r="499" spans="1:6" x14ac:dyDescent="0.2">
      <c r="A499" s="275"/>
      <c r="B499" s="78"/>
      <c r="C499" s="189"/>
      <c r="D499" s="185"/>
      <c r="E499" s="186"/>
      <c r="F499" s="187"/>
    </row>
    <row r="500" spans="1:6" x14ac:dyDescent="0.2">
      <c r="A500" s="275"/>
      <c r="B500" s="78"/>
      <c r="C500" s="189"/>
      <c r="D500" s="185"/>
      <c r="E500" s="186"/>
      <c r="F500" s="187"/>
    </row>
    <row r="501" spans="1:6" x14ac:dyDescent="0.2">
      <c r="A501" s="275"/>
      <c r="B501" s="78"/>
      <c r="C501" s="189"/>
      <c r="D501" s="185"/>
      <c r="E501" s="186"/>
      <c r="F501" s="187"/>
    </row>
    <row r="502" spans="1:6" x14ac:dyDescent="0.2">
      <c r="A502" s="275"/>
      <c r="B502" s="78"/>
      <c r="C502" s="189"/>
      <c r="D502" s="185"/>
      <c r="E502" s="186"/>
      <c r="F502" s="187"/>
    </row>
    <row r="503" spans="1:6" x14ac:dyDescent="0.2">
      <c r="A503" s="275"/>
      <c r="B503" s="78"/>
      <c r="C503" s="189"/>
      <c r="D503" s="185"/>
      <c r="E503" s="186"/>
      <c r="F503" s="187"/>
    </row>
    <row r="504" spans="1:6" x14ac:dyDescent="0.2">
      <c r="A504" s="275"/>
      <c r="B504" s="78"/>
      <c r="C504" s="189"/>
      <c r="D504" s="185"/>
      <c r="E504" s="186"/>
      <c r="F504" s="187"/>
    </row>
    <row r="505" spans="1:6" x14ac:dyDescent="0.2">
      <c r="A505" s="275"/>
      <c r="B505" s="78"/>
      <c r="C505" s="189"/>
      <c r="D505" s="185"/>
      <c r="E505" s="186"/>
      <c r="F505" s="187"/>
    </row>
    <row r="506" spans="1:6" x14ac:dyDescent="0.2">
      <c r="A506" s="275"/>
      <c r="B506" s="78"/>
      <c r="C506" s="189"/>
      <c r="D506" s="185"/>
      <c r="E506" s="186"/>
      <c r="F506" s="187"/>
    </row>
    <row r="507" spans="1:6" x14ac:dyDescent="0.2">
      <c r="A507" s="275"/>
      <c r="B507" s="78"/>
      <c r="C507" s="189"/>
      <c r="D507" s="185"/>
      <c r="E507" s="186"/>
      <c r="F507" s="187"/>
    </row>
    <row r="508" spans="1:6" x14ac:dyDescent="0.2">
      <c r="A508" s="275"/>
      <c r="B508" s="78"/>
      <c r="C508" s="189"/>
      <c r="D508" s="185"/>
      <c r="E508" s="186"/>
      <c r="F508" s="187"/>
    </row>
    <row r="509" spans="1:6" x14ac:dyDescent="0.2">
      <c r="A509" s="275"/>
      <c r="B509" s="78"/>
      <c r="C509" s="189"/>
      <c r="D509" s="185"/>
      <c r="E509" s="186"/>
      <c r="F509" s="187"/>
    </row>
    <row r="510" spans="1:6" x14ac:dyDescent="0.2">
      <c r="A510" s="275"/>
      <c r="B510" s="78"/>
      <c r="C510" s="189"/>
      <c r="D510" s="185"/>
      <c r="E510" s="186"/>
      <c r="F510" s="187"/>
    </row>
    <row r="511" spans="1:6" x14ac:dyDescent="0.2">
      <c r="A511" s="275"/>
      <c r="B511" s="78"/>
      <c r="C511" s="189"/>
      <c r="D511" s="185"/>
      <c r="E511" s="186"/>
      <c r="F511" s="187"/>
    </row>
    <row r="512" spans="1:6" x14ac:dyDescent="0.2">
      <c r="A512" s="275"/>
      <c r="B512" s="78"/>
      <c r="C512" s="189"/>
      <c r="D512" s="185"/>
      <c r="E512" s="186"/>
      <c r="F512" s="187"/>
    </row>
    <row r="513" spans="1:6" x14ac:dyDescent="0.2">
      <c r="A513" s="275"/>
      <c r="B513" s="78"/>
      <c r="C513" s="189"/>
      <c r="D513" s="185"/>
      <c r="E513" s="186"/>
      <c r="F513" s="187"/>
    </row>
    <row r="514" spans="1:6" x14ac:dyDescent="0.2">
      <c r="A514" s="275"/>
      <c r="B514" s="78"/>
      <c r="C514" s="189"/>
      <c r="D514" s="185"/>
      <c r="E514" s="186"/>
      <c r="F514" s="187"/>
    </row>
    <row r="515" spans="1:6" x14ac:dyDescent="0.2">
      <c r="A515" s="275"/>
      <c r="B515" s="78"/>
      <c r="C515" s="189"/>
      <c r="D515" s="185"/>
      <c r="E515" s="186"/>
      <c r="F515" s="187"/>
    </row>
    <row r="516" spans="1:6" x14ac:dyDescent="0.2">
      <c r="A516" s="275"/>
      <c r="B516" s="78"/>
      <c r="C516" s="189"/>
      <c r="D516" s="185"/>
      <c r="E516" s="186"/>
      <c r="F516" s="187"/>
    </row>
    <row r="517" spans="1:6" x14ac:dyDescent="0.2">
      <c r="A517" s="275"/>
      <c r="B517" s="78"/>
      <c r="C517" s="189"/>
      <c r="D517" s="185"/>
      <c r="E517" s="186"/>
      <c r="F517" s="187"/>
    </row>
    <row r="518" spans="1:6" x14ac:dyDescent="0.2">
      <c r="A518" s="275"/>
      <c r="B518" s="78"/>
      <c r="C518" s="189"/>
      <c r="D518" s="185"/>
      <c r="E518" s="186"/>
      <c r="F518" s="187"/>
    </row>
    <row r="519" spans="1:6" x14ac:dyDescent="0.2">
      <c r="A519" s="275"/>
      <c r="B519" s="78"/>
      <c r="C519" s="189"/>
      <c r="D519" s="185"/>
      <c r="E519" s="186"/>
      <c r="F519" s="187"/>
    </row>
    <row r="520" spans="1:6" x14ac:dyDescent="0.2">
      <c r="A520" s="275"/>
      <c r="B520" s="78"/>
      <c r="C520" s="189"/>
      <c r="D520" s="185"/>
      <c r="E520" s="186"/>
      <c r="F520" s="187"/>
    </row>
    <row r="521" spans="1:6" x14ac:dyDescent="0.2">
      <c r="A521" s="275"/>
      <c r="B521" s="78"/>
      <c r="C521" s="189"/>
      <c r="D521" s="185"/>
      <c r="E521" s="186"/>
      <c r="F521" s="187"/>
    </row>
    <row r="522" spans="1:6" x14ac:dyDescent="0.2">
      <c r="A522" s="275"/>
      <c r="B522" s="78"/>
      <c r="C522" s="189"/>
      <c r="D522" s="185"/>
      <c r="E522" s="186"/>
      <c r="F522" s="187"/>
    </row>
    <row r="523" spans="1:6" x14ac:dyDescent="0.2">
      <c r="A523" s="275"/>
      <c r="B523" s="78"/>
      <c r="C523" s="189"/>
      <c r="D523" s="185"/>
      <c r="E523" s="186"/>
      <c r="F523" s="187"/>
    </row>
    <row r="524" spans="1:6" x14ac:dyDescent="0.2">
      <c r="A524" s="275"/>
      <c r="B524" s="78"/>
      <c r="C524" s="189"/>
      <c r="D524" s="185"/>
      <c r="E524" s="186"/>
      <c r="F524" s="187"/>
    </row>
    <row r="525" spans="1:6" x14ac:dyDescent="0.2">
      <c r="A525" s="275"/>
      <c r="B525" s="78"/>
      <c r="C525" s="189"/>
      <c r="D525" s="185"/>
      <c r="E525" s="186"/>
      <c r="F525" s="187"/>
    </row>
    <row r="526" spans="1:6" x14ac:dyDescent="0.2">
      <c r="A526" s="275"/>
      <c r="B526" s="78"/>
      <c r="C526" s="189"/>
      <c r="D526" s="185"/>
      <c r="E526" s="186"/>
      <c r="F526" s="187"/>
    </row>
    <row r="527" spans="1:6" x14ac:dyDescent="0.2">
      <c r="A527" s="275"/>
      <c r="B527" s="78"/>
      <c r="C527" s="189"/>
      <c r="D527" s="185"/>
      <c r="E527" s="186"/>
      <c r="F527" s="187"/>
    </row>
    <row r="528" spans="1:6" x14ac:dyDescent="0.2">
      <c r="A528" s="275"/>
      <c r="B528" s="78"/>
      <c r="C528" s="189"/>
      <c r="D528" s="185"/>
      <c r="E528" s="186"/>
      <c r="F528" s="187"/>
    </row>
    <row r="529" spans="1:6" x14ac:dyDescent="0.2">
      <c r="A529" s="275"/>
      <c r="B529" s="78"/>
      <c r="C529" s="189"/>
      <c r="D529" s="185"/>
      <c r="E529" s="186"/>
      <c r="F529" s="187"/>
    </row>
    <row r="530" spans="1:6" x14ac:dyDescent="0.2">
      <c r="A530" s="275"/>
      <c r="B530" s="78"/>
      <c r="C530" s="189"/>
      <c r="D530" s="185"/>
      <c r="E530" s="186"/>
      <c r="F530" s="187"/>
    </row>
    <row r="531" spans="1:6" x14ac:dyDescent="0.2">
      <c r="A531" s="275"/>
      <c r="B531" s="78"/>
      <c r="C531" s="189"/>
      <c r="D531" s="185"/>
      <c r="E531" s="186"/>
      <c r="F531" s="187"/>
    </row>
    <row r="532" spans="1:6" x14ac:dyDescent="0.2">
      <c r="A532" s="275"/>
      <c r="B532" s="78"/>
      <c r="C532" s="189"/>
      <c r="D532" s="185"/>
      <c r="E532" s="186"/>
      <c r="F532" s="187"/>
    </row>
    <row r="533" spans="1:6" x14ac:dyDescent="0.2">
      <c r="A533" s="275"/>
      <c r="B533" s="78"/>
      <c r="C533" s="189"/>
      <c r="D533" s="185"/>
      <c r="E533" s="186"/>
      <c r="F533" s="187"/>
    </row>
    <row r="534" spans="1:6" x14ac:dyDescent="0.2">
      <c r="A534" s="275"/>
      <c r="B534" s="78"/>
      <c r="C534" s="189"/>
      <c r="D534" s="185"/>
      <c r="E534" s="186"/>
      <c r="F534" s="187"/>
    </row>
    <row r="535" spans="1:6" x14ac:dyDescent="0.2">
      <c r="A535" s="275"/>
      <c r="B535" s="78"/>
      <c r="C535" s="189"/>
      <c r="D535" s="185"/>
      <c r="E535" s="186"/>
      <c r="F535" s="187"/>
    </row>
    <row r="536" spans="1:6" x14ac:dyDescent="0.2">
      <c r="A536" s="275"/>
      <c r="B536" s="78"/>
      <c r="C536" s="189"/>
      <c r="D536" s="185"/>
      <c r="E536" s="186"/>
      <c r="F536" s="187"/>
    </row>
    <row r="537" spans="1:6" x14ac:dyDescent="0.2">
      <c r="A537" s="275"/>
      <c r="B537" s="78"/>
      <c r="C537" s="189"/>
      <c r="D537" s="185"/>
      <c r="E537" s="186"/>
      <c r="F537" s="187"/>
    </row>
    <row r="538" spans="1:6" x14ac:dyDescent="0.2">
      <c r="A538" s="275"/>
      <c r="B538" s="78"/>
      <c r="C538" s="189"/>
      <c r="D538" s="185"/>
      <c r="E538" s="186"/>
      <c r="F538" s="187"/>
    </row>
    <row r="539" spans="1:6" x14ac:dyDescent="0.2">
      <c r="A539" s="275"/>
      <c r="B539" s="78"/>
      <c r="C539" s="189"/>
      <c r="D539" s="185"/>
      <c r="E539" s="186"/>
      <c r="F539" s="187"/>
    </row>
    <row r="540" spans="1:6" x14ac:dyDescent="0.2">
      <c r="A540" s="275"/>
      <c r="B540" s="78"/>
      <c r="C540" s="189"/>
      <c r="D540" s="185"/>
      <c r="E540" s="186"/>
      <c r="F540" s="187"/>
    </row>
    <row r="541" spans="1:6" x14ac:dyDescent="0.2">
      <c r="A541" s="275"/>
      <c r="B541" s="78"/>
      <c r="C541" s="189"/>
      <c r="D541" s="185"/>
      <c r="E541" s="186"/>
      <c r="F541" s="187"/>
    </row>
    <row r="542" spans="1:6" x14ac:dyDescent="0.2">
      <c r="A542" s="275"/>
      <c r="B542" s="78"/>
      <c r="C542" s="189"/>
      <c r="D542" s="185"/>
      <c r="E542" s="186"/>
      <c r="F542" s="187"/>
    </row>
    <row r="543" spans="1:6" x14ac:dyDescent="0.2">
      <c r="A543" s="275"/>
      <c r="B543" s="78"/>
      <c r="C543" s="189"/>
      <c r="D543" s="185"/>
      <c r="E543" s="186"/>
      <c r="F543" s="187"/>
    </row>
    <row r="544" spans="1:6" x14ac:dyDescent="0.2">
      <c r="A544" s="275"/>
      <c r="B544" s="78"/>
      <c r="C544" s="189"/>
      <c r="D544" s="185"/>
      <c r="E544" s="186"/>
      <c r="F544" s="187"/>
    </row>
    <row r="545" spans="1:6" x14ac:dyDescent="0.2">
      <c r="A545" s="275"/>
      <c r="B545" s="78"/>
      <c r="C545" s="189"/>
      <c r="D545" s="185"/>
      <c r="E545" s="186"/>
      <c r="F545" s="187"/>
    </row>
    <row r="546" spans="1:6" x14ac:dyDescent="0.2">
      <c r="A546" s="275"/>
      <c r="B546" s="78"/>
      <c r="C546" s="189"/>
      <c r="D546" s="185"/>
      <c r="E546" s="186"/>
      <c r="F546" s="187"/>
    </row>
    <row r="547" spans="1:6" x14ac:dyDescent="0.2">
      <c r="A547" s="275"/>
      <c r="B547" s="78"/>
      <c r="C547" s="189"/>
      <c r="D547" s="185"/>
      <c r="E547" s="186"/>
      <c r="F547" s="187"/>
    </row>
    <row r="548" spans="1:6" x14ac:dyDescent="0.2">
      <c r="A548" s="275"/>
      <c r="B548" s="78"/>
      <c r="C548" s="189"/>
      <c r="D548" s="185"/>
      <c r="E548" s="186"/>
      <c r="F548" s="187"/>
    </row>
    <row r="549" spans="1:6" x14ac:dyDescent="0.2">
      <c r="A549" s="275"/>
      <c r="B549" s="78"/>
      <c r="C549" s="189"/>
      <c r="D549" s="185"/>
      <c r="E549" s="186"/>
      <c r="F549" s="187"/>
    </row>
    <row r="550" spans="1:6" x14ac:dyDescent="0.2">
      <c r="A550" s="275"/>
      <c r="B550" s="78"/>
      <c r="C550" s="189"/>
      <c r="D550" s="185"/>
      <c r="E550" s="186"/>
      <c r="F550" s="187"/>
    </row>
    <row r="551" spans="1:6" x14ac:dyDescent="0.2">
      <c r="A551" s="275"/>
      <c r="B551" s="78"/>
      <c r="C551" s="189"/>
      <c r="D551" s="185"/>
      <c r="E551" s="186"/>
      <c r="F551" s="187"/>
    </row>
    <row r="552" spans="1:6" x14ac:dyDescent="0.2">
      <c r="A552" s="275"/>
      <c r="B552" s="78"/>
      <c r="C552" s="189"/>
      <c r="D552" s="185"/>
      <c r="E552" s="186"/>
      <c r="F552" s="187"/>
    </row>
    <row r="553" spans="1:6" x14ac:dyDescent="0.2">
      <c r="A553" s="275"/>
      <c r="B553" s="78"/>
      <c r="C553" s="189"/>
      <c r="D553" s="185"/>
      <c r="E553" s="186"/>
      <c r="F553" s="187"/>
    </row>
    <row r="554" spans="1:6" x14ac:dyDescent="0.2">
      <c r="A554" s="275"/>
      <c r="B554" s="78"/>
      <c r="C554" s="189"/>
      <c r="D554" s="185"/>
      <c r="E554" s="186"/>
      <c r="F554" s="187"/>
    </row>
    <row r="555" spans="1:6" x14ac:dyDescent="0.2">
      <c r="A555" s="275"/>
      <c r="B555" s="78"/>
      <c r="C555" s="189"/>
      <c r="D555" s="185"/>
      <c r="E555" s="186"/>
      <c r="F555" s="187"/>
    </row>
    <row r="556" spans="1:6" x14ac:dyDescent="0.2">
      <c r="A556" s="275"/>
      <c r="B556" s="78"/>
      <c r="C556" s="189"/>
      <c r="D556" s="185"/>
      <c r="E556" s="186"/>
      <c r="F556" s="187"/>
    </row>
    <row r="557" spans="1:6" x14ac:dyDescent="0.2">
      <c r="A557" s="275"/>
      <c r="B557" s="78"/>
      <c r="C557" s="189"/>
      <c r="D557" s="185"/>
      <c r="E557" s="186"/>
      <c r="F557" s="187"/>
    </row>
    <row r="558" spans="1:6" x14ac:dyDescent="0.2">
      <c r="A558" s="275"/>
      <c r="B558" s="78"/>
      <c r="C558" s="189"/>
      <c r="D558" s="185"/>
      <c r="E558" s="186"/>
      <c r="F558" s="187"/>
    </row>
    <row r="559" spans="1:6" x14ac:dyDescent="0.2">
      <c r="A559" s="275"/>
      <c r="B559" s="78"/>
      <c r="C559" s="189"/>
      <c r="D559" s="185"/>
      <c r="E559" s="186"/>
      <c r="F559" s="187"/>
    </row>
    <row r="560" spans="1:6" x14ac:dyDescent="0.2">
      <c r="A560" s="275"/>
      <c r="B560" s="78"/>
      <c r="C560" s="189"/>
      <c r="D560" s="185"/>
      <c r="E560" s="186"/>
      <c r="F560" s="187"/>
    </row>
    <row r="561" spans="1:6" x14ac:dyDescent="0.2">
      <c r="A561" s="275"/>
      <c r="B561" s="78"/>
      <c r="C561" s="189"/>
      <c r="D561" s="185"/>
      <c r="E561" s="186"/>
      <c r="F561" s="187"/>
    </row>
    <row r="562" spans="1:6" x14ac:dyDescent="0.2">
      <c r="A562" s="275"/>
      <c r="B562" s="78"/>
      <c r="C562" s="189"/>
      <c r="D562" s="185"/>
      <c r="E562" s="186"/>
      <c r="F562" s="187"/>
    </row>
    <row r="563" spans="1:6" x14ac:dyDescent="0.2">
      <c r="A563" s="275"/>
      <c r="B563" s="78"/>
      <c r="C563" s="189"/>
      <c r="D563" s="185"/>
      <c r="E563" s="186"/>
      <c r="F563" s="187"/>
    </row>
    <row r="564" spans="1:6" x14ac:dyDescent="0.2">
      <c r="A564" s="275"/>
      <c r="B564" s="78"/>
      <c r="C564" s="189"/>
      <c r="D564" s="185"/>
      <c r="E564" s="186"/>
      <c r="F564" s="187"/>
    </row>
    <row r="565" spans="1:6" x14ac:dyDescent="0.2">
      <c r="A565" s="275"/>
      <c r="B565" s="78"/>
      <c r="C565" s="189"/>
      <c r="D565" s="185"/>
      <c r="E565" s="186"/>
      <c r="F565" s="187"/>
    </row>
    <row r="566" spans="1:6" x14ac:dyDescent="0.2">
      <c r="A566" s="275"/>
      <c r="B566" s="78"/>
      <c r="C566" s="189"/>
      <c r="D566" s="185"/>
      <c r="E566" s="186"/>
      <c r="F566" s="187"/>
    </row>
    <row r="567" spans="1:6" x14ac:dyDescent="0.2">
      <c r="A567" s="275"/>
      <c r="B567" s="78"/>
      <c r="C567" s="189"/>
      <c r="D567" s="185"/>
      <c r="E567" s="186"/>
      <c r="F567" s="187"/>
    </row>
    <row r="568" spans="1:6" x14ac:dyDescent="0.2">
      <c r="A568" s="275"/>
      <c r="B568" s="78"/>
      <c r="C568" s="189"/>
      <c r="D568" s="185"/>
      <c r="E568" s="186"/>
      <c r="F568" s="187"/>
    </row>
    <row r="569" spans="1:6" x14ac:dyDescent="0.2">
      <c r="A569" s="275"/>
      <c r="B569" s="78"/>
      <c r="C569" s="189"/>
      <c r="D569" s="185"/>
      <c r="E569" s="186"/>
      <c r="F569" s="187"/>
    </row>
    <row r="570" spans="1:6" x14ac:dyDescent="0.2">
      <c r="A570" s="275"/>
      <c r="B570" s="78"/>
      <c r="C570" s="189"/>
      <c r="D570" s="185"/>
      <c r="E570" s="186"/>
      <c r="F570" s="187"/>
    </row>
    <row r="571" spans="1:6" x14ac:dyDescent="0.2">
      <c r="A571" s="275"/>
      <c r="B571" s="78"/>
      <c r="C571" s="189"/>
      <c r="D571" s="185"/>
      <c r="E571" s="186"/>
      <c r="F571" s="187"/>
    </row>
    <row r="572" spans="1:6" x14ac:dyDescent="0.2">
      <c r="A572" s="275"/>
      <c r="B572" s="78"/>
      <c r="C572" s="189"/>
      <c r="D572" s="185"/>
      <c r="E572" s="186"/>
      <c r="F572" s="187"/>
    </row>
    <row r="573" spans="1:6" x14ac:dyDescent="0.2">
      <c r="A573" s="275"/>
      <c r="B573" s="78"/>
      <c r="C573" s="189"/>
      <c r="D573" s="185"/>
      <c r="E573" s="186"/>
      <c r="F573" s="187"/>
    </row>
    <row r="574" spans="1:6" x14ac:dyDescent="0.2">
      <c r="A574" s="275"/>
      <c r="B574" s="78"/>
      <c r="C574" s="189"/>
      <c r="D574" s="185"/>
      <c r="E574" s="186"/>
      <c r="F574" s="187"/>
    </row>
    <row r="575" spans="1:6" x14ac:dyDescent="0.2">
      <c r="A575" s="275"/>
      <c r="B575" s="78"/>
      <c r="C575" s="189"/>
      <c r="D575" s="185"/>
      <c r="E575" s="186"/>
      <c r="F575" s="187"/>
    </row>
    <row r="576" spans="1:6" x14ac:dyDescent="0.2">
      <c r="A576" s="275"/>
      <c r="B576" s="78"/>
      <c r="C576" s="189"/>
      <c r="D576" s="185"/>
      <c r="E576" s="186"/>
      <c r="F576" s="187"/>
    </row>
    <row r="577" spans="1:6" x14ac:dyDescent="0.2">
      <c r="A577" s="275"/>
      <c r="B577" s="78"/>
      <c r="C577" s="189"/>
      <c r="D577" s="185"/>
      <c r="E577" s="186"/>
      <c r="F577" s="187"/>
    </row>
    <row r="578" spans="1:6" x14ac:dyDescent="0.2">
      <c r="A578" s="275"/>
      <c r="B578" s="78"/>
      <c r="C578" s="189"/>
      <c r="D578" s="185"/>
      <c r="E578" s="186"/>
      <c r="F578" s="187"/>
    </row>
    <row r="579" spans="1:6" x14ac:dyDescent="0.2">
      <c r="A579" s="275"/>
      <c r="B579" s="78"/>
      <c r="C579" s="189"/>
      <c r="D579" s="185"/>
      <c r="E579" s="186"/>
      <c r="F579" s="187"/>
    </row>
    <row r="580" spans="1:6" x14ac:dyDescent="0.2">
      <c r="A580" s="275"/>
      <c r="B580" s="78"/>
      <c r="C580" s="189"/>
      <c r="D580" s="185"/>
      <c r="E580" s="186"/>
      <c r="F580" s="187"/>
    </row>
    <row r="581" spans="1:6" x14ac:dyDescent="0.2">
      <c r="A581" s="275"/>
      <c r="B581" s="78"/>
      <c r="C581" s="189"/>
      <c r="D581" s="185"/>
      <c r="E581" s="186"/>
      <c r="F581" s="187"/>
    </row>
    <row r="582" spans="1:6" x14ac:dyDescent="0.2">
      <c r="A582" s="275"/>
      <c r="B582" s="78"/>
      <c r="C582" s="189"/>
      <c r="D582" s="185"/>
      <c r="E582" s="186"/>
      <c r="F582" s="187"/>
    </row>
    <row r="583" spans="1:6" x14ac:dyDescent="0.2">
      <c r="A583" s="275"/>
      <c r="B583" s="78"/>
      <c r="C583" s="189"/>
      <c r="D583" s="185"/>
      <c r="E583" s="186"/>
      <c r="F583" s="187"/>
    </row>
    <row r="584" spans="1:6" x14ac:dyDescent="0.2">
      <c r="A584" s="275"/>
      <c r="B584" s="78"/>
      <c r="C584" s="189"/>
      <c r="D584" s="185"/>
      <c r="E584" s="186"/>
      <c r="F584" s="187"/>
    </row>
    <row r="585" spans="1:6" x14ac:dyDescent="0.2">
      <c r="A585" s="275"/>
      <c r="B585" s="78"/>
      <c r="C585" s="189"/>
      <c r="D585" s="185"/>
      <c r="E585" s="186"/>
      <c r="F585" s="187"/>
    </row>
    <row r="586" spans="1:6" x14ac:dyDescent="0.2">
      <c r="A586" s="275"/>
      <c r="B586" s="78"/>
      <c r="C586" s="189"/>
      <c r="D586" s="185"/>
      <c r="E586" s="186"/>
      <c r="F586" s="187"/>
    </row>
    <row r="587" spans="1:6" x14ac:dyDescent="0.2">
      <c r="A587" s="275"/>
      <c r="B587" s="78"/>
      <c r="C587" s="189"/>
      <c r="D587" s="185"/>
      <c r="E587" s="186"/>
      <c r="F587" s="187"/>
    </row>
    <row r="588" spans="1:6" x14ac:dyDescent="0.2">
      <c r="A588" s="275"/>
      <c r="B588" s="78"/>
      <c r="C588" s="189"/>
      <c r="D588" s="185"/>
      <c r="E588" s="186"/>
      <c r="F588" s="187"/>
    </row>
    <row r="589" spans="1:6" x14ac:dyDescent="0.2">
      <c r="A589" s="275"/>
      <c r="B589" s="78"/>
      <c r="C589" s="189"/>
      <c r="D589" s="185"/>
      <c r="E589" s="186"/>
      <c r="F589" s="187"/>
    </row>
    <row r="590" spans="1:6" x14ac:dyDescent="0.2">
      <c r="A590" s="275"/>
      <c r="B590" s="78"/>
      <c r="C590" s="189"/>
      <c r="D590" s="185"/>
      <c r="E590" s="186"/>
      <c r="F590" s="187"/>
    </row>
    <row r="591" spans="1:6" x14ac:dyDescent="0.2">
      <c r="A591" s="275"/>
      <c r="B591" s="78"/>
      <c r="C591" s="189"/>
      <c r="D591" s="185"/>
      <c r="E591" s="186"/>
      <c r="F591" s="187"/>
    </row>
    <row r="592" spans="1:6" x14ac:dyDescent="0.2">
      <c r="A592" s="275"/>
      <c r="B592" s="78"/>
      <c r="C592" s="189"/>
      <c r="D592" s="185"/>
      <c r="E592" s="186"/>
      <c r="F592" s="187"/>
    </row>
    <row r="593" spans="1:6" x14ac:dyDescent="0.2">
      <c r="A593" s="275"/>
      <c r="B593" s="78"/>
      <c r="C593" s="189"/>
      <c r="D593" s="185"/>
      <c r="E593" s="186"/>
      <c r="F593" s="187"/>
    </row>
    <row r="594" spans="1:6" x14ac:dyDescent="0.2">
      <c r="A594" s="275"/>
      <c r="B594" s="78"/>
      <c r="C594" s="189"/>
      <c r="D594" s="185"/>
      <c r="E594" s="186"/>
      <c r="F594" s="187"/>
    </row>
    <row r="595" spans="1:6" x14ac:dyDescent="0.2">
      <c r="A595" s="275"/>
      <c r="B595" s="78"/>
      <c r="C595" s="189"/>
      <c r="D595" s="185"/>
      <c r="E595" s="186"/>
      <c r="F595" s="187"/>
    </row>
    <row r="596" spans="1:6" x14ac:dyDescent="0.2">
      <c r="A596" s="275"/>
      <c r="B596" s="78"/>
      <c r="C596" s="189"/>
      <c r="D596" s="185"/>
      <c r="E596" s="186"/>
      <c r="F596" s="187"/>
    </row>
    <row r="597" spans="1:6" x14ac:dyDescent="0.2">
      <c r="A597" s="275"/>
      <c r="B597" s="78"/>
      <c r="C597" s="189"/>
      <c r="D597" s="185"/>
      <c r="E597" s="186"/>
      <c r="F597" s="187"/>
    </row>
    <row r="598" spans="1:6" x14ac:dyDescent="0.2">
      <c r="A598" s="275"/>
      <c r="B598" s="78"/>
      <c r="C598" s="189"/>
      <c r="D598" s="185"/>
      <c r="E598" s="186"/>
      <c r="F598" s="187"/>
    </row>
    <row r="599" spans="1:6" x14ac:dyDescent="0.2">
      <c r="A599" s="275"/>
      <c r="B599" s="78"/>
      <c r="C599" s="189"/>
      <c r="D599" s="185"/>
      <c r="E599" s="186"/>
      <c r="F599" s="187"/>
    </row>
    <row r="600" spans="1:6" x14ac:dyDescent="0.2">
      <c r="A600" s="275"/>
      <c r="B600" s="78"/>
      <c r="C600" s="189"/>
      <c r="D600" s="185"/>
      <c r="E600" s="186"/>
      <c r="F600" s="187"/>
    </row>
    <row r="601" spans="1:6" x14ac:dyDescent="0.2">
      <c r="A601" s="275"/>
      <c r="B601" s="78"/>
      <c r="C601" s="189"/>
      <c r="D601" s="185"/>
      <c r="E601" s="186"/>
      <c r="F601" s="187"/>
    </row>
    <row r="602" spans="1:6" x14ac:dyDescent="0.2">
      <c r="A602" s="275"/>
      <c r="B602" s="78"/>
      <c r="C602" s="189"/>
      <c r="D602" s="185"/>
      <c r="E602" s="186"/>
      <c r="F602" s="187"/>
    </row>
    <row r="603" spans="1:6" x14ac:dyDescent="0.2">
      <c r="A603" s="275"/>
      <c r="B603" s="78"/>
      <c r="C603" s="189"/>
      <c r="D603" s="185"/>
      <c r="E603" s="186"/>
      <c r="F603" s="187"/>
    </row>
    <row r="604" spans="1:6" x14ac:dyDescent="0.2">
      <c r="A604" s="275"/>
      <c r="B604" s="78"/>
      <c r="C604" s="189"/>
      <c r="D604" s="185"/>
      <c r="E604" s="186"/>
      <c r="F604" s="187"/>
    </row>
    <row r="605" spans="1:6" x14ac:dyDescent="0.2">
      <c r="A605" s="275"/>
      <c r="B605" s="78"/>
      <c r="C605" s="189"/>
      <c r="D605" s="185"/>
      <c r="E605" s="186"/>
      <c r="F605" s="187"/>
    </row>
    <row r="606" spans="1:6" x14ac:dyDescent="0.2">
      <c r="A606" s="275"/>
      <c r="B606" s="78"/>
      <c r="C606" s="189"/>
      <c r="D606" s="185"/>
      <c r="E606" s="186"/>
      <c r="F606" s="187"/>
    </row>
    <row r="607" spans="1:6" x14ac:dyDescent="0.2">
      <c r="A607" s="275"/>
      <c r="B607" s="78"/>
      <c r="C607" s="189"/>
      <c r="D607" s="185"/>
      <c r="E607" s="186"/>
      <c r="F607" s="187"/>
    </row>
    <row r="608" spans="1:6" x14ac:dyDescent="0.2">
      <c r="A608" s="275"/>
      <c r="B608" s="78"/>
      <c r="C608" s="189"/>
      <c r="D608" s="185"/>
      <c r="E608" s="186"/>
      <c r="F608" s="187"/>
    </row>
    <row r="609" spans="1:6" x14ac:dyDescent="0.2">
      <c r="A609" s="275"/>
      <c r="B609" s="78"/>
      <c r="C609" s="189"/>
      <c r="D609" s="185"/>
      <c r="E609" s="186"/>
      <c r="F609" s="187"/>
    </row>
    <row r="610" spans="1:6" x14ac:dyDescent="0.2">
      <c r="A610" s="275"/>
      <c r="B610" s="78"/>
      <c r="C610" s="189"/>
      <c r="D610" s="185"/>
      <c r="E610" s="186"/>
      <c r="F610" s="187"/>
    </row>
    <row r="611" spans="1:6" x14ac:dyDescent="0.2">
      <c r="A611" s="275"/>
      <c r="B611" s="78"/>
      <c r="C611" s="189"/>
      <c r="D611" s="185"/>
      <c r="E611" s="186"/>
      <c r="F611" s="187"/>
    </row>
    <row r="612" spans="1:6" x14ac:dyDescent="0.2">
      <c r="A612" s="275"/>
      <c r="B612" s="78"/>
      <c r="C612" s="189"/>
      <c r="D612" s="185"/>
      <c r="E612" s="186"/>
      <c r="F612" s="187"/>
    </row>
    <row r="613" spans="1:6" x14ac:dyDescent="0.2">
      <c r="A613" s="275"/>
      <c r="B613" s="78"/>
      <c r="C613" s="189"/>
      <c r="D613" s="185"/>
      <c r="E613" s="186"/>
      <c r="F613" s="187"/>
    </row>
    <row r="614" spans="1:6" x14ac:dyDescent="0.2">
      <c r="A614" s="275"/>
      <c r="B614" s="78"/>
      <c r="C614" s="189"/>
      <c r="D614" s="185"/>
      <c r="E614" s="186"/>
      <c r="F614" s="187"/>
    </row>
    <row r="615" spans="1:6" x14ac:dyDescent="0.2">
      <c r="A615" s="275"/>
      <c r="B615" s="78"/>
      <c r="C615" s="189"/>
      <c r="D615" s="185"/>
      <c r="E615" s="186"/>
      <c r="F615" s="187"/>
    </row>
    <row r="616" spans="1:6" x14ac:dyDescent="0.2">
      <c r="A616" s="275"/>
      <c r="B616" s="78"/>
      <c r="C616" s="189"/>
      <c r="D616" s="185"/>
      <c r="E616" s="186"/>
      <c r="F616" s="187"/>
    </row>
    <row r="617" spans="1:6" x14ac:dyDescent="0.2">
      <c r="A617" s="275"/>
      <c r="B617" s="78"/>
      <c r="C617" s="189"/>
      <c r="D617" s="185"/>
      <c r="E617" s="186"/>
      <c r="F617" s="187"/>
    </row>
    <row r="618" spans="1:6" x14ac:dyDescent="0.2">
      <c r="A618" s="275"/>
      <c r="B618" s="78"/>
      <c r="C618" s="189"/>
      <c r="D618" s="185"/>
      <c r="E618" s="186"/>
      <c r="F618" s="187"/>
    </row>
    <row r="619" spans="1:6" x14ac:dyDescent="0.2">
      <c r="A619" s="275"/>
      <c r="B619" s="78"/>
      <c r="C619" s="189"/>
      <c r="D619" s="185"/>
      <c r="E619" s="186"/>
      <c r="F619" s="187"/>
    </row>
    <row r="620" spans="1:6" x14ac:dyDescent="0.2">
      <c r="A620" s="275"/>
      <c r="B620" s="78"/>
      <c r="C620" s="189"/>
      <c r="D620" s="185"/>
      <c r="E620" s="186"/>
      <c r="F620" s="187"/>
    </row>
    <row r="621" spans="1:6" x14ac:dyDescent="0.2">
      <c r="A621" s="275"/>
      <c r="B621" s="78"/>
      <c r="C621" s="189"/>
      <c r="D621" s="185"/>
      <c r="E621" s="186"/>
      <c r="F621" s="187"/>
    </row>
    <row r="622" spans="1:6" x14ac:dyDescent="0.2">
      <c r="A622" s="275"/>
      <c r="B622" s="78"/>
      <c r="C622" s="189"/>
      <c r="D622" s="185"/>
      <c r="E622" s="186"/>
      <c r="F622" s="187"/>
    </row>
    <row r="623" spans="1:6" x14ac:dyDescent="0.2">
      <c r="A623" s="275"/>
      <c r="B623" s="78"/>
      <c r="C623" s="189"/>
      <c r="D623" s="185"/>
      <c r="E623" s="186"/>
      <c r="F623" s="187"/>
    </row>
    <row r="624" spans="1:6" x14ac:dyDescent="0.2">
      <c r="A624" s="275"/>
      <c r="B624" s="78"/>
      <c r="C624" s="189"/>
      <c r="D624" s="185"/>
      <c r="E624" s="186"/>
      <c r="F624" s="187"/>
    </row>
    <row r="625" spans="1:6" x14ac:dyDescent="0.2">
      <c r="A625" s="275"/>
      <c r="B625" s="78"/>
      <c r="C625" s="189"/>
      <c r="D625" s="185"/>
      <c r="E625" s="186"/>
      <c r="F625" s="187"/>
    </row>
    <row r="626" spans="1:6" x14ac:dyDescent="0.2">
      <c r="A626" s="275"/>
      <c r="B626" s="78"/>
      <c r="C626" s="189"/>
      <c r="D626" s="185"/>
      <c r="E626" s="186"/>
      <c r="F626" s="187"/>
    </row>
    <row r="627" spans="1:6" x14ac:dyDescent="0.2">
      <c r="A627" s="275"/>
      <c r="B627" s="78"/>
      <c r="C627" s="189"/>
      <c r="D627" s="185"/>
      <c r="E627" s="186"/>
      <c r="F627" s="187"/>
    </row>
    <row r="628" spans="1:6" x14ac:dyDescent="0.2">
      <c r="A628" s="275"/>
      <c r="B628" s="78"/>
      <c r="C628" s="189"/>
      <c r="D628" s="185"/>
      <c r="E628" s="186"/>
      <c r="F628" s="187"/>
    </row>
    <row r="629" spans="1:6" x14ac:dyDescent="0.2">
      <c r="A629" s="275"/>
      <c r="B629" s="78"/>
      <c r="C629" s="189"/>
      <c r="D629" s="185"/>
      <c r="E629" s="186"/>
      <c r="F629" s="187"/>
    </row>
    <row r="630" spans="1:6" x14ac:dyDescent="0.2">
      <c r="A630" s="275"/>
      <c r="B630" s="78"/>
      <c r="C630" s="189"/>
      <c r="D630" s="185"/>
      <c r="E630" s="186"/>
      <c r="F630" s="187"/>
    </row>
    <row r="631" spans="1:6" x14ac:dyDescent="0.2">
      <c r="A631" s="275"/>
      <c r="B631" s="78"/>
      <c r="C631" s="189"/>
      <c r="D631" s="185"/>
      <c r="E631" s="186"/>
      <c r="F631" s="187"/>
    </row>
    <row r="632" spans="1:6" x14ac:dyDescent="0.2">
      <c r="A632" s="275"/>
      <c r="B632" s="78"/>
      <c r="C632" s="189"/>
      <c r="D632" s="185"/>
      <c r="E632" s="186"/>
      <c r="F632" s="187"/>
    </row>
    <row r="633" spans="1:6" x14ac:dyDescent="0.2">
      <c r="A633" s="275"/>
      <c r="B633" s="78"/>
      <c r="C633" s="189"/>
      <c r="D633" s="185"/>
      <c r="E633" s="186"/>
      <c r="F633" s="187"/>
    </row>
    <row r="634" spans="1:6" x14ac:dyDescent="0.2">
      <c r="A634" s="275"/>
      <c r="B634" s="78"/>
      <c r="C634" s="189"/>
      <c r="D634" s="185"/>
      <c r="E634" s="186"/>
      <c r="F634" s="187"/>
    </row>
    <row r="635" spans="1:6" x14ac:dyDescent="0.2">
      <c r="A635" s="275"/>
      <c r="B635" s="78"/>
      <c r="C635" s="189"/>
      <c r="D635" s="185"/>
      <c r="E635" s="186"/>
      <c r="F635" s="187"/>
    </row>
    <row r="636" spans="1:6" x14ac:dyDescent="0.2">
      <c r="A636" s="275"/>
      <c r="B636" s="78"/>
      <c r="C636" s="189"/>
      <c r="D636" s="185"/>
      <c r="E636" s="186"/>
      <c r="F636" s="187"/>
    </row>
    <row r="637" spans="1:6" x14ac:dyDescent="0.2">
      <c r="A637" s="275"/>
      <c r="B637" s="78"/>
      <c r="C637" s="189"/>
      <c r="D637" s="185"/>
      <c r="E637" s="186"/>
      <c r="F637" s="187"/>
    </row>
    <row r="638" spans="1:6" x14ac:dyDescent="0.2">
      <c r="A638" s="275"/>
      <c r="B638" s="78"/>
      <c r="C638" s="189"/>
      <c r="D638" s="185"/>
      <c r="E638" s="186"/>
      <c r="F638" s="187"/>
    </row>
    <row r="639" spans="1:6" x14ac:dyDescent="0.2">
      <c r="A639" s="275"/>
      <c r="B639" s="78"/>
      <c r="C639" s="189"/>
      <c r="D639" s="185"/>
      <c r="E639" s="186"/>
      <c r="F639" s="187"/>
    </row>
    <row r="640" spans="1:6" x14ac:dyDescent="0.2">
      <c r="A640" s="275"/>
      <c r="B640" s="78"/>
      <c r="C640" s="189"/>
      <c r="D640" s="185"/>
      <c r="E640" s="186"/>
      <c r="F640" s="187"/>
    </row>
    <row r="641" spans="1:6" x14ac:dyDescent="0.2">
      <c r="A641" s="275"/>
      <c r="B641" s="78"/>
      <c r="C641" s="189"/>
      <c r="D641" s="185"/>
      <c r="E641" s="186"/>
      <c r="F641" s="187"/>
    </row>
    <row r="642" spans="1:6" x14ac:dyDescent="0.2">
      <c r="A642" s="275"/>
      <c r="B642" s="78"/>
      <c r="C642" s="189"/>
      <c r="D642" s="185"/>
      <c r="E642" s="186"/>
      <c r="F642" s="187"/>
    </row>
    <row r="643" spans="1:6" x14ac:dyDescent="0.2">
      <c r="A643" s="275"/>
      <c r="B643" s="78"/>
      <c r="C643" s="189"/>
      <c r="D643" s="185"/>
      <c r="E643" s="186"/>
      <c r="F643" s="187"/>
    </row>
    <row r="644" spans="1:6" x14ac:dyDescent="0.2">
      <c r="A644" s="275"/>
      <c r="B644" s="78"/>
      <c r="C644" s="189"/>
      <c r="D644" s="185"/>
      <c r="E644" s="186"/>
      <c r="F644" s="187"/>
    </row>
    <row r="645" spans="1:6" x14ac:dyDescent="0.2">
      <c r="A645" s="275"/>
      <c r="B645" s="78"/>
      <c r="C645" s="189"/>
      <c r="D645" s="185"/>
      <c r="E645" s="186"/>
      <c r="F645" s="187"/>
    </row>
    <row r="646" spans="1:6" x14ac:dyDescent="0.2">
      <c r="A646" s="275"/>
      <c r="B646" s="78"/>
      <c r="C646" s="189"/>
      <c r="D646" s="185"/>
      <c r="E646" s="186"/>
      <c r="F646" s="187"/>
    </row>
    <row r="647" spans="1:6" x14ac:dyDescent="0.2">
      <c r="A647" s="275"/>
      <c r="B647" s="78"/>
      <c r="C647" s="189"/>
      <c r="D647" s="185"/>
      <c r="E647" s="186"/>
      <c r="F647" s="187"/>
    </row>
    <row r="648" spans="1:6" x14ac:dyDescent="0.2">
      <c r="A648" s="275"/>
      <c r="B648" s="78"/>
      <c r="C648" s="189"/>
      <c r="D648" s="185"/>
      <c r="E648" s="186"/>
      <c r="F648" s="187"/>
    </row>
    <row r="649" spans="1:6" x14ac:dyDescent="0.2">
      <c r="A649" s="275"/>
      <c r="B649" s="78"/>
      <c r="C649" s="189"/>
      <c r="D649" s="185"/>
      <c r="E649" s="186"/>
      <c r="F649" s="187"/>
    </row>
    <row r="650" spans="1:6" x14ac:dyDescent="0.2">
      <c r="A650" s="275"/>
      <c r="B650" s="78"/>
      <c r="C650" s="189"/>
      <c r="D650" s="185"/>
      <c r="E650" s="186"/>
      <c r="F650" s="187"/>
    </row>
    <row r="651" spans="1:6" x14ac:dyDescent="0.2">
      <c r="A651" s="275"/>
      <c r="B651" s="78"/>
      <c r="C651" s="189"/>
      <c r="D651" s="185"/>
      <c r="E651" s="186"/>
      <c r="F651" s="187"/>
    </row>
    <row r="652" spans="1:6" x14ac:dyDescent="0.2">
      <c r="A652" s="275"/>
      <c r="B652" s="78"/>
      <c r="C652" s="189"/>
      <c r="D652" s="185"/>
      <c r="E652" s="186"/>
      <c r="F652" s="187"/>
    </row>
    <row r="653" spans="1:6" x14ac:dyDescent="0.2">
      <c r="A653" s="275"/>
      <c r="B653" s="78"/>
      <c r="C653" s="189"/>
      <c r="D653" s="185"/>
      <c r="E653" s="186"/>
      <c r="F653" s="187"/>
    </row>
    <row r="654" spans="1:6" x14ac:dyDescent="0.2">
      <c r="A654" s="275"/>
      <c r="B654" s="78"/>
      <c r="C654" s="189"/>
      <c r="D654" s="185"/>
      <c r="E654" s="186"/>
      <c r="F654" s="187"/>
    </row>
    <row r="655" spans="1:6" x14ac:dyDescent="0.2">
      <c r="A655" s="275"/>
      <c r="B655" s="78"/>
      <c r="C655" s="189"/>
      <c r="D655" s="185"/>
      <c r="E655" s="186"/>
      <c r="F655" s="187"/>
    </row>
    <row r="656" spans="1:6" x14ac:dyDescent="0.2">
      <c r="A656" s="275"/>
      <c r="B656" s="78"/>
      <c r="C656" s="189"/>
      <c r="D656" s="185"/>
      <c r="E656" s="186"/>
      <c r="F656" s="187"/>
    </row>
    <row r="657" spans="1:6" x14ac:dyDescent="0.2">
      <c r="A657" s="275"/>
      <c r="B657" s="78"/>
      <c r="C657" s="189"/>
      <c r="D657" s="185"/>
      <c r="E657" s="186"/>
      <c r="F657" s="187"/>
    </row>
    <row r="658" spans="1:6" x14ac:dyDescent="0.2">
      <c r="A658" s="275"/>
      <c r="B658" s="78"/>
      <c r="C658" s="189"/>
      <c r="D658" s="185"/>
      <c r="E658" s="186"/>
      <c r="F658" s="187"/>
    </row>
    <row r="659" spans="1:6" x14ac:dyDescent="0.2">
      <c r="A659" s="275"/>
      <c r="B659" s="78"/>
      <c r="C659" s="189"/>
      <c r="D659" s="185"/>
      <c r="E659" s="186"/>
      <c r="F659" s="187"/>
    </row>
    <row r="660" spans="1:6" x14ac:dyDescent="0.2">
      <c r="A660" s="275"/>
      <c r="B660" s="78"/>
      <c r="C660" s="189"/>
      <c r="D660" s="185"/>
      <c r="E660" s="186"/>
      <c r="F660" s="187"/>
    </row>
    <row r="661" spans="1:6" x14ac:dyDescent="0.2">
      <c r="A661" s="275"/>
      <c r="B661" s="78"/>
      <c r="C661" s="189"/>
      <c r="D661" s="185"/>
      <c r="E661" s="186"/>
      <c r="F661" s="187"/>
    </row>
    <row r="662" spans="1:6" x14ac:dyDescent="0.2">
      <c r="A662" s="275"/>
      <c r="B662" s="78"/>
      <c r="C662" s="189"/>
      <c r="D662" s="185"/>
      <c r="E662" s="186"/>
      <c r="F662" s="187"/>
    </row>
    <row r="663" spans="1:6" x14ac:dyDescent="0.2">
      <c r="A663" s="275"/>
      <c r="B663" s="78"/>
      <c r="C663" s="189"/>
      <c r="D663" s="185"/>
      <c r="E663" s="186"/>
      <c r="F663" s="187"/>
    </row>
    <row r="664" spans="1:6" x14ac:dyDescent="0.2">
      <c r="A664" s="275"/>
      <c r="B664" s="78"/>
      <c r="C664" s="189"/>
      <c r="D664" s="185"/>
      <c r="E664" s="186"/>
      <c r="F664" s="187"/>
    </row>
    <row r="665" spans="1:6" x14ac:dyDescent="0.2">
      <c r="A665" s="275"/>
      <c r="B665" s="78"/>
      <c r="C665" s="189"/>
      <c r="D665" s="185"/>
      <c r="E665" s="186"/>
      <c r="F665" s="187"/>
    </row>
    <row r="666" spans="1:6" x14ac:dyDescent="0.2">
      <c r="A666" s="275"/>
      <c r="B666" s="78"/>
      <c r="C666" s="189"/>
      <c r="D666" s="185"/>
      <c r="E666" s="186"/>
      <c r="F666" s="187"/>
    </row>
    <row r="667" spans="1:6" x14ac:dyDescent="0.2">
      <c r="A667" s="275"/>
      <c r="B667" s="78"/>
      <c r="C667" s="189"/>
      <c r="D667" s="185"/>
      <c r="E667" s="186"/>
      <c r="F667" s="187"/>
    </row>
    <row r="668" spans="1:6" x14ac:dyDescent="0.2">
      <c r="A668" s="275"/>
      <c r="B668" s="78"/>
      <c r="C668" s="189"/>
      <c r="D668" s="185"/>
      <c r="E668" s="186"/>
      <c r="F668" s="187"/>
    </row>
    <row r="669" spans="1:6" x14ac:dyDescent="0.2">
      <c r="A669" s="275"/>
      <c r="B669" s="78"/>
      <c r="C669" s="189"/>
      <c r="D669" s="185"/>
      <c r="E669" s="186"/>
      <c r="F669" s="187"/>
    </row>
    <row r="670" spans="1:6" x14ac:dyDescent="0.2">
      <c r="A670" s="275"/>
      <c r="B670" s="78"/>
      <c r="C670" s="189"/>
      <c r="D670" s="185"/>
      <c r="E670" s="186"/>
      <c r="F670" s="187"/>
    </row>
    <row r="671" spans="1:6" x14ac:dyDescent="0.2">
      <c r="A671" s="275"/>
      <c r="B671" s="78"/>
      <c r="C671" s="189"/>
      <c r="D671" s="185"/>
      <c r="E671" s="186"/>
      <c r="F671" s="187"/>
    </row>
    <row r="672" spans="1:6" x14ac:dyDescent="0.2">
      <c r="A672" s="275"/>
      <c r="B672" s="78"/>
      <c r="C672" s="189"/>
      <c r="D672" s="185"/>
      <c r="E672" s="186"/>
      <c r="F672" s="187"/>
    </row>
    <row r="673" spans="1:6" x14ac:dyDescent="0.2">
      <c r="A673" s="275"/>
      <c r="B673" s="78"/>
      <c r="C673" s="189"/>
      <c r="D673" s="185"/>
      <c r="E673" s="186"/>
      <c r="F673" s="187"/>
    </row>
    <row r="674" spans="1:6" x14ac:dyDescent="0.2">
      <c r="A674" s="275"/>
      <c r="B674" s="78"/>
      <c r="C674" s="189"/>
      <c r="D674" s="185"/>
      <c r="E674" s="186"/>
      <c r="F674" s="187"/>
    </row>
    <row r="675" spans="1:6" x14ac:dyDescent="0.2">
      <c r="A675" s="275"/>
      <c r="B675" s="78"/>
      <c r="C675" s="189"/>
      <c r="D675" s="185"/>
      <c r="E675" s="186"/>
      <c r="F675" s="187"/>
    </row>
    <row r="676" spans="1:6" x14ac:dyDescent="0.2">
      <c r="A676" s="275"/>
      <c r="B676" s="78"/>
      <c r="C676" s="189"/>
      <c r="D676" s="185"/>
      <c r="E676" s="186"/>
      <c r="F676" s="187"/>
    </row>
    <row r="677" spans="1:6" x14ac:dyDescent="0.2">
      <c r="A677" s="275"/>
      <c r="B677" s="78"/>
      <c r="C677" s="189"/>
      <c r="D677" s="185"/>
      <c r="E677" s="186"/>
      <c r="F677" s="187"/>
    </row>
    <row r="678" spans="1:6" x14ac:dyDescent="0.2">
      <c r="A678" s="275"/>
      <c r="B678" s="78"/>
      <c r="C678" s="189"/>
      <c r="D678" s="185"/>
      <c r="E678" s="186"/>
      <c r="F678" s="187"/>
    </row>
    <row r="679" spans="1:6" x14ac:dyDescent="0.2">
      <c r="A679" s="275"/>
      <c r="B679" s="78"/>
      <c r="C679" s="189"/>
      <c r="D679" s="185"/>
      <c r="E679" s="186"/>
      <c r="F679" s="187"/>
    </row>
    <row r="680" spans="1:6" x14ac:dyDescent="0.2">
      <c r="A680" s="275"/>
      <c r="B680" s="78"/>
      <c r="C680" s="189"/>
      <c r="D680" s="185"/>
      <c r="E680" s="186"/>
      <c r="F680" s="187"/>
    </row>
    <row r="681" spans="1:6" x14ac:dyDescent="0.2">
      <c r="A681" s="275"/>
      <c r="B681" s="78"/>
      <c r="C681" s="189"/>
      <c r="D681" s="185"/>
      <c r="E681" s="186"/>
      <c r="F681" s="187"/>
    </row>
    <row r="682" spans="1:6" x14ac:dyDescent="0.2">
      <c r="A682" s="275"/>
      <c r="B682" s="78"/>
      <c r="C682" s="189"/>
      <c r="D682" s="185"/>
      <c r="E682" s="186"/>
      <c r="F682" s="187"/>
    </row>
    <row r="683" spans="1:6" x14ac:dyDescent="0.2">
      <c r="A683" s="275"/>
      <c r="B683" s="78"/>
      <c r="C683" s="189"/>
      <c r="D683" s="185"/>
      <c r="E683" s="186"/>
      <c r="F683" s="187"/>
    </row>
    <row r="684" spans="1:6" x14ac:dyDescent="0.2">
      <c r="A684" s="275"/>
      <c r="B684" s="78"/>
      <c r="C684" s="189"/>
      <c r="D684" s="185"/>
      <c r="E684" s="186"/>
      <c r="F684" s="187"/>
    </row>
    <row r="685" spans="1:6" x14ac:dyDescent="0.2">
      <c r="A685" s="275"/>
      <c r="B685" s="78"/>
      <c r="C685" s="189"/>
      <c r="D685" s="185"/>
      <c r="E685" s="186"/>
      <c r="F685" s="187"/>
    </row>
    <row r="686" spans="1:6" x14ac:dyDescent="0.2">
      <c r="A686" s="275"/>
      <c r="B686" s="78"/>
      <c r="C686" s="189"/>
      <c r="D686" s="185"/>
      <c r="E686" s="186"/>
      <c r="F686" s="187"/>
    </row>
    <row r="687" spans="1:6" x14ac:dyDescent="0.2">
      <c r="A687" s="275"/>
      <c r="B687" s="78"/>
      <c r="C687" s="189"/>
      <c r="D687" s="185"/>
      <c r="E687" s="186"/>
      <c r="F687" s="187"/>
    </row>
    <row r="688" spans="1:6" x14ac:dyDescent="0.2">
      <c r="A688" s="275"/>
      <c r="B688" s="78"/>
      <c r="C688" s="189"/>
      <c r="D688" s="185"/>
      <c r="E688" s="186"/>
      <c r="F688" s="187"/>
    </row>
    <row r="689" spans="1:6" x14ac:dyDescent="0.2">
      <c r="A689" s="275"/>
      <c r="B689" s="78"/>
      <c r="C689" s="189"/>
      <c r="D689" s="185"/>
      <c r="E689" s="186"/>
      <c r="F689" s="187"/>
    </row>
    <row r="690" spans="1:6" x14ac:dyDescent="0.2">
      <c r="A690" s="275"/>
      <c r="B690" s="78"/>
      <c r="C690" s="189"/>
      <c r="D690" s="185"/>
      <c r="E690" s="186"/>
      <c r="F690" s="187"/>
    </row>
    <row r="691" spans="1:6" x14ac:dyDescent="0.2">
      <c r="A691" s="275"/>
      <c r="B691" s="78"/>
      <c r="C691" s="189"/>
      <c r="D691" s="185"/>
      <c r="E691" s="186"/>
      <c r="F691" s="187"/>
    </row>
    <row r="692" spans="1:6" x14ac:dyDescent="0.2">
      <c r="A692" s="275"/>
      <c r="B692" s="78"/>
      <c r="C692" s="189"/>
      <c r="D692" s="185"/>
      <c r="E692" s="186"/>
      <c r="F692" s="187"/>
    </row>
    <row r="693" spans="1:6" x14ac:dyDescent="0.2">
      <c r="A693" s="275"/>
      <c r="B693" s="78"/>
      <c r="C693" s="189"/>
      <c r="D693" s="185"/>
      <c r="E693" s="186"/>
      <c r="F693" s="187"/>
    </row>
    <row r="694" spans="1:6" x14ac:dyDescent="0.2">
      <c r="A694" s="275"/>
      <c r="B694" s="78"/>
      <c r="C694" s="189"/>
      <c r="D694" s="185"/>
      <c r="E694" s="186"/>
      <c r="F694" s="187"/>
    </row>
    <row r="695" spans="1:6" x14ac:dyDescent="0.2">
      <c r="A695" s="275"/>
      <c r="B695" s="78"/>
      <c r="C695" s="189"/>
      <c r="D695" s="185"/>
      <c r="E695" s="186"/>
      <c r="F695" s="187"/>
    </row>
    <row r="696" spans="1:6" x14ac:dyDescent="0.2">
      <c r="A696" s="275"/>
      <c r="B696" s="78"/>
      <c r="C696" s="189"/>
      <c r="D696" s="185"/>
      <c r="E696" s="186"/>
      <c r="F696" s="187"/>
    </row>
    <row r="697" spans="1:6" x14ac:dyDescent="0.2">
      <c r="A697" s="275"/>
      <c r="B697" s="78"/>
      <c r="C697" s="189"/>
      <c r="D697" s="185"/>
      <c r="E697" s="186"/>
      <c r="F697" s="187"/>
    </row>
    <row r="698" spans="1:6" x14ac:dyDescent="0.2">
      <c r="A698" s="275"/>
      <c r="B698" s="78"/>
      <c r="C698" s="189"/>
      <c r="D698" s="185"/>
      <c r="E698" s="186"/>
      <c r="F698" s="187"/>
    </row>
    <row r="699" spans="1:6" x14ac:dyDescent="0.2">
      <c r="A699" s="275"/>
      <c r="B699" s="78"/>
      <c r="C699" s="189"/>
      <c r="D699" s="185"/>
      <c r="E699" s="186"/>
      <c r="F699" s="187"/>
    </row>
    <row r="700" spans="1:6" x14ac:dyDescent="0.2">
      <c r="A700" s="275"/>
      <c r="B700" s="78"/>
      <c r="C700" s="189"/>
      <c r="D700" s="185"/>
      <c r="E700" s="186"/>
      <c r="F700" s="187"/>
    </row>
    <row r="701" spans="1:6" x14ac:dyDescent="0.2">
      <c r="A701" s="275"/>
      <c r="B701" s="78"/>
      <c r="C701" s="189"/>
      <c r="D701" s="185"/>
      <c r="E701" s="186"/>
      <c r="F701" s="187"/>
    </row>
    <row r="702" spans="1:6" x14ac:dyDescent="0.2">
      <c r="A702" s="275"/>
      <c r="B702" s="78"/>
      <c r="C702" s="189"/>
      <c r="D702" s="185"/>
      <c r="E702" s="186"/>
      <c r="F702" s="187"/>
    </row>
    <row r="703" spans="1:6" x14ac:dyDescent="0.2">
      <c r="A703" s="275"/>
      <c r="B703" s="78"/>
      <c r="C703" s="189"/>
      <c r="D703" s="185"/>
      <c r="E703" s="186"/>
      <c r="F703" s="187"/>
    </row>
    <row r="704" spans="1:6" x14ac:dyDescent="0.2">
      <c r="A704" s="275"/>
      <c r="B704" s="78"/>
      <c r="C704" s="189"/>
      <c r="D704" s="185"/>
      <c r="E704" s="186"/>
      <c r="F704" s="187"/>
    </row>
    <row r="705" spans="1:6" x14ac:dyDescent="0.2">
      <c r="A705" s="275"/>
      <c r="B705" s="78"/>
      <c r="C705" s="189"/>
      <c r="D705" s="185"/>
      <c r="E705" s="186"/>
      <c r="F705" s="187"/>
    </row>
    <row r="706" spans="1:6" x14ac:dyDescent="0.2">
      <c r="A706" s="275"/>
      <c r="B706" s="78"/>
      <c r="C706" s="189"/>
      <c r="D706" s="185"/>
      <c r="E706" s="186"/>
      <c r="F706" s="187"/>
    </row>
    <row r="707" spans="1:6" x14ac:dyDescent="0.2">
      <c r="A707" s="275"/>
      <c r="B707" s="78"/>
      <c r="C707" s="189"/>
      <c r="D707" s="185"/>
      <c r="E707" s="186"/>
      <c r="F707" s="187"/>
    </row>
    <row r="708" spans="1:6" x14ac:dyDescent="0.2">
      <c r="A708" s="275"/>
      <c r="B708" s="78"/>
      <c r="C708" s="189"/>
      <c r="D708" s="185"/>
      <c r="E708" s="186"/>
      <c r="F708" s="187"/>
    </row>
    <row r="709" spans="1:6" x14ac:dyDescent="0.2">
      <c r="A709" s="275"/>
      <c r="B709" s="78"/>
      <c r="C709" s="189"/>
      <c r="D709" s="185"/>
      <c r="E709" s="186"/>
      <c r="F709" s="187"/>
    </row>
    <row r="710" spans="1:6" x14ac:dyDescent="0.2">
      <c r="A710" s="275"/>
      <c r="B710" s="78"/>
      <c r="C710" s="189"/>
      <c r="D710" s="185"/>
      <c r="E710" s="186"/>
      <c r="F710" s="187"/>
    </row>
    <row r="711" spans="1:6" x14ac:dyDescent="0.2">
      <c r="A711" s="275"/>
      <c r="B711" s="78"/>
      <c r="C711" s="189"/>
      <c r="D711" s="185"/>
      <c r="E711" s="186"/>
      <c r="F711" s="187"/>
    </row>
    <row r="712" spans="1:6" x14ac:dyDescent="0.2">
      <c r="A712" s="275"/>
      <c r="B712" s="78"/>
      <c r="C712" s="189"/>
      <c r="D712" s="185"/>
      <c r="E712" s="186"/>
      <c r="F712" s="187"/>
    </row>
    <row r="713" spans="1:6" x14ac:dyDescent="0.2">
      <c r="A713" s="275"/>
      <c r="B713" s="78"/>
      <c r="C713" s="189"/>
      <c r="D713" s="185"/>
      <c r="E713" s="186"/>
      <c r="F713" s="187"/>
    </row>
    <row r="714" spans="1:6" x14ac:dyDescent="0.2">
      <c r="A714" s="275"/>
      <c r="B714" s="78"/>
      <c r="C714" s="189"/>
      <c r="D714" s="185"/>
      <c r="E714" s="186"/>
      <c r="F714" s="187"/>
    </row>
    <row r="715" spans="1:6" x14ac:dyDescent="0.2">
      <c r="A715" s="275"/>
      <c r="B715" s="78"/>
      <c r="C715" s="189"/>
      <c r="D715" s="185"/>
      <c r="E715" s="186"/>
      <c r="F715" s="187"/>
    </row>
    <row r="716" spans="1:6" x14ac:dyDescent="0.2">
      <c r="A716" s="275"/>
      <c r="B716" s="78"/>
      <c r="C716" s="189"/>
      <c r="D716" s="185"/>
      <c r="E716" s="186"/>
      <c r="F716" s="187"/>
    </row>
    <row r="717" spans="1:6" x14ac:dyDescent="0.2">
      <c r="A717" s="275"/>
      <c r="B717" s="78"/>
      <c r="C717" s="189"/>
      <c r="D717" s="185"/>
      <c r="E717" s="186"/>
      <c r="F717" s="187"/>
    </row>
    <row r="718" spans="1:6" x14ac:dyDescent="0.2">
      <c r="A718" s="275"/>
      <c r="B718" s="78"/>
      <c r="C718" s="189"/>
      <c r="D718" s="185"/>
      <c r="E718" s="186"/>
      <c r="F718" s="187"/>
    </row>
    <row r="719" spans="1:6" x14ac:dyDescent="0.2">
      <c r="A719" s="275"/>
      <c r="B719" s="78"/>
      <c r="C719" s="189"/>
      <c r="D719" s="185"/>
      <c r="E719" s="186"/>
      <c r="F719" s="187"/>
    </row>
    <row r="720" spans="1:6" x14ac:dyDescent="0.2">
      <c r="A720" s="275"/>
      <c r="B720" s="78"/>
      <c r="C720" s="189"/>
      <c r="D720" s="185"/>
      <c r="E720" s="186"/>
      <c r="F720" s="187"/>
    </row>
    <row r="721" spans="1:6" x14ac:dyDescent="0.2">
      <c r="A721" s="275"/>
      <c r="B721" s="78"/>
      <c r="C721" s="189"/>
      <c r="D721" s="185"/>
      <c r="E721" s="186"/>
      <c r="F721" s="187"/>
    </row>
    <row r="722" spans="1:6" x14ac:dyDescent="0.2">
      <c r="A722" s="275"/>
      <c r="B722" s="78"/>
      <c r="C722" s="189"/>
      <c r="D722" s="185"/>
      <c r="E722" s="186"/>
      <c r="F722" s="187"/>
    </row>
    <row r="723" spans="1:6" x14ac:dyDescent="0.2">
      <c r="A723" s="275"/>
      <c r="B723" s="78"/>
      <c r="C723" s="189"/>
      <c r="D723" s="185"/>
      <c r="E723" s="186"/>
      <c r="F723" s="187"/>
    </row>
    <row r="724" spans="1:6" x14ac:dyDescent="0.2">
      <c r="A724" s="275"/>
      <c r="B724" s="78"/>
      <c r="C724" s="189"/>
      <c r="D724" s="185"/>
      <c r="E724" s="186"/>
      <c r="F724" s="187"/>
    </row>
    <row r="725" spans="1:6" x14ac:dyDescent="0.2">
      <c r="A725" s="275"/>
      <c r="B725" s="78"/>
      <c r="C725" s="189"/>
      <c r="D725" s="185"/>
      <c r="E725" s="186"/>
      <c r="F725" s="187"/>
    </row>
    <row r="726" spans="1:6" x14ac:dyDescent="0.2">
      <c r="A726" s="275"/>
      <c r="B726" s="78"/>
      <c r="C726" s="189"/>
      <c r="D726" s="185"/>
      <c r="E726" s="186"/>
      <c r="F726" s="187"/>
    </row>
    <row r="727" spans="1:6" x14ac:dyDescent="0.2">
      <c r="A727" s="275"/>
      <c r="B727" s="78"/>
      <c r="C727" s="189"/>
      <c r="D727" s="185"/>
      <c r="E727" s="186"/>
      <c r="F727" s="187"/>
    </row>
    <row r="728" spans="1:6" x14ac:dyDescent="0.2">
      <c r="A728" s="275"/>
      <c r="B728" s="78"/>
      <c r="C728" s="189"/>
      <c r="D728" s="185"/>
      <c r="E728" s="186"/>
      <c r="F728" s="187"/>
    </row>
    <row r="729" spans="1:6" x14ac:dyDescent="0.2">
      <c r="A729" s="275"/>
      <c r="B729" s="78"/>
      <c r="C729" s="189"/>
      <c r="D729" s="185"/>
      <c r="E729" s="186"/>
      <c r="F729" s="187"/>
    </row>
    <row r="730" spans="1:6" x14ac:dyDescent="0.2">
      <c r="A730" s="275"/>
      <c r="B730" s="78"/>
      <c r="C730" s="189"/>
      <c r="D730" s="185"/>
      <c r="E730" s="186"/>
      <c r="F730" s="187"/>
    </row>
    <row r="731" spans="1:6" x14ac:dyDescent="0.2">
      <c r="A731" s="275"/>
      <c r="B731" s="78"/>
      <c r="C731" s="189"/>
      <c r="D731" s="185"/>
      <c r="E731" s="186"/>
      <c r="F731" s="187"/>
    </row>
    <row r="732" spans="1:6" x14ac:dyDescent="0.2">
      <c r="A732" s="275"/>
      <c r="B732" s="78"/>
      <c r="C732" s="189"/>
      <c r="D732" s="185"/>
      <c r="E732" s="186"/>
      <c r="F732" s="187"/>
    </row>
    <row r="733" spans="1:6" x14ac:dyDescent="0.2">
      <c r="A733" s="275"/>
      <c r="B733" s="78"/>
      <c r="C733" s="189"/>
      <c r="D733" s="185"/>
      <c r="E733" s="186"/>
      <c r="F733" s="187"/>
    </row>
    <row r="734" spans="1:6" x14ac:dyDescent="0.2">
      <c r="A734" s="275"/>
      <c r="B734" s="78"/>
      <c r="C734" s="189"/>
      <c r="D734" s="185"/>
      <c r="E734" s="186"/>
      <c r="F734" s="187"/>
    </row>
    <row r="735" spans="1:6" x14ac:dyDescent="0.2">
      <c r="A735" s="275"/>
      <c r="B735" s="78"/>
      <c r="C735" s="189"/>
      <c r="D735" s="185"/>
      <c r="E735" s="186"/>
      <c r="F735" s="187"/>
    </row>
    <row r="736" spans="1:6" x14ac:dyDescent="0.2">
      <c r="A736" s="275"/>
      <c r="B736" s="78"/>
      <c r="C736" s="189"/>
      <c r="D736" s="185"/>
      <c r="E736" s="186"/>
      <c r="F736" s="187"/>
    </row>
    <row r="737" spans="1:6" x14ac:dyDescent="0.2">
      <c r="A737" s="275"/>
      <c r="B737" s="78"/>
      <c r="C737" s="189"/>
      <c r="D737" s="185"/>
      <c r="E737" s="186"/>
      <c r="F737" s="187"/>
    </row>
    <row r="738" spans="1:6" x14ac:dyDescent="0.2">
      <c r="A738" s="275"/>
      <c r="B738" s="78"/>
      <c r="C738" s="189"/>
      <c r="D738" s="185"/>
      <c r="E738" s="186"/>
      <c r="F738" s="187"/>
    </row>
    <row r="739" spans="1:6" x14ac:dyDescent="0.2">
      <c r="A739" s="275"/>
      <c r="B739" s="78"/>
      <c r="C739" s="189"/>
      <c r="D739" s="185"/>
      <c r="E739" s="186"/>
      <c r="F739" s="187"/>
    </row>
    <row r="740" spans="1:6" x14ac:dyDescent="0.2">
      <c r="A740" s="275"/>
      <c r="B740" s="78"/>
      <c r="C740" s="189"/>
      <c r="D740" s="185"/>
      <c r="E740" s="186"/>
      <c r="F740" s="187"/>
    </row>
    <row r="741" spans="1:6" x14ac:dyDescent="0.2">
      <c r="A741" s="275"/>
      <c r="B741" s="78"/>
      <c r="C741" s="189"/>
      <c r="D741" s="185"/>
      <c r="E741" s="186"/>
      <c r="F741" s="187"/>
    </row>
    <row r="742" spans="1:6" x14ac:dyDescent="0.2">
      <c r="A742" s="275"/>
      <c r="B742" s="78"/>
      <c r="C742" s="189"/>
      <c r="D742" s="185"/>
      <c r="E742" s="186"/>
      <c r="F742" s="187"/>
    </row>
    <row r="743" spans="1:6" x14ac:dyDescent="0.2">
      <c r="A743" s="275"/>
      <c r="B743" s="78"/>
      <c r="C743" s="189"/>
      <c r="D743" s="185"/>
      <c r="E743" s="186"/>
      <c r="F743" s="187"/>
    </row>
    <row r="744" spans="1:6" x14ac:dyDescent="0.2">
      <c r="A744" s="275"/>
      <c r="B744" s="78"/>
      <c r="C744" s="189"/>
      <c r="D744" s="185"/>
      <c r="E744" s="186"/>
      <c r="F744" s="187"/>
    </row>
    <row r="745" spans="1:6" x14ac:dyDescent="0.2">
      <c r="A745" s="275"/>
      <c r="B745" s="78"/>
      <c r="C745" s="189"/>
      <c r="D745" s="185"/>
      <c r="E745" s="186"/>
      <c r="F745" s="187"/>
    </row>
    <row r="746" spans="1:6" x14ac:dyDescent="0.2">
      <c r="A746" s="275"/>
      <c r="B746" s="78"/>
      <c r="C746" s="189"/>
      <c r="D746" s="185"/>
      <c r="E746" s="186"/>
      <c r="F746" s="187"/>
    </row>
    <row r="747" spans="1:6" x14ac:dyDescent="0.2">
      <c r="A747" s="275"/>
      <c r="B747" s="78"/>
      <c r="C747" s="189"/>
      <c r="D747" s="185"/>
      <c r="E747" s="186"/>
      <c r="F747" s="187"/>
    </row>
    <row r="748" spans="1:6" x14ac:dyDescent="0.2">
      <c r="A748" s="275"/>
      <c r="B748" s="78"/>
      <c r="C748" s="189"/>
      <c r="D748" s="185"/>
      <c r="E748" s="186"/>
      <c r="F748" s="187"/>
    </row>
    <row r="749" spans="1:6" x14ac:dyDescent="0.2">
      <c r="A749" s="275"/>
      <c r="B749" s="78"/>
      <c r="C749" s="189"/>
      <c r="D749" s="185"/>
      <c r="E749" s="186"/>
      <c r="F749" s="187"/>
    </row>
    <row r="750" spans="1:6" x14ac:dyDescent="0.2">
      <c r="A750" s="275"/>
      <c r="B750" s="78"/>
      <c r="C750" s="189"/>
      <c r="D750" s="185"/>
      <c r="E750" s="186"/>
      <c r="F750" s="187"/>
    </row>
    <row r="751" spans="1:6" x14ac:dyDescent="0.2">
      <c r="A751" s="275"/>
      <c r="B751" s="78"/>
      <c r="C751" s="189"/>
      <c r="D751" s="185"/>
      <c r="E751" s="186"/>
      <c r="F751" s="187"/>
    </row>
    <row r="752" spans="1:6" x14ac:dyDescent="0.2">
      <c r="A752" s="275"/>
      <c r="B752" s="78"/>
      <c r="C752" s="189"/>
      <c r="D752" s="185"/>
      <c r="E752" s="186"/>
      <c r="F752" s="187"/>
    </row>
    <row r="753" spans="1:6" x14ac:dyDescent="0.2">
      <c r="A753" s="275"/>
      <c r="B753" s="78"/>
      <c r="C753" s="189"/>
      <c r="D753" s="185"/>
      <c r="E753" s="186"/>
      <c r="F753" s="187"/>
    </row>
    <row r="754" spans="1:6" x14ac:dyDescent="0.2">
      <c r="A754" s="275"/>
      <c r="B754" s="78"/>
      <c r="C754" s="189"/>
      <c r="D754" s="185"/>
      <c r="E754" s="186"/>
      <c r="F754" s="187"/>
    </row>
    <row r="755" spans="1:6" x14ac:dyDescent="0.2">
      <c r="A755" s="275"/>
      <c r="B755" s="78"/>
      <c r="C755" s="189"/>
      <c r="D755" s="185"/>
      <c r="E755" s="186"/>
      <c r="F755" s="187"/>
    </row>
    <row r="756" spans="1:6" x14ac:dyDescent="0.2">
      <c r="A756" s="275"/>
      <c r="B756" s="78"/>
      <c r="C756" s="189"/>
      <c r="D756" s="185"/>
      <c r="E756" s="186"/>
      <c r="F756" s="187"/>
    </row>
    <row r="757" spans="1:6" x14ac:dyDescent="0.2">
      <c r="A757" s="275"/>
      <c r="B757" s="78"/>
      <c r="C757" s="189"/>
      <c r="D757" s="185"/>
      <c r="E757" s="186"/>
      <c r="F757" s="187"/>
    </row>
    <row r="758" spans="1:6" x14ac:dyDescent="0.2">
      <c r="A758" s="275"/>
      <c r="B758" s="78"/>
      <c r="C758" s="189"/>
      <c r="D758" s="185"/>
      <c r="E758" s="186"/>
      <c r="F758" s="187"/>
    </row>
    <row r="759" spans="1:6" x14ac:dyDescent="0.2">
      <c r="A759" s="275"/>
      <c r="B759" s="78"/>
      <c r="C759" s="189"/>
      <c r="D759" s="185"/>
      <c r="E759" s="186"/>
      <c r="F759" s="187"/>
    </row>
    <row r="760" spans="1:6" x14ac:dyDescent="0.2">
      <c r="A760" s="275"/>
      <c r="B760" s="78"/>
      <c r="C760" s="189"/>
      <c r="D760" s="185"/>
      <c r="E760" s="186"/>
      <c r="F760" s="187"/>
    </row>
    <row r="761" spans="1:6" x14ac:dyDescent="0.2">
      <c r="A761" s="275"/>
      <c r="B761" s="78"/>
      <c r="C761" s="189"/>
      <c r="D761" s="185"/>
      <c r="E761" s="186"/>
      <c r="F761" s="187"/>
    </row>
    <row r="762" spans="1:6" x14ac:dyDescent="0.2">
      <c r="A762" s="275"/>
      <c r="B762" s="78"/>
      <c r="C762" s="189"/>
      <c r="D762" s="185"/>
      <c r="E762" s="186"/>
      <c r="F762" s="187"/>
    </row>
    <row r="763" spans="1:6" x14ac:dyDescent="0.2">
      <c r="A763" s="275"/>
      <c r="B763" s="78"/>
      <c r="C763" s="189"/>
      <c r="D763" s="185"/>
      <c r="E763" s="186"/>
      <c r="F763" s="187"/>
    </row>
    <row r="764" spans="1:6" x14ac:dyDescent="0.2">
      <c r="A764" s="275"/>
      <c r="B764" s="78"/>
      <c r="C764" s="189"/>
      <c r="D764" s="185"/>
      <c r="E764" s="186"/>
      <c r="F764" s="187"/>
    </row>
    <row r="765" spans="1:6" x14ac:dyDescent="0.2">
      <c r="A765" s="275"/>
      <c r="B765" s="78"/>
      <c r="C765" s="189"/>
      <c r="D765" s="185"/>
      <c r="E765" s="186"/>
      <c r="F765" s="187"/>
    </row>
    <row r="766" spans="1:6" x14ac:dyDescent="0.2">
      <c r="A766" s="275"/>
      <c r="B766" s="78"/>
      <c r="C766" s="189"/>
      <c r="D766" s="185"/>
      <c r="E766" s="186"/>
      <c r="F766" s="187"/>
    </row>
    <row r="767" spans="1:6" x14ac:dyDescent="0.2">
      <c r="A767" s="275"/>
      <c r="B767" s="78"/>
      <c r="C767" s="189"/>
      <c r="D767" s="185"/>
      <c r="E767" s="186"/>
      <c r="F767" s="187"/>
    </row>
    <row r="768" spans="1:6" x14ac:dyDescent="0.2">
      <c r="A768" s="275"/>
      <c r="B768" s="78"/>
      <c r="C768" s="189"/>
      <c r="D768" s="185"/>
      <c r="E768" s="186"/>
      <c r="F768" s="187"/>
    </row>
    <row r="769" spans="1:6" x14ac:dyDescent="0.2">
      <c r="A769" s="275"/>
      <c r="B769" s="78"/>
      <c r="C769" s="189"/>
      <c r="D769" s="185"/>
      <c r="E769" s="186"/>
      <c r="F769" s="187"/>
    </row>
    <row r="770" spans="1:6" x14ac:dyDescent="0.2">
      <c r="A770" s="275"/>
      <c r="B770" s="78"/>
      <c r="C770" s="189"/>
      <c r="D770" s="185"/>
      <c r="E770" s="186"/>
      <c r="F770" s="187"/>
    </row>
    <row r="771" spans="1:6" x14ac:dyDescent="0.2">
      <c r="A771" s="275"/>
      <c r="B771" s="78"/>
      <c r="C771" s="189"/>
      <c r="D771" s="185"/>
      <c r="E771" s="186"/>
      <c r="F771" s="187"/>
    </row>
    <row r="772" spans="1:6" x14ac:dyDescent="0.2">
      <c r="A772" s="275"/>
      <c r="B772" s="78"/>
      <c r="C772" s="189"/>
      <c r="D772" s="185"/>
      <c r="E772" s="186"/>
      <c r="F772" s="187"/>
    </row>
    <row r="773" spans="1:6" x14ac:dyDescent="0.2">
      <c r="A773" s="275"/>
      <c r="B773" s="78"/>
      <c r="C773" s="189"/>
      <c r="D773" s="185"/>
      <c r="E773" s="186"/>
      <c r="F773" s="187"/>
    </row>
    <row r="774" spans="1:6" x14ac:dyDescent="0.2">
      <c r="A774" s="275"/>
      <c r="B774" s="78"/>
      <c r="C774" s="189"/>
      <c r="D774" s="185"/>
      <c r="E774" s="186"/>
      <c r="F774" s="187"/>
    </row>
    <row r="775" spans="1:6" x14ac:dyDescent="0.2">
      <c r="A775" s="275"/>
      <c r="B775" s="78"/>
      <c r="C775" s="189"/>
      <c r="D775" s="185"/>
      <c r="E775" s="186"/>
      <c r="F775" s="187"/>
    </row>
    <row r="776" spans="1:6" x14ac:dyDescent="0.2">
      <c r="A776" s="275"/>
      <c r="B776" s="78"/>
      <c r="C776" s="189"/>
      <c r="D776" s="185"/>
      <c r="E776" s="186"/>
      <c r="F776" s="187"/>
    </row>
    <row r="777" spans="1:6" x14ac:dyDescent="0.2">
      <c r="A777" s="275"/>
      <c r="B777" s="78"/>
      <c r="C777" s="189"/>
      <c r="D777" s="185"/>
      <c r="E777" s="186"/>
      <c r="F777" s="187"/>
    </row>
    <row r="778" spans="1:6" x14ac:dyDescent="0.2">
      <c r="A778" s="275"/>
      <c r="B778" s="78"/>
      <c r="C778" s="189"/>
      <c r="D778" s="185"/>
      <c r="E778" s="186"/>
      <c r="F778" s="187"/>
    </row>
    <row r="779" spans="1:6" x14ac:dyDescent="0.2">
      <c r="A779" s="275"/>
      <c r="B779" s="78"/>
      <c r="C779" s="189"/>
      <c r="D779" s="185"/>
      <c r="E779" s="186"/>
      <c r="F779" s="187"/>
    </row>
    <row r="780" spans="1:6" x14ac:dyDescent="0.2">
      <c r="A780" s="275"/>
      <c r="B780" s="78"/>
      <c r="C780" s="189"/>
      <c r="D780" s="185"/>
      <c r="E780" s="186"/>
      <c r="F780" s="187"/>
    </row>
    <row r="781" spans="1:6" x14ac:dyDescent="0.2">
      <c r="A781" s="275"/>
      <c r="B781" s="78"/>
      <c r="C781" s="189"/>
      <c r="D781" s="185"/>
      <c r="E781" s="186"/>
      <c r="F781" s="187"/>
    </row>
    <row r="782" spans="1:6" x14ac:dyDescent="0.2">
      <c r="A782" s="275"/>
      <c r="B782" s="78"/>
      <c r="C782" s="189"/>
      <c r="D782" s="185"/>
      <c r="E782" s="186"/>
      <c r="F782" s="187"/>
    </row>
    <row r="783" spans="1:6" x14ac:dyDescent="0.2">
      <c r="A783" s="275"/>
      <c r="B783" s="78"/>
      <c r="C783" s="189"/>
      <c r="D783" s="185"/>
      <c r="E783" s="186"/>
      <c r="F783" s="187"/>
    </row>
    <row r="784" spans="1:6" x14ac:dyDescent="0.2">
      <c r="A784" s="275"/>
      <c r="B784" s="78"/>
      <c r="C784" s="189"/>
      <c r="D784" s="185"/>
      <c r="E784" s="186"/>
      <c r="F784" s="187"/>
    </row>
    <row r="785" spans="1:6" x14ac:dyDescent="0.2">
      <c r="A785" s="275"/>
      <c r="B785" s="78"/>
      <c r="C785" s="189"/>
      <c r="D785" s="185"/>
      <c r="E785" s="186"/>
      <c r="F785" s="187"/>
    </row>
    <row r="786" spans="1:6" x14ac:dyDescent="0.2">
      <c r="A786" s="275"/>
      <c r="B786" s="78"/>
      <c r="C786" s="189"/>
      <c r="D786" s="185"/>
      <c r="E786" s="186"/>
      <c r="F786" s="187"/>
    </row>
    <row r="787" spans="1:6" x14ac:dyDescent="0.2">
      <c r="A787" s="275"/>
      <c r="B787" s="78"/>
      <c r="C787" s="189"/>
      <c r="D787" s="185"/>
      <c r="E787" s="186"/>
      <c r="F787" s="187"/>
    </row>
    <row r="788" spans="1:6" x14ac:dyDescent="0.2">
      <c r="A788" s="275"/>
      <c r="B788" s="78"/>
      <c r="C788" s="189"/>
      <c r="D788" s="185"/>
      <c r="E788" s="186"/>
      <c r="F788" s="187"/>
    </row>
    <row r="789" spans="1:6" x14ac:dyDescent="0.2">
      <c r="A789" s="275"/>
      <c r="B789" s="78"/>
      <c r="C789" s="189"/>
      <c r="D789" s="185"/>
      <c r="E789" s="186"/>
      <c r="F789" s="187"/>
    </row>
    <row r="790" spans="1:6" x14ac:dyDescent="0.2">
      <c r="A790" s="275"/>
      <c r="B790" s="78"/>
      <c r="C790" s="189"/>
      <c r="D790" s="185"/>
      <c r="E790" s="186"/>
      <c r="F790" s="187"/>
    </row>
    <row r="791" spans="1:6" x14ac:dyDescent="0.2">
      <c r="A791" s="275"/>
      <c r="B791" s="78"/>
      <c r="C791" s="189"/>
      <c r="D791" s="185"/>
      <c r="E791" s="186"/>
      <c r="F791" s="187"/>
    </row>
    <row r="792" spans="1:6" x14ac:dyDescent="0.2">
      <c r="A792" s="275"/>
      <c r="B792" s="78"/>
      <c r="C792" s="189"/>
      <c r="D792" s="185"/>
      <c r="E792" s="186"/>
      <c r="F792" s="187"/>
    </row>
    <row r="793" spans="1:6" x14ac:dyDescent="0.2">
      <c r="A793" s="275"/>
      <c r="B793" s="78"/>
      <c r="C793" s="189"/>
      <c r="D793" s="185"/>
      <c r="E793" s="186"/>
      <c r="F793" s="187"/>
    </row>
    <row r="794" spans="1:6" x14ac:dyDescent="0.2">
      <c r="A794" s="275"/>
      <c r="B794" s="78"/>
      <c r="C794" s="189"/>
      <c r="D794" s="185"/>
      <c r="E794" s="186"/>
      <c r="F794" s="187"/>
    </row>
    <row r="795" spans="1:6" x14ac:dyDescent="0.2">
      <c r="A795" s="275"/>
      <c r="B795" s="78"/>
      <c r="C795" s="189"/>
      <c r="D795" s="185"/>
      <c r="E795" s="186"/>
      <c r="F795" s="187"/>
    </row>
    <row r="796" spans="1:6" x14ac:dyDescent="0.2">
      <c r="A796" s="275"/>
      <c r="B796" s="78"/>
      <c r="C796" s="189"/>
      <c r="D796" s="185"/>
      <c r="E796" s="186"/>
      <c r="F796" s="187"/>
    </row>
    <row r="797" spans="1:6" x14ac:dyDescent="0.2">
      <c r="A797" s="275"/>
      <c r="B797" s="78"/>
      <c r="C797" s="189"/>
      <c r="D797" s="185"/>
      <c r="E797" s="186"/>
      <c r="F797" s="187"/>
    </row>
    <row r="798" spans="1:6" x14ac:dyDescent="0.2">
      <c r="A798" s="275"/>
      <c r="B798" s="78"/>
      <c r="C798" s="189"/>
      <c r="D798" s="185"/>
      <c r="E798" s="186"/>
      <c r="F798" s="187"/>
    </row>
    <row r="799" spans="1:6" x14ac:dyDescent="0.2">
      <c r="A799" s="275"/>
      <c r="B799" s="78"/>
      <c r="C799" s="189"/>
      <c r="D799" s="185"/>
      <c r="E799" s="186"/>
      <c r="F799" s="187"/>
    </row>
    <row r="800" spans="1:6" x14ac:dyDescent="0.2">
      <c r="A800" s="275"/>
      <c r="B800" s="78"/>
      <c r="C800" s="189"/>
      <c r="D800" s="185"/>
      <c r="E800" s="186"/>
      <c r="F800" s="187"/>
    </row>
    <row r="801" spans="1:6" x14ac:dyDescent="0.2">
      <c r="A801" s="275"/>
      <c r="B801" s="78"/>
      <c r="C801" s="189"/>
      <c r="D801" s="185"/>
      <c r="E801" s="186"/>
      <c r="F801" s="187"/>
    </row>
    <row r="802" spans="1:6" x14ac:dyDescent="0.2">
      <c r="A802" s="275"/>
      <c r="B802" s="78"/>
      <c r="C802" s="189"/>
      <c r="D802" s="185"/>
      <c r="E802" s="186"/>
      <c r="F802" s="187"/>
    </row>
    <row r="803" spans="1:6" x14ac:dyDescent="0.2">
      <c r="A803" s="275"/>
      <c r="B803" s="78"/>
      <c r="C803" s="189"/>
      <c r="D803" s="185"/>
      <c r="E803" s="186"/>
      <c r="F803" s="187"/>
    </row>
    <row r="804" spans="1:6" x14ac:dyDescent="0.2">
      <c r="A804" s="275"/>
      <c r="B804" s="78"/>
      <c r="C804" s="189"/>
      <c r="D804" s="185"/>
      <c r="E804" s="186"/>
      <c r="F804" s="187"/>
    </row>
    <row r="805" spans="1:6" x14ac:dyDescent="0.2">
      <c r="A805" s="275"/>
      <c r="B805" s="78"/>
      <c r="C805" s="189"/>
      <c r="D805" s="185"/>
      <c r="E805" s="186"/>
      <c r="F805" s="187"/>
    </row>
    <row r="806" spans="1:6" x14ac:dyDescent="0.2">
      <c r="A806" s="275"/>
      <c r="B806" s="78"/>
      <c r="C806" s="189"/>
      <c r="D806" s="185"/>
      <c r="E806" s="186"/>
      <c r="F806" s="187"/>
    </row>
    <row r="807" spans="1:6" x14ac:dyDescent="0.2">
      <c r="A807" s="275"/>
      <c r="B807" s="78"/>
      <c r="C807" s="189"/>
      <c r="D807" s="185"/>
      <c r="E807" s="186"/>
      <c r="F807" s="187"/>
    </row>
    <row r="808" spans="1:6" x14ac:dyDescent="0.2">
      <c r="A808" s="275"/>
      <c r="B808" s="78"/>
      <c r="C808" s="189"/>
      <c r="D808" s="185"/>
      <c r="E808" s="186"/>
      <c r="F808" s="187"/>
    </row>
    <row r="809" spans="1:6" x14ac:dyDescent="0.2">
      <c r="A809" s="275"/>
      <c r="B809" s="78"/>
      <c r="C809" s="189"/>
      <c r="D809" s="185"/>
      <c r="E809" s="186"/>
      <c r="F809" s="187"/>
    </row>
    <row r="810" spans="1:6" x14ac:dyDescent="0.2">
      <c r="A810" s="275"/>
      <c r="B810" s="78"/>
      <c r="C810" s="189"/>
      <c r="D810" s="185"/>
      <c r="E810" s="186"/>
      <c r="F810" s="187"/>
    </row>
    <row r="811" spans="1:6" x14ac:dyDescent="0.2">
      <c r="A811" s="275"/>
      <c r="B811" s="78"/>
      <c r="C811" s="189"/>
      <c r="D811" s="185"/>
      <c r="E811" s="186"/>
      <c r="F811" s="187"/>
    </row>
    <row r="812" spans="1:6" x14ac:dyDescent="0.2">
      <c r="A812" s="275"/>
      <c r="B812" s="78"/>
      <c r="C812" s="189"/>
      <c r="D812" s="185"/>
      <c r="E812" s="186"/>
      <c r="F812" s="187"/>
    </row>
    <row r="813" spans="1:6" x14ac:dyDescent="0.2">
      <c r="A813" s="275"/>
      <c r="B813" s="78"/>
      <c r="C813" s="189"/>
      <c r="D813" s="185"/>
      <c r="E813" s="186"/>
      <c r="F813" s="187"/>
    </row>
    <row r="814" spans="1:6" x14ac:dyDescent="0.2">
      <c r="A814" s="275"/>
      <c r="B814" s="78"/>
      <c r="C814" s="189"/>
      <c r="D814" s="185"/>
      <c r="E814" s="186"/>
      <c r="F814" s="187"/>
    </row>
    <row r="815" spans="1:6" x14ac:dyDescent="0.2">
      <c r="A815" s="275"/>
      <c r="B815" s="78"/>
      <c r="C815" s="189"/>
      <c r="D815" s="185"/>
      <c r="E815" s="186"/>
      <c r="F815" s="187"/>
    </row>
    <row r="816" spans="1:6" x14ac:dyDescent="0.2">
      <c r="A816" s="275"/>
      <c r="B816" s="78"/>
      <c r="C816" s="189"/>
      <c r="D816" s="185"/>
      <c r="E816" s="186"/>
      <c r="F816" s="187"/>
    </row>
    <row r="817" spans="1:6" x14ac:dyDescent="0.2">
      <c r="A817" s="275"/>
      <c r="B817" s="78"/>
      <c r="C817" s="189"/>
      <c r="D817" s="185"/>
      <c r="E817" s="186"/>
      <c r="F817" s="187"/>
    </row>
    <row r="818" spans="1:6" x14ac:dyDescent="0.2">
      <c r="A818" s="275"/>
      <c r="B818" s="78"/>
      <c r="C818" s="189"/>
      <c r="D818" s="185"/>
      <c r="E818" s="186"/>
      <c r="F818" s="187"/>
    </row>
    <row r="819" spans="1:6" x14ac:dyDescent="0.2">
      <c r="A819" s="275"/>
      <c r="B819" s="78"/>
      <c r="C819" s="189"/>
      <c r="D819" s="185"/>
      <c r="E819" s="186"/>
      <c r="F819" s="187"/>
    </row>
    <row r="820" spans="1:6" x14ac:dyDescent="0.2">
      <c r="A820" s="275"/>
      <c r="B820" s="78"/>
      <c r="C820" s="189"/>
      <c r="D820" s="185"/>
      <c r="E820" s="186"/>
      <c r="F820" s="187"/>
    </row>
    <row r="821" spans="1:6" x14ac:dyDescent="0.2">
      <c r="A821" s="275"/>
      <c r="B821" s="78"/>
      <c r="C821" s="189"/>
      <c r="D821" s="185"/>
      <c r="E821" s="186"/>
      <c r="F821" s="187"/>
    </row>
    <row r="822" spans="1:6" x14ac:dyDescent="0.2">
      <c r="A822" s="275"/>
      <c r="B822" s="78"/>
      <c r="C822" s="189"/>
      <c r="D822" s="185"/>
      <c r="E822" s="186"/>
      <c r="F822" s="187"/>
    </row>
    <row r="823" spans="1:6" x14ac:dyDescent="0.2">
      <c r="A823" s="275"/>
      <c r="B823" s="78"/>
      <c r="C823" s="189"/>
      <c r="D823" s="185"/>
      <c r="E823" s="186"/>
      <c r="F823" s="187"/>
    </row>
    <row r="824" spans="1:6" x14ac:dyDescent="0.2">
      <c r="A824" s="275"/>
      <c r="B824" s="78"/>
      <c r="C824" s="189"/>
      <c r="D824" s="185"/>
      <c r="E824" s="186"/>
      <c r="F824" s="187"/>
    </row>
    <row r="825" spans="1:6" x14ac:dyDescent="0.2">
      <c r="A825" s="275"/>
      <c r="B825" s="78"/>
      <c r="C825" s="189"/>
      <c r="D825" s="185"/>
      <c r="E825" s="186"/>
      <c r="F825" s="187"/>
    </row>
    <row r="826" spans="1:6" x14ac:dyDescent="0.2">
      <c r="A826" s="275"/>
      <c r="B826" s="78"/>
      <c r="C826" s="189"/>
      <c r="D826" s="185"/>
      <c r="E826" s="186"/>
      <c r="F826" s="187"/>
    </row>
    <row r="827" spans="1:6" x14ac:dyDescent="0.2">
      <c r="A827" s="275"/>
      <c r="B827" s="78"/>
      <c r="C827" s="189"/>
      <c r="D827" s="185"/>
      <c r="E827" s="186"/>
      <c r="F827" s="187"/>
    </row>
    <row r="828" spans="1:6" x14ac:dyDescent="0.2">
      <c r="A828" s="275"/>
      <c r="B828" s="78"/>
      <c r="C828" s="189"/>
      <c r="D828" s="185"/>
      <c r="E828" s="186"/>
      <c r="F828" s="187"/>
    </row>
    <row r="829" spans="1:6" x14ac:dyDescent="0.2">
      <c r="A829" s="275"/>
      <c r="B829" s="78"/>
      <c r="C829" s="189"/>
      <c r="D829" s="185"/>
      <c r="E829" s="186"/>
      <c r="F829" s="187"/>
    </row>
    <row r="830" spans="1:6" x14ac:dyDescent="0.2">
      <c r="A830" s="275"/>
      <c r="B830" s="78"/>
      <c r="C830" s="189"/>
      <c r="D830" s="185"/>
      <c r="E830" s="186"/>
      <c r="F830" s="187"/>
    </row>
    <row r="831" spans="1:6" x14ac:dyDescent="0.2">
      <c r="A831" s="275"/>
      <c r="B831" s="78"/>
      <c r="C831" s="189"/>
      <c r="D831" s="185"/>
      <c r="E831" s="186"/>
      <c r="F831" s="187"/>
    </row>
    <row r="832" spans="1:6" x14ac:dyDescent="0.2">
      <c r="A832" s="275"/>
      <c r="B832" s="78"/>
      <c r="C832" s="189"/>
      <c r="D832" s="185"/>
      <c r="E832" s="186"/>
      <c r="F832" s="187"/>
    </row>
    <row r="833" spans="1:6" x14ac:dyDescent="0.2">
      <c r="A833" s="275"/>
      <c r="B833" s="78"/>
      <c r="C833" s="189"/>
      <c r="D833" s="185"/>
      <c r="E833" s="186"/>
      <c r="F833" s="187"/>
    </row>
    <row r="834" spans="1:6" x14ac:dyDescent="0.2">
      <c r="A834" s="275"/>
      <c r="B834" s="78"/>
      <c r="C834" s="189"/>
      <c r="D834" s="185"/>
      <c r="E834" s="186"/>
      <c r="F834" s="187"/>
    </row>
    <row r="835" spans="1:6" x14ac:dyDescent="0.2">
      <c r="A835" s="275"/>
      <c r="B835" s="78"/>
      <c r="C835" s="189"/>
      <c r="D835" s="185"/>
      <c r="E835" s="186"/>
      <c r="F835" s="187"/>
    </row>
    <row r="836" spans="1:6" x14ac:dyDescent="0.2">
      <c r="A836" s="275"/>
      <c r="B836" s="78"/>
      <c r="C836" s="189"/>
      <c r="D836" s="185"/>
      <c r="E836" s="186"/>
      <c r="F836" s="187"/>
    </row>
    <row r="837" spans="1:6" x14ac:dyDescent="0.2">
      <c r="A837" s="275"/>
      <c r="B837" s="78"/>
      <c r="C837" s="189"/>
      <c r="D837" s="185"/>
      <c r="E837" s="186"/>
      <c r="F837" s="187"/>
    </row>
    <row r="838" spans="1:6" x14ac:dyDescent="0.2">
      <c r="A838" s="275"/>
      <c r="B838" s="78"/>
      <c r="C838" s="189"/>
      <c r="D838" s="185"/>
      <c r="E838" s="186"/>
      <c r="F838" s="187"/>
    </row>
    <row r="839" spans="1:6" x14ac:dyDescent="0.2">
      <c r="A839" s="275"/>
      <c r="B839" s="78"/>
      <c r="C839" s="189"/>
      <c r="D839" s="185"/>
      <c r="E839" s="186"/>
      <c r="F839" s="187"/>
    </row>
    <row r="840" spans="1:6" x14ac:dyDescent="0.2">
      <c r="A840" s="275"/>
      <c r="B840" s="78"/>
      <c r="C840" s="189"/>
      <c r="D840" s="185"/>
      <c r="E840" s="186"/>
      <c r="F840" s="187"/>
    </row>
    <row r="841" spans="1:6" x14ac:dyDescent="0.2">
      <c r="A841" s="275"/>
      <c r="B841" s="78"/>
      <c r="C841" s="189"/>
      <c r="D841" s="185"/>
      <c r="E841" s="186"/>
      <c r="F841" s="187"/>
    </row>
    <row r="842" spans="1:6" x14ac:dyDescent="0.2">
      <c r="A842" s="275"/>
      <c r="B842" s="78"/>
      <c r="C842" s="189"/>
      <c r="D842" s="185"/>
      <c r="E842" s="186"/>
      <c r="F842" s="187"/>
    </row>
    <row r="843" spans="1:6" x14ac:dyDescent="0.2">
      <c r="A843" s="275"/>
      <c r="B843" s="78"/>
      <c r="C843" s="189"/>
      <c r="D843" s="185"/>
      <c r="E843" s="186"/>
      <c r="F843" s="187"/>
    </row>
    <row r="844" spans="1:6" x14ac:dyDescent="0.2">
      <c r="A844" s="275"/>
      <c r="B844" s="78"/>
      <c r="C844" s="189"/>
      <c r="D844" s="185"/>
      <c r="E844" s="186"/>
      <c r="F844" s="187"/>
    </row>
    <row r="845" spans="1:6" x14ac:dyDescent="0.2">
      <c r="A845" s="275"/>
      <c r="B845" s="78"/>
      <c r="C845" s="189"/>
      <c r="D845" s="185"/>
      <c r="E845" s="186"/>
      <c r="F845" s="187"/>
    </row>
    <row r="846" spans="1:6" x14ac:dyDescent="0.2">
      <c r="A846" s="275"/>
      <c r="B846" s="78"/>
      <c r="C846" s="189"/>
      <c r="D846" s="185"/>
      <c r="E846" s="186"/>
      <c r="F846" s="187"/>
    </row>
    <row r="847" spans="1:6" x14ac:dyDescent="0.2">
      <c r="A847" s="275"/>
      <c r="B847" s="78"/>
      <c r="C847" s="189"/>
      <c r="D847" s="185"/>
      <c r="E847" s="186"/>
      <c r="F847" s="187"/>
    </row>
    <row r="848" spans="1:6" x14ac:dyDescent="0.2">
      <c r="A848" s="275"/>
      <c r="B848" s="78"/>
      <c r="C848" s="189"/>
      <c r="D848" s="185"/>
      <c r="E848" s="186"/>
      <c r="F848" s="187"/>
    </row>
    <row r="849" spans="1:6" x14ac:dyDescent="0.2">
      <c r="A849" s="275"/>
      <c r="B849" s="78"/>
      <c r="C849" s="189"/>
      <c r="D849" s="185"/>
      <c r="E849" s="186"/>
      <c r="F849" s="187"/>
    </row>
    <row r="850" spans="1:6" x14ac:dyDescent="0.2">
      <c r="A850" s="275"/>
      <c r="B850" s="78"/>
      <c r="C850" s="189"/>
      <c r="D850" s="185"/>
      <c r="E850" s="186"/>
      <c r="F850" s="187"/>
    </row>
    <row r="851" spans="1:6" x14ac:dyDescent="0.2">
      <c r="A851" s="275"/>
      <c r="B851" s="78"/>
      <c r="C851" s="189"/>
      <c r="D851" s="185"/>
      <c r="E851" s="186"/>
      <c r="F851" s="187"/>
    </row>
    <row r="852" spans="1:6" x14ac:dyDescent="0.2">
      <c r="A852" s="275"/>
      <c r="B852" s="78"/>
      <c r="C852" s="189"/>
      <c r="D852" s="185"/>
      <c r="E852" s="186"/>
      <c r="F852" s="187"/>
    </row>
    <row r="853" spans="1:6" x14ac:dyDescent="0.2">
      <c r="A853" s="275"/>
      <c r="B853" s="78"/>
      <c r="C853" s="189"/>
      <c r="D853" s="185"/>
      <c r="E853" s="186"/>
      <c r="F853" s="187"/>
    </row>
    <row r="854" spans="1:6" x14ac:dyDescent="0.2">
      <c r="A854" s="275"/>
      <c r="B854" s="78"/>
      <c r="C854" s="189"/>
      <c r="D854" s="185"/>
      <c r="E854" s="186"/>
      <c r="F854" s="187"/>
    </row>
    <row r="855" spans="1:6" x14ac:dyDescent="0.2">
      <c r="A855" s="275"/>
      <c r="B855" s="78"/>
      <c r="C855" s="189"/>
      <c r="D855" s="185"/>
      <c r="E855" s="186"/>
      <c r="F855" s="187"/>
    </row>
    <row r="856" spans="1:6" x14ac:dyDescent="0.2">
      <c r="A856" s="275"/>
      <c r="B856" s="78"/>
      <c r="C856" s="189"/>
      <c r="D856" s="185"/>
      <c r="E856" s="186"/>
      <c r="F856" s="187"/>
    </row>
    <row r="857" spans="1:6" x14ac:dyDescent="0.2">
      <c r="A857" s="275"/>
      <c r="B857" s="78"/>
      <c r="C857" s="189"/>
      <c r="D857" s="185"/>
      <c r="E857" s="186"/>
      <c r="F857" s="187"/>
    </row>
    <row r="858" spans="1:6" x14ac:dyDescent="0.2">
      <c r="A858" s="275"/>
      <c r="B858" s="78"/>
      <c r="C858" s="189"/>
      <c r="D858" s="185"/>
      <c r="E858" s="186"/>
      <c r="F858" s="187"/>
    </row>
    <row r="859" spans="1:6" x14ac:dyDescent="0.2">
      <c r="A859" s="275"/>
      <c r="B859" s="78"/>
      <c r="C859" s="189"/>
      <c r="D859" s="185"/>
      <c r="E859" s="186"/>
      <c r="F859" s="187"/>
    </row>
    <row r="860" spans="1:6" x14ac:dyDescent="0.2">
      <c r="A860" s="275"/>
      <c r="B860" s="78"/>
      <c r="C860" s="189"/>
      <c r="D860" s="185"/>
      <c r="E860" s="186"/>
      <c r="F860" s="187"/>
    </row>
    <row r="861" spans="1:6" x14ac:dyDescent="0.2">
      <c r="A861" s="275"/>
      <c r="B861" s="78"/>
      <c r="C861" s="189"/>
      <c r="D861" s="185"/>
      <c r="E861" s="186"/>
      <c r="F861" s="187"/>
    </row>
    <row r="862" spans="1:6" x14ac:dyDescent="0.2">
      <c r="A862" s="275"/>
      <c r="B862" s="78"/>
      <c r="C862" s="189"/>
      <c r="D862" s="185"/>
      <c r="E862" s="186"/>
      <c r="F862" s="187"/>
    </row>
    <row r="863" spans="1:6" x14ac:dyDescent="0.2">
      <c r="A863" s="275"/>
      <c r="B863" s="78"/>
      <c r="C863" s="189"/>
      <c r="D863" s="185"/>
      <c r="E863" s="186"/>
      <c r="F863" s="187"/>
    </row>
    <row r="864" spans="1:6" x14ac:dyDescent="0.2">
      <c r="A864" s="275"/>
      <c r="B864" s="78"/>
      <c r="C864" s="189"/>
      <c r="D864" s="185"/>
      <c r="E864" s="186"/>
      <c r="F864" s="187"/>
    </row>
    <row r="865" spans="1:6" x14ac:dyDescent="0.2">
      <c r="A865" s="275"/>
      <c r="B865" s="78"/>
      <c r="C865" s="189"/>
      <c r="D865" s="185"/>
      <c r="E865" s="186"/>
      <c r="F865" s="187"/>
    </row>
    <row r="866" spans="1:6" x14ac:dyDescent="0.2">
      <c r="A866" s="275"/>
      <c r="B866" s="78"/>
      <c r="C866" s="189"/>
      <c r="D866" s="185"/>
      <c r="E866" s="186"/>
      <c r="F866" s="187"/>
    </row>
    <row r="867" spans="1:6" x14ac:dyDescent="0.2">
      <c r="A867" s="275"/>
      <c r="B867" s="78"/>
      <c r="C867" s="189"/>
      <c r="D867" s="185"/>
      <c r="E867" s="186"/>
      <c r="F867" s="187"/>
    </row>
    <row r="868" spans="1:6" x14ac:dyDescent="0.2">
      <c r="A868" s="275"/>
      <c r="B868" s="78"/>
      <c r="C868" s="189"/>
      <c r="D868" s="185"/>
      <c r="E868" s="186"/>
      <c r="F868" s="187"/>
    </row>
    <row r="869" spans="1:6" x14ac:dyDescent="0.2">
      <c r="A869" s="275"/>
      <c r="B869" s="78"/>
      <c r="C869" s="189"/>
      <c r="D869" s="185"/>
      <c r="E869" s="186"/>
      <c r="F869" s="187"/>
    </row>
    <row r="870" spans="1:6" x14ac:dyDescent="0.2">
      <c r="A870" s="275"/>
      <c r="B870" s="78"/>
      <c r="C870" s="189"/>
      <c r="D870" s="185"/>
      <c r="E870" s="186"/>
      <c r="F870" s="187"/>
    </row>
    <row r="871" spans="1:6" x14ac:dyDescent="0.2">
      <c r="A871" s="275"/>
      <c r="B871" s="78"/>
      <c r="C871" s="189"/>
      <c r="D871" s="185"/>
      <c r="E871" s="186"/>
      <c r="F871" s="187"/>
    </row>
    <row r="872" spans="1:6" x14ac:dyDescent="0.2">
      <c r="A872" s="275"/>
      <c r="B872" s="78"/>
      <c r="C872" s="189"/>
      <c r="D872" s="185"/>
      <c r="E872" s="186"/>
      <c r="F872" s="187"/>
    </row>
    <row r="873" spans="1:6" x14ac:dyDescent="0.2">
      <c r="A873" s="275"/>
      <c r="B873" s="78"/>
      <c r="C873" s="189"/>
      <c r="D873" s="185"/>
      <c r="E873" s="186"/>
      <c r="F873" s="187"/>
    </row>
    <row r="874" spans="1:6" x14ac:dyDescent="0.2">
      <c r="A874" s="275"/>
      <c r="B874" s="78"/>
      <c r="C874" s="189"/>
      <c r="D874" s="185"/>
      <c r="E874" s="186"/>
      <c r="F874" s="187"/>
    </row>
    <row r="875" spans="1:6" x14ac:dyDescent="0.2">
      <c r="A875" s="275"/>
      <c r="B875" s="78"/>
      <c r="C875" s="189"/>
      <c r="D875" s="185"/>
      <c r="E875" s="186"/>
      <c r="F875" s="187"/>
    </row>
    <row r="876" spans="1:6" x14ac:dyDescent="0.2">
      <c r="A876" s="275"/>
      <c r="B876" s="78"/>
      <c r="C876" s="189"/>
      <c r="D876" s="185"/>
      <c r="E876" s="186"/>
      <c r="F876" s="187"/>
    </row>
    <row r="877" spans="1:6" x14ac:dyDescent="0.2">
      <c r="A877" s="275"/>
      <c r="B877" s="78"/>
      <c r="C877" s="189"/>
      <c r="D877" s="185"/>
      <c r="E877" s="186"/>
      <c r="F877" s="187"/>
    </row>
    <row r="878" spans="1:6" x14ac:dyDescent="0.2">
      <c r="A878" s="275"/>
      <c r="B878" s="78"/>
      <c r="C878" s="189"/>
      <c r="D878" s="185"/>
      <c r="E878" s="186"/>
      <c r="F878" s="187"/>
    </row>
    <row r="879" spans="1:6" x14ac:dyDescent="0.2">
      <c r="A879" s="275"/>
      <c r="B879" s="78"/>
      <c r="C879" s="189"/>
      <c r="D879" s="185"/>
      <c r="E879" s="186"/>
      <c r="F879" s="187"/>
    </row>
    <row r="880" spans="1:6" x14ac:dyDescent="0.2">
      <c r="A880" s="275"/>
      <c r="B880" s="78"/>
      <c r="C880" s="189"/>
      <c r="D880" s="185"/>
      <c r="E880" s="186"/>
      <c r="F880" s="187"/>
    </row>
    <row r="881" spans="1:6" x14ac:dyDescent="0.2">
      <c r="A881" s="275"/>
      <c r="B881" s="78"/>
      <c r="C881" s="189"/>
      <c r="D881" s="185"/>
      <c r="E881" s="186"/>
      <c r="F881" s="187"/>
    </row>
    <row r="882" spans="1:6" x14ac:dyDescent="0.2">
      <c r="A882" s="275"/>
      <c r="B882" s="78"/>
      <c r="C882" s="189"/>
      <c r="D882" s="185"/>
      <c r="E882" s="186"/>
      <c r="F882" s="187"/>
    </row>
    <row r="883" spans="1:6" x14ac:dyDescent="0.2">
      <c r="A883" s="275"/>
      <c r="B883" s="78"/>
      <c r="C883" s="189"/>
      <c r="D883" s="185"/>
      <c r="E883" s="186"/>
      <c r="F883" s="187"/>
    </row>
    <row r="884" spans="1:6" x14ac:dyDescent="0.2">
      <c r="A884" s="275"/>
      <c r="B884" s="78"/>
      <c r="C884" s="189"/>
      <c r="D884" s="185"/>
      <c r="E884" s="186"/>
      <c r="F884" s="187"/>
    </row>
    <row r="885" spans="1:6" x14ac:dyDescent="0.2">
      <c r="A885" s="275"/>
      <c r="B885" s="78"/>
      <c r="C885" s="189"/>
      <c r="D885" s="185"/>
      <c r="E885" s="186"/>
      <c r="F885" s="187"/>
    </row>
    <row r="886" spans="1:6" x14ac:dyDescent="0.2">
      <c r="A886" s="275"/>
      <c r="B886" s="78"/>
      <c r="C886" s="189"/>
      <c r="D886" s="185"/>
      <c r="E886" s="186"/>
      <c r="F886" s="187"/>
    </row>
    <row r="887" spans="1:6" x14ac:dyDescent="0.2">
      <c r="A887" s="275"/>
      <c r="B887" s="78"/>
      <c r="C887" s="189"/>
      <c r="D887" s="185"/>
      <c r="E887" s="186"/>
      <c r="F887" s="187"/>
    </row>
    <row r="888" spans="1:6" x14ac:dyDescent="0.2">
      <c r="A888" s="275"/>
      <c r="B888" s="78"/>
      <c r="C888" s="189"/>
      <c r="D888" s="185"/>
      <c r="E888" s="186"/>
      <c r="F888" s="187"/>
    </row>
    <row r="889" spans="1:6" x14ac:dyDescent="0.2">
      <c r="A889" s="275"/>
      <c r="B889" s="78"/>
      <c r="C889" s="189"/>
      <c r="D889" s="185"/>
      <c r="E889" s="186"/>
      <c r="F889" s="187"/>
    </row>
    <row r="890" spans="1:6" x14ac:dyDescent="0.2">
      <c r="A890" s="275"/>
      <c r="B890" s="78"/>
      <c r="C890" s="189"/>
      <c r="D890" s="185"/>
      <c r="E890" s="186"/>
      <c r="F890" s="187"/>
    </row>
    <row r="891" spans="1:6" x14ac:dyDescent="0.2">
      <c r="A891" s="275"/>
      <c r="B891" s="78"/>
      <c r="C891" s="189"/>
      <c r="D891" s="185"/>
      <c r="E891" s="186"/>
      <c r="F891" s="187"/>
    </row>
    <row r="892" spans="1:6" x14ac:dyDescent="0.2">
      <c r="A892" s="275"/>
      <c r="B892" s="78"/>
      <c r="C892" s="189"/>
      <c r="D892" s="185"/>
      <c r="E892" s="186"/>
      <c r="F892" s="187"/>
    </row>
    <row r="893" spans="1:6" x14ac:dyDescent="0.2">
      <c r="A893" s="275"/>
      <c r="B893" s="78"/>
      <c r="C893" s="189"/>
      <c r="D893" s="185"/>
      <c r="E893" s="186"/>
      <c r="F893" s="187"/>
    </row>
    <row r="894" spans="1:6" x14ac:dyDescent="0.2">
      <c r="A894" s="275"/>
      <c r="B894" s="78"/>
      <c r="C894" s="189"/>
      <c r="D894" s="185"/>
      <c r="E894" s="186"/>
      <c r="F894" s="187"/>
    </row>
    <row r="895" spans="1:6" x14ac:dyDescent="0.2">
      <c r="A895" s="275"/>
      <c r="B895" s="78"/>
      <c r="C895" s="189"/>
      <c r="D895" s="185"/>
      <c r="E895" s="186"/>
      <c r="F895" s="187"/>
    </row>
    <row r="896" spans="1:6" x14ac:dyDescent="0.2">
      <c r="A896" s="275"/>
      <c r="B896" s="78"/>
      <c r="C896" s="189"/>
      <c r="D896" s="185"/>
      <c r="E896" s="186"/>
      <c r="F896" s="187"/>
    </row>
    <row r="897" spans="1:6" x14ac:dyDescent="0.2">
      <c r="A897" s="275"/>
      <c r="B897" s="78"/>
      <c r="C897" s="189"/>
      <c r="D897" s="185"/>
      <c r="E897" s="186"/>
      <c r="F897" s="187"/>
    </row>
    <row r="898" spans="1:6" x14ac:dyDescent="0.2">
      <c r="A898" s="275"/>
      <c r="B898" s="78"/>
      <c r="C898" s="189"/>
      <c r="D898" s="185"/>
      <c r="E898" s="186"/>
      <c r="F898" s="187"/>
    </row>
    <row r="899" spans="1:6" x14ac:dyDescent="0.2">
      <c r="A899" s="275"/>
      <c r="B899" s="78"/>
      <c r="C899" s="189"/>
      <c r="D899" s="185"/>
      <c r="E899" s="186"/>
      <c r="F899" s="187"/>
    </row>
    <row r="900" spans="1:6" x14ac:dyDescent="0.2">
      <c r="A900" s="275"/>
      <c r="B900" s="78"/>
      <c r="C900" s="189"/>
      <c r="D900" s="185"/>
      <c r="E900" s="186"/>
      <c r="F900" s="187"/>
    </row>
    <row r="901" spans="1:6" x14ac:dyDescent="0.2">
      <c r="A901" s="275"/>
      <c r="B901" s="78"/>
      <c r="C901" s="189"/>
      <c r="D901" s="185"/>
      <c r="E901" s="186"/>
      <c r="F901" s="187"/>
    </row>
    <row r="902" spans="1:6" x14ac:dyDescent="0.2">
      <c r="A902" s="275"/>
      <c r="B902" s="78"/>
      <c r="C902" s="189"/>
      <c r="D902" s="185"/>
      <c r="E902" s="186"/>
      <c r="F902" s="187"/>
    </row>
    <row r="903" spans="1:6" x14ac:dyDescent="0.2">
      <c r="A903" s="275"/>
      <c r="B903" s="78"/>
      <c r="C903" s="189"/>
      <c r="D903" s="185"/>
      <c r="E903" s="186"/>
      <c r="F903" s="187"/>
    </row>
    <row r="904" spans="1:6" x14ac:dyDescent="0.2">
      <c r="A904" s="275"/>
      <c r="B904" s="78"/>
      <c r="C904" s="189"/>
      <c r="D904" s="185"/>
      <c r="E904" s="186"/>
      <c r="F904" s="187"/>
    </row>
    <row r="905" spans="1:6" x14ac:dyDescent="0.2">
      <c r="A905" s="275"/>
      <c r="B905" s="78"/>
      <c r="C905" s="189"/>
      <c r="D905" s="185"/>
      <c r="E905" s="186"/>
      <c r="F905" s="187"/>
    </row>
    <row r="906" spans="1:6" x14ac:dyDescent="0.2">
      <c r="A906" s="275"/>
      <c r="B906" s="78"/>
      <c r="C906" s="189"/>
      <c r="D906" s="185"/>
      <c r="E906" s="186"/>
      <c r="F906" s="187"/>
    </row>
    <row r="907" spans="1:6" x14ac:dyDescent="0.2">
      <c r="A907" s="275"/>
      <c r="B907" s="78"/>
      <c r="C907" s="189"/>
      <c r="D907" s="185"/>
      <c r="E907" s="186"/>
      <c r="F907" s="187"/>
    </row>
    <row r="908" spans="1:6" x14ac:dyDescent="0.2">
      <c r="A908" s="275"/>
      <c r="B908" s="78"/>
      <c r="C908" s="189"/>
      <c r="D908" s="185"/>
      <c r="E908" s="186"/>
      <c r="F908" s="187"/>
    </row>
    <row r="909" spans="1:6" x14ac:dyDescent="0.2">
      <c r="A909" s="275"/>
      <c r="B909" s="78"/>
      <c r="C909" s="189"/>
      <c r="D909" s="185"/>
      <c r="E909" s="186"/>
      <c r="F909" s="187"/>
    </row>
    <row r="910" spans="1:6" x14ac:dyDescent="0.2">
      <c r="A910" s="275"/>
      <c r="B910" s="78"/>
      <c r="C910" s="189"/>
      <c r="D910" s="185"/>
      <c r="E910" s="186"/>
      <c r="F910" s="187"/>
    </row>
    <row r="911" spans="1:6" x14ac:dyDescent="0.2">
      <c r="A911" s="275"/>
      <c r="B911" s="78"/>
      <c r="C911" s="189"/>
      <c r="D911" s="185"/>
      <c r="E911" s="186"/>
      <c r="F911" s="187"/>
    </row>
    <row r="912" spans="1:6" x14ac:dyDescent="0.2">
      <c r="A912" s="275"/>
      <c r="B912" s="78"/>
      <c r="C912" s="189"/>
      <c r="D912" s="185"/>
      <c r="E912" s="186"/>
      <c r="F912" s="187"/>
    </row>
    <row r="913" spans="1:6" x14ac:dyDescent="0.2">
      <c r="A913" s="275"/>
      <c r="B913" s="78"/>
      <c r="C913" s="189"/>
      <c r="D913" s="185"/>
      <c r="E913" s="186"/>
      <c r="F913" s="187"/>
    </row>
    <row r="914" spans="1:6" x14ac:dyDescent="0.2">
      <c r="A914" s="275"/>
      <c r="B914" s="78"/>
      <c r="C914" s="189"/>
      <c r="D914" s="185"/>
      <c r="E914" s="186"/>
      <c r="F914" s="187"/>
    </row>
    <row r="915" spans="1:6" x14ac:dyDescent="0.2">
      <c r="A915" s="275"/>
      <c r="B915" s="78"/>
      <c r="C915" s="189"/>
      <c r="D915" s="185"/>
      <c r="E915" s="186"/>
      <c r="F915" s="187"/>
    </row>
    <row r="916" spans="1:6" x14ac:dyDescent="0.2">
      <c r="A916" s="275"/>
      <c r="B916" s="78"/>
      <c r="C916" s="189"/>
      <c r="D916" s="185"/>
      <c r="E916" s="186"/>
      <c r="F916" s="187"/>
    </row>
    <row r="917" spans="1:6" x14ac:dyDescent="0.2">
      <c r="A917" s="275"/>
      <c r="B917" s="78"/>
      <c r="C917" s="189"/>
      <c r="D917" s="185"/>
      <c r="E917" s="186"/>
      <c r="F917" s="187"/>
    </row>
    <row r="918" spans="1:6" x14ac:dyDescent="0.2">
      <c r="A918" s="275"/>
      <c r="B918" s="78"/>
      <c r="C918" s="189"/>
      <c r="D918" s="185"/>
      <c r="E918" s="186"/>
      <c r="F918" s="187"/>
    </row>
    <row r="919" spans="1:6" x14ac:dyDescent="0.2">
      <c r="A919" s="275"/>
      <c r="B919" s="78"/>
      <c r="C919" s="189"/>
      <c r="D919" s="185"/>
      <c r="E919" s="186"/>
      <c r="F919" s="187"/>
    </row>
    <row r="920" spans="1:6" x14ac:dyDescent="0.2">
      <c r="A920" s="275"/>
      <c r="B920" s="78"/>
      <c r="C920" s="189"/>
      <c r="D920" s="185"/>
      <c r="E920" s="186"/>
      <c r="F920" s="187"/>
    </row>
    <row r="921" spans="1:6" x14ac:dyDescent="0.2">
      <c r="A921" s="275"/>
      <c r="B921" s="78"/>
      <c r="C921" s="189"/>
      <c r="D921" s="185"/>
      <c r="E921" s="186"/>
      <c r="F921" s="187"/>
    </row>
    <row r="922" spans="1:6" x14ac:dyDescent="0.2">
      <c r="A922" s="275"/>
      <c r="B922" s="78"/>
      <c r="C922" s="189"/>
      <c r="D922" s="185"/>
      <c r="E922" s="186"/>
      <c r="F922" s="187"/>
    </row>
    <row r="923" spans="1:6" x14ac:dyDescent="0.2">
      <c r="A923" s="275"/>
      <c r="B923" s="78"/>
      <c r="C923" s="189"/>
      <c r="D923" s="185"/>
      <c r="E923" s="186"/>
      <c r="F923" s="187"/>
    </row>
    <row r="924" spans="1:6" x14ac:dyDescent="0.2">
      <c r="A924" s="275"/>
      <c r="B924" s="78"/>
      <c r="C924" s="189"/>
      <c r="D924" s="185"/>
      <c r="E924" s="186"/>
      <c r="F924" s="187"/>
    </row>
    <row r="925" spans="1:6" x14ac:dyDescent="0.2">
      <c r="A925" s="275"/>
      <c r="B925" s="78"/>
      <c r="C925" s="189"/>
      <c r="D925" s="185"/>
      <c r="E925" s="186"/>
      <c r="F925" s="187"/>
    </row>
    <row r="926" spans="1:6" x14ac:dyDescent="0.2">
      <c r="A926" s="275"/>
      <c r="B926" s="78"/>
      <c r="C926" s="189"/>
      <c r="D926" s="185"/>
      <c r="E926" s="186"/>
      <c r="F926" s="187"/>
    </row>
    <row r="927" spans="1:6" x14ac:dyDescent="0.2">
      <c r="A927" s="275"/>
      <c r="B927" s="78"/>
      <c r="C927" s="189"/>
      <c r="D927" s="185"/>
      <c r="E927" s="186"/>
      <c r="F927" s="187"/>
    </row>
    <row r="928" spans="1:6" x14ac:dyDescent="0.2">
      <c r="A928" s="275"/>
      <c r="B928" s="78"/>
      <c r="C928" s="189"/>
      <c r="D928" s="185"/>
      <c r="E928" s="186"/>
      <c r="F928" s="187"/>
    </row>
    <row r="929" spans="1:6" x14ac:dyDescent="0.2">
      <c r="A929" s="275"/>
      <c r="B929" s="78"/>
      <c r="C929" s="189"/>
      <c r="D929" s="185"/>
      <c r="E929" s="186"/>
      <c r="F929" s="187"/>
    </row>
    <row r="930" spans="1:6" x14ac:dyDescent="0.2">
      <c r="A930" s="275"/>
      <c r="B930" s="78"/>
      <c r="C930" s="189"/>
      <c r="D930" s="185"/>
      <c r="E930" s="186"/>
      <c r="F930" s="187"/>
    </row>
    <row r="931" spans="1:6" x14ac:dyDescent="0.2">
      <c r="A931" s="275"/>
      <c r="B931" s="78"/>
      <c r="C931" s="189"/>
      <c r="D931" s="185"/>
      <c r="E931" s="186"/>
      <c r="F931" s="187"/>
    </row>
    <row r="932" spans="1:6" x14ac:dyDescent="0.2">
      <c r="A932" s="275"/>
      <c r="B932" s="78"/>
      <c r="C932" s="189"/>
      <c r="D932" s="185"/>
      <c r="E932" s="186"/>
      <c r="F932" s="187"/>
    </row>
    <row r="933" spans="1:6" x14ac:dyDescent="0.2">
      <c r="A933" s="275"/>
      <c r="B933" s="78"/>
      <c r="C933" s="189"/>
      <c r="D933" s="185"/>
      <c r="E933" s="186"/>
      <c r="F933" s="187"/>
    </row>
    <row r="934" spans="1:6" x14ac:dyDescent="0.2">
      <c r="A934" s="275"/>
      <c r="B934" s="78"/>
      <c r="C934" s="189"/>
      <c r="D934" s="185"/>
      <c r="E934" s="186"/>
      <c r="F934" s="187"/>
    </row>
    <row r="935" spans="1:6" x14ac:dyDescent="0.2">
      <c r="A935" s="275"/>
      <c r="B935" s="78"/>
      <c r="C935" s="189"/>
      <c r="D935" s="185"/>
      <c r="E935" s="186"/>
      <c r="F935" s="187"/>
    </row>
    <row r="936" spans="1:6" x14ac:dyDescent="0.2">
      <c r="A936" s="275"/>
      <c r="B936" s="78"/>
      <c r="C936" s="189"/>
      <c r="D936" s="185"/>
      <c r="E936" s="186"/>
      <c r="F936" s="187"/>
    </row>
    <row r="937" spans="1:6" x14ac:dyDescent="0.2">
      <c r="A937" s="275"/>
      <c r="B937" s="78"/>
      <c r="C937" s="189"/>
      <c r="D937" s="185"/>
      <c r="E937" s="186"/>
      <c r="F937" s="187"/>
    </row>
    <row r="938" spans="1:6" x14ac:dyDescent="0.2">
      <c r="A938" s="275"/>
      <c r="B938" s="78"/>
      <c r="C938" s="189"/>
      <c r="D938" s="185"/>
      <c r="E938" s="186"/>
      <c r="F938" s="187"/>
    </row>
    <row r="939" spans="1:6" x14ac:dyDescent="0.2">
      <c r="A939" s="275"/>
      <c r="B939" s="78"/>
      <c r="C939" s="189"/>
      <c r="D939" s="185"/>
      <c r="E939" s="186"/>
      <c r="F939" s="187"/>
    </row>
    <row r="940" spans="1:6" x14ac:dyDescent="0.2">
      <c r="A940" s="275"/>
      <c r="B940" s="78"/>
      <c r="C940" s="189"/>
      <c r="D940" s="185"/>
      <c r="E940" s="186"/>
      <c r="F940" s="187"/>
    </row>
    <row r="941" spans="1:6" x14ac:dyDescent="0.2">
      <c r="A941" s="275"/>
      <c r="B941" s="78"/>
      <c r="C941" s="189"/>
      <c r="D941" s="185"/>
      <c r="E941" s="186"/>
      <c r="F941" s="187"/>
    </row>
    <row r="942" spans="1:6" x14ac:dyDescent="0.2">
      <c r="A942" s="275"/>
      <c r="B942" s="78"/>
      <c r="C942" s="189"/>
      <c r="D942" s="185"/>
      <c r="E942" s="186"/>
      <c r="F942" s="187"/>
    </row>
    <row r="943" spans="1:6" x14ac:dyDescent="0.2">
      <c r="A943" s="275"/>
      <c r="B943" s="78"/>
      <c r="C943" s="189"/>
      <c r="D943" s="185"/>
      <c r="E943" s="186"/>
      <c r="F943" s="187"/>
    </row>
    <row r="944" spans="1:6" x14ac:dyDescent="0.2">
      <c r="A944" s="275"/>
      <c r="B944" s="78"/>
      <c r="C944" s="189"/>
      <c r="D944" s="185"/>
      <c r="E944" s="186"/>
      <c r="F944" s="187"/>
    </row>
    <row r="945" spans="1:6" x14ac:dyDescent="0.2">
      <c r="A945" s="275"/>
      <c r="B945" s="78"/>
      <c r="C945" s="189"/>
      <c r="D945" s="185"/>
      <c r="E945" s="186"/>
      <c r="F945" s="187"/>
    </row>
    <row r="946" spans="1:6" x14ac:dyDescent="0.2">
      <c r="A946" s="275"/>
      <c r="B946" s="78"/>
      <c r="C946" s="189"/>
      <c r="D946" s="185"/>
      <c r="E946" s="186"/>
      <c r="F946" s="187"/>
    </row>
    <row r="947" spans="1:6" x14ac:dyDescent="0.2">
      <c r="A947" s="275"/>
      <c r="B947" s="78"/>
      <c r="C947" s="189"/>
      <c r="D947" s="185"/>
      <c r="E947" s="186"/>
      <c r="F947" s="187"/>
    </row>
    <row r="948" spans="1:6" x14ac:dyDescent="0.2">
      <c r="A948" s="275"/>
      <c r="B948" s="78"/>
      <c r="C948" s="189"/>
      <c r="D948" s="185"/>
      <c r="E948" s="186"/>
      <c r="F948" s="187"/>
    </row>
    <row r="949" spans="1:6" x14ac:dyDescent="0.2">
      <c r="A949" s="275"/>
      <c r="B949" s="78"/>
      <c r="C949" s="189"/>
      <c r="D949" s="185"/>
      <c r="E949" s="186"/>
      <c r="F949" s="187"/>
    </row>
    <row r="950" spans="1:6" x14ac:dyDescent="0.2">
      <c r="A950" s="275"/>
      <c r="B950" s="78"/>
      <c r="C950" s="189"/>
      <c r="D950" s="185"/>
      <c r="E950" s="186"/>
      <c r="F950" s="187"/>
    </row>
    <row r="951" spans="1:6" x14ac:dyDescent="0.2">
      <c r="A951" s="275"/>
      <c r="B951" s="78"/>
      <c r="C951" s="189"/>
      <c r="D951" s="185"/>
      <c r="E951" s="186"/>
      <c r="F951" s="187"/>
    </row>
    <row r="952" spans="1:6" x14ac:dyDescent="0.2">
      <c r="A952" s="275"/>
      <c r="B952" s="78"/>
      <c r="C952" s="189"/>
      <c r="D952" s="185"/>
      <c r="E952" s="186"/>
      <c r="F952" s="187"/>
    </row>
    <row r="953" spans="1:6" x14ac:dyDescent="0.2">
      <c r="A953" s="275"/>
      <c r="B953" s="78"/>
      <c r="C953" s="189"/>
      <c r="D953" s="185"/>
      <c r="E953" s="186"/>
      <c r="F953" s="187"/>
    </row>
    <row r="954" spans="1:6" x14ac:dyDescent="0.2">
      <c r="A954" s="275"/>
      <c r="B954" s="78"/>
      <c r="C954" s="189"/>
      <c r="D954" s="185"/>
      <c r="E954" s="186"/>
      <c r="F954" s="187"/>
    </row>
    <row r="955" spans="1:6" x14ac:dyDescent="0.2">
      <c r="A955" s="275"/>
      <c r="B955" s="78"/>
      <c r="C955" s="189"/>
      <c r="D955" s="185"/>
      <c r="E955" s="186"/>
      <c r="F955" s="187"/>
    </row>
    <row r="956" spans="1:6" x14ac:dyDescent="0.2">
      <c r="A956" s="275"/>
      <c r="B956" s="78"/>
      <c r="C956" s="189"/>
      <c r="D956" s="185"/>
      <c r="E956" s="186"/>
      <c r="F956" s="187"/>
    </row>
    <row r="957" spans="1:6" x14ac:dyDescent="0.2">
      <c r="A957" s="275"/>
      <c r="B957" s="78"/>
      <c r="C957" s="189"/>
      <c r="D957" s="185"/>
      <c r="E957" s="186"/>
      <c r="F957" s="187"/>
    </row>
    <row r="958" spans="1:6" x14ac:dyDescent="0.2">
      <c r="A958" s="275"/>
      <c r="B958" s="78"/>
      <c r="C958" s="189"/>
      <c r="D958" s="185"/>
      <c r="E958" s="186"/>
      <c r="F958" s="187"/>
    </row>
    <row r="959" spans="1:6" x14ac:dyDescent="0.2">
      <c r="A959" s="275"/>
      <c r="B959" s="78"/>
      <c r="C959" s="189"/>
      <c r="D959" s="185"/>
      <c r="E959" s="186"/>
      <c r="F959" s="187"/>
    </row>
    <row r="960" spans="1:6" x14ac:dyDescent="0.2">
      <c r="A960" s="275"/>
      <c r="B960" s="78"/>
      <c r="C960" s="189"/>
      <c r="D960" s="185"/>
      <c r="E960" s="186"/>
      <c r="F960" s="187"/>
    </row>
    <row r="961" spans="1:6" x14ac:dyDescent="0.2">
      <c r="A961" s="275"/>
      <c r="B961" s="78"/>
      <c r="C961" s="189"/>
      <c r="D961" s="185"/>
      <c r="E961" s="186"/>
      <c r="F961" s="187"/>
    </row>
    <row r="962" spans="1:6" x14ac:dyDescent="0.2">
      <c r="A962" s="275"/>
      <c r="B962" s="78"/>
      <c r="C962" s="189"/>
      <c r="D962" s="185"/>
      <c r="E962" s="186"/>
      <c r="F962" s="187"/>
    </row>
    <row r="963" spans="1:6" x14ac:dyDescent="0.2">
      <c r="A963" s="275"/>
      <c r="B963" s="78"/>
      <c r="C963" s="189"/>
      <c r="D963" s="185"/>
      <c r="E963" s="186"/>
      <c r="F963" s="187"/>
    </row>
    <row r="964" spans="1:6" x14ac:dyDescent="0.2">
      <c r="A964" s="275"/>
      <c r="B964" s="78"/>
      <c r="C964" s="189"/>
      <c r="D964" s="185"/>
      <c r="E964" s="186"/>
      <c r="F964" s="187"/>
    </row>
    <row r="965" spans="1:6" x14ac:dyDescent="0.2">
      <c r="A965" s="275"/>
      <c r="B965" s="78"/>
      <c r="C965" s="189"/>
      <c r="D965" s="185"/>
      <c r="E965" s="186"/>
      <c r="F965" s="187"/>
    </row>
    <row r="966" spans="1:6" x14ac:dyDescent="0.2">
      <c r="A966" s="275"/>
      <c r="B966" s="78"/>
      <c r="C966" s="189"/>
      <c r="D966" s="185"/>
      <c r="E966" s="186"/>
      <c r="F966" s="187"/>
    </row>
    <row r="967" spans="1:6" x14ac:dyDescent="0.2">
      <c r="A967" s="275"/>
      <c r="B967" s="78"/>
      <c r="C967" s="189"/>
      <c r="D967" s="185"/>
      <c r="E967" s="186"/>
      <c r="F967" s="187"/>
    </row>
    <row r="968" spans="1:6" x14ac:dyDescent="0.2">
      <c r="A968" s="275"/>
      <c r="B968" s="78"/>
      <c r="C968" s="189"/>
      <c r="D968" s="185"/>
      <c r="E968" s="186"/>
      <c r="F968" s="187"/>
    </row>
    <row r="969" spans="1:6" x14ac:dyDescent="0.2">
      <c r="A969" s="275"/>
      <c r="B969" s="78"/>
      <c r="C969" s="189"/>
      <c r="D969" s="185"/>
      <c r="E969" s="186"/>
      <c r="F969" s="187"/>
    </row>
    <row r="970" spans="1:6" x14ac:dyDescent="0.2">
      <c r="A970" s="275"/>
      <c r="B970" s="78"/>
      <c r="C970" s="189"/>
      <c r="D970" s="185"/>
      <c r="E970" s="186"/>
      <c r="F970" s="187"/>
    </row>
    <row r="971" spans="1:6" x14ac:dyDescent="0.2">
      <c r="A971" s="275"/>
      <c r="B971" s="78"/>
      <c r="C971" s="189"/>
      <c r="D971" s="185"/>
      <c r="E971" s="186"/>
      <c r="F971" s="187"/>
    </row>
    <row r="972" spans="1:6" x14ac:dyDescent="0.2">
      <c r="A972" s="275"/>
      <c r="B972" s="78"/>
      <c r="C972" s="189"/>
      <c r="D972" s="185"/>
      <c r="E972" s="186"/>
      <c r="F972" s="187"/>
    </row>
    <row r="973" spans="1:6" x14ac:dyDescent="0.2">
      <c r="A973" s="275"/>
      <c r="B973" s="78"/>
      <c r="C973" s="189"/>
      <c r="D973" s="185"/>
      <c r="E973" s="186"/>
      <c r="F973" s="187"/>
    </row>
    <row r="974" spans="1:6" x14ac:dyDescent="0.2">
      <c r="A974" s="275"/>
      <c r="B974" s="78"/>
      <c r="C974" s="189"/>
      <c r="D974" s="185"/>
      <c r="E974" s="186"/>
      <c r="F974" s="187"/>
    </row>
    <row r="975" spans="1:6" x14ac:dyDescent="0.2">
      <c r="A975" s="275"/>
      <c r="B975" s="78"/>
      <c r="C975" s="189"/>
      <c r="D975" s="185"/>
      <c r="E975" s="186"/>
      <c r="F975" s="187"/>
    </row>
    <row r="976" spans="1:6" x14ac:dyDescent="0.2">
      <c r="A976" s="275"/>
      <c r="B976" s="78"/>
      <c r="C976" s="189"/>
      <c r="D976" s="185"/>
      <c r="E976" s="186"/>
      <c r="F976" s="187"/>
    </row>
    <row r="977" spans="1:6" x14ac:dyDescent="0.2">
      <c r="A977" s="275"/>
      <c r="B977" s="78"/>
      <c r="C977" s="189"/>
      <c r="D977" s="185"/>
      <c r="E977" s="186"/>
      <c r="F977" s="187"/>
    </row>
    <row r="978" spans="1:6" x14ac:dyDescent="0.2">
      <c r="A978" s="275"/>
      <c r="B978" s="78"/>
      <c r="C978" s="189"/>
      <c r="D978" s="185"/>
      <c r="E978" s="186"/>
      <c r="F978" s="187"/>
    </row>
    <row r="979" spans="1:6" x14ac:dyDescent="0.2">
      <c r="A979" s="275"/>
      <c r="B979" s="78"/>
      <c r="C979" s="189"/>
      <c r="D979" s="185"/>
      <c r="E979" s="186"/>
      <c r="F979" s="187"/>
    </row>
    <row r="980" spans="1:6" x14ac:dyDescent="0.2">
      <c r="A980" s="275"/>
      <c r="B980" s="78"/>
      <c r="C980" s="189"/>
      <c r="D980" s="185"/>
      <c r="E980" s="186"/>
      <c r="F980" s="187"/>
    </row>
    <row r="981" spans="1:6" x14ac:dyDescent="0.2">
      <c r="A981" s="275"/>
      <c r="B981" s="78"/>
      <c r="C981" s="189"/>
      <c r="D981" s="185"/>
      <c r="E981" s="186"/>
      <c r="F981" s="187"/>
    </row>
    <row r="982" spans="1:6" x14ac:dyDescent="0.2">
      <c r="A982" s="275"/>
      <c r="B982" s="78"/>
      <c r="C982" s="189"/>
      <c r="D982" s="185"/>
      <c r="E982" s="186"/>
      <c r="F982" s="187"/>
    </row>
    <row r="983" spans="1:6" x14ac:dyDescent="0.2">
      <c r="A983" s="275"/>
      <c r="B983" s="78"/>
      <c r="C983" s="189"/>
      <c r="D983" s="185"/>
      <c r="E983" s="186"/>
      <c r="F983" s="187"/>
    </row>
    <row r="984" spans="1:6" x14ac:dyDescent="0.2">
      <c r="A984" s="275"/>
      <c r="B984" s="78"/>
      <c r="C984" s="189"/>
      <c r="D984" s="185"/>
      <c r="E984" s="186"/>
      <c r="F984" s="187"/>
    </row>
    <row r="985" spans="1:6" x14ac:dyDescent="0.2">
      <c r="A985" s="275"/>
      <c r="B985" s="78"/>
      <c r="C985" s="189"/>
      <c r="D985" s="185"/>
      <c r="E985" s="186"/>
      <c r="F985" s="187"/>
    </row>
    <row r="986" spans="1:6" x14ac:dyDescent="0.2">
      <c r="A986" s="275"/>
      <c r="B986" s="78"/>
      <c r="C986" s="189"/>
      <c r="D986" s="185"/>
      <c r="E986" s="186"/>
      <c r="F986" s="187"/>
    </row>
    <row r="987" spans="1:6" x14ac:dyDescent="0.2">
      <c r="A987" s="275"/>
      <c r="B987" s="78"/>
      <c r="C987" s="189"/>
      <c r="D987" s="185"/>
      <c r="E987" s="186"/>
      <c r="F987" s="187"/>
    </row>
    <row r="988" spans="1:6" x14ac:dyDescent="0.2">
      <c r="A988" s="275"/>
      <c r="B988" s="78"/>
      <c r="C988" s="189"/>
      <c r="D988" s="185"/>
      <c r="E988" s="186"/>
      <c r="F988" s="187"/>
    </row>
    <row r="989" spans="1:6" x14ac:dyDescent="0.2">
      <c r="A989" s="275"/>
      <c r="B989" s="78"/>
      <c r="C989" s="189"/>
      <c r="D989" s="185"/>
      <c r="E989" s="186"/>
      <c r="F989" s="187"/>
    </row>
    <row r="990" spans="1:6" x14ac:dyDescent="0.2">
      <c r="A990" s="275"/>
      <c r="B990" s="78"/>
      <c r="C990" s="189"/>
      <c r="D990" s="185"/>
      <c r="E990" s="186"/>
      <c r="F990" s="187"/>
    </row>
    <row r="991" spans="1:6" x14ac:dyDescent="0.2">
      <c r="A991" s="275"/>
      <c r="B991" s="78"/>
      <c r="C991" s="189"/>
      <c r="D991" s="185"/>
      <c r="E991" s="186"/>
      <c r="F991" s="187"/>
    </row>
    <row r="992" spans="1:6" x14ac:dyDescent="0.2">
      <c r="A992" s="275"/>
      <c r="B992" s="78"/>
      <c r="C992" s="189"/>
      <c r="D992" s="185"/>
      <c r="E992" s="186"/>
      <c r="F992" s="187"/>
    </row>
    <row r="993" spans="1:6" x14ac:dyDescent="0.2">
      <c r="A993" s="275"/>
      <c r="B993" s="78"/>
      <c r="C993" s="189"/>
      <c r="D993" s="185"/>
      <c r="E993" s="186"/>
      <c r="F993" s="187"/>
    </row>
    <row r="994" spans="1:6" x14ac:dyDescent="0.2">
      <c r="A994" s="275"/>
      <c r="B994" s="78"/>
      <c r="C994" s="189"/>
      <c r="D994" s="185"/>
      <c r="E994" s="186"/>
      <c r="F994" s="187"/>
    </row>
    <row r="995" spans="1:6" x14ac:dyDescent="0.2">
      <c r="A995" s="275"/>
      <c r="B995" s="78"/>
      <c r="C995" s="189"/>
      <c r="D995" s="185"/>
      <c r="E995" s="186"/>
      <c r="F995" s="187"/>
    </row>
    <row r="996" spans="1:6" x14ac:dyDescent="0.2">
      <c r="A996" s="275"/>
      <c r="B996" s="78"/>
      <c r="C996" s="189"/>
      <c r="D996" s="185"/>
      <c r="E996" s="186"/>
      <c r="F996" s="187"/>
    </row>
    <row r="997" spans="1:6" x14ac:dyDescent="0.2">
      <c r="A997" s="275"/>
      <c r="B997" s="78"/>
      <c r="C997" s="189"/>
      <c r="D997" s="185"/>
      <c r="E997" s="186"/>
      <c r="F997" s="187"/>
    </row>
    <row r="998" spans="1:6" x14ac:dyDescent="0.2">
      <c r="A998" s="275"/>
      <c r="B998" s="78"/>
      <c r="C998" s="189"/>
      <c r="D998" s="185"/>
      <c r="E998" s="186"/>
      <c r="F998" s="187"/>
    </row>
    <row r="999" spans="1:6" x14ac:dyDescent="0.2">
      <c r="A999" s="275"/>
      <c r="B999" s="78"/>
      <c r="C999" s="189"/>
      <c r="D999" s="185"/>
      <c r="E999" s="186"/>
      <c r="F999" s="187"/>
    </row>
    <row r="1000" spans="1:6" x14ac:dyDescent="0.2">
      <c r="A1000" s="275"/>
      <c r="B1000" s="78"/>
      <c r="C1000" s="189"/>
      <c r="D1000" s="185"/>
      <c r="E1000" s="186"/>
      <c r="F1000" s="187"/>
    </row>
    <row r="1001" spans="1:6" x14ac:dyDescent="0.2">
      <c r="A1001" s="275"/>
      <c r="B1001" s="78"/>
      <c r="C1001" s="189"/>
      <c r="D1001" s="185"/>
      <c r="E1001" s="186"/>
      <c r="F1001" s="187"/>
    </row>
    <row r="1002" spans="1:6" x14ac:dyDescent="0.2">
      <c r="A1002" s="275"/>
      <c r="B1002" s="78"/>
      <c r="C1002" s="189"/>
      <c r="D1002" s="185"/>
      <c r="E1002" s="186"/>
      <c r="F1002" s="187"/>
    </row>
    <row r="1003" spans="1:6" x14ac:dyDescent="0.2">
      <c r="A1003" s="275"/>
      <c r="B1003" s="78"/>
      <c r="C1003" s="189"/>
      <c r="D1003" s="185"/>
      <c r="E1003" s="186"/>
      <c r="F1003" s="187"/>
    </row>
    <row r="1004" spans="1:6" x14ac:dyDescent="0.2">
      <c r="A1004" s="275"/>
      <c r="B1004" s="78"/>
      <c r="C1004" s="189"/>
      <c r="D1004" s="185"/>
      <c r="E1004" s="186"/>
      <c r="F1004" s="187"/>
    </row>
    <row r="1005" spans="1:6" x14ac:dyDescent="0.2">
      <c r="A1005" s="275"/>
      <c r="B1005" s="78"/>
      <c r="C1005" s="189"/>
      <c r="D1005" s="185"/>
      <c r="E1005" s="186"/>
      <c r="F1005" s="187"/>
    </row>
    <row r="1006" spans="1:6" x14ac:dyDescent="0.2">
      <c r="A1006" s="275"/>
      <c r="B1006" s="78"/>
      <c r="C1006" s="189"/>
      <c r="D1006" s="185"/>
      <c r="E1006" s="186"/>
      <c r="F1006" s="187"/>
    </row>
    <row r="1007" spans="1:6" x14ac:dyDescent="0.2">
      <c r="A1007" s="275"/>
      <c r="B1007" s="78"/>
      <c r="C1007" s="189"/>
      <c r="D1007" s="185"/>
      <c r="E1007" s="186"/>
      <c r="F1007" s="187"/>
    </row>
    <row r="1008" spans="1:6" x14ac:dyDescent="0.2">
      <c r="A1008" s="275"/>
      <c r="B1008" s="78"/>
      <c r="C1008" s="189"/>
      <c r="D1008" s="185"/>
      <c r="E1008" s="186"/>
      <c r="F1008" s="187"/>
    </row>
    <row r="1009" spans="1:6" x14ac:dyDescent="0.2">
      <c r="A1009" s="275"/>
      <c r="B1009" s="78"/>
      <c r="C1009" s="189"/>
      <c r="D1009" s="185"/>
      <c r="E1009" s="186"/>
      <c r="F1009" s="187"/>
    </row>
    <row r="1010" spans="1:6" x14ac:dyDescent="0.2">
      <c r="A1010" s="275"/>
      <c r="B1010" s="78"/>
      <c r="C1010" s="189"/>
      <c r="D1010" s="185"/>
      <c r="E1010" s="186"/>
      <c r="F1010" s="187"/>
    </row>
    <row r="1011" spans="1:6" x14ac:dyDescent="0.2">
      <c r="A1011" s="275"/>
      <c r="B1011" s="78"/>
      <c r="C1011" s="189"/>
      <c r="D1011" s="185"/>
      <c r="E1011" s="186"/>
      <c r="F1011" s="187"/>
    </row>
    <row r="1012" spans="1:6" x14ac:dyDescent="0.2">
      <c r="A1012" s="275"/>
      <c r="B1012" s="78"/>
      <c r="C1012" s="189"/>
      <c r="D1012" s="185"/>
      <c r="E1012" s="186"/>
      <c r="F1012" s="187"/>
    </row>
    <row r="1013" spans="1:6" x14ac:dyDescent="0.2">
      <c r="A1013" s="275"/>
      <c r="B1013" s="78"/>
      <c r="C1013" s="189"/>
      <c r="D1013" s="185"/>
      <c r="E1013" s="186"/>
      <c r="F1013" s="187"/>
    </row>
    <row r="1014" spans="1:6" x14ac:dyDescent="0.2">
      <c r="A1014" s="275"/>
      <c r="B1014" s="78"/>
      <c r="C1014" s="189"/>
      <c r="D1014" s="185"/>
      <c r="E1014" s="186"/>
      <c r="F1014" s="187"/>
    </row>
    <row r="1015" spans="1:6" x14ac:dyDescent="0.2">
      <c r="A1015" s="275"/>
      <c r="B1015" s="78"/>
      <c r="C1015" s="189"/>
      <c r="D1015" s="185"/>
      <c r="E1015" s="186"/>
      <c r="F1015" s="187"/>
    </row>
    <row r="1016" spans="1:6" x14ac:dyDescent="0.2">
      <c r="A1016" s="275"/>
      <c r="B1016" s="78"/>
      <c r="C1016" s="189"/>
      <c r="D1016" s="185"/>
      <c r="E1016" s="186"/>
      <c r="F1016" s="187"/>
    </row>
    <row r="1017" spans="1:6" x14ac:dyDescent="0.2">
      <c r="A1017" s="275"/>
      <c r="B1017" s="78"/>
      <c r="C1017" s="189"/>
      <c r="D1017" s="185"/>
      <c r="E1017" s="186"/>
      <c r="F1017" s="187"/>
    </row>
    <row r="1018" spans="1:6" x14ac:dyDescent="0.2">
      <c r="A1018" s="275"/>
      <c r="B1018" s="78"/>
      <c r="C1018" s="189"/>
      <c r="D1018" s="185"/>
      <c r="E1018" s="186"/>
      <c r="F1018" s="187"/>
    </row>
    <row r="1019" spans="1:6" x14ac:dyDescent="0.2">
      <c r="A1019" s="275"/>
      <c r="B1019" s="78"/>
      <c r="C1019" s="189"/>
      <c r="D1019" s="185"/>
      <c r="E1019" s="186"/>
      <c r="F1019" s="187"/>
    </row>
    <row r="1020" spans="1:6" x14ac:dyDescent="0.2">
      <c r="A1020" s="275"/>
      <c r="B1020" s="78"/>
      <c r="C1020" s="189"/>
      <c r="D1020" s="185"/>
      <c r="E1020" s="186"/>
      <c r="F1020" s="187"/>
    </row>
    <row r="1021" spans="1:6" x14ac:dyDescent="0.2">
      <c r="A1021" s="275"/>
      <c r="B1021" s="78"/>
      <c r="C1021" s="189"/>
      <c r="D1021" s="185"/>
      <c r="E1021" s="186"/>
      <c r="F1021" s="187"/>
    </row>
    <row r="1022" spans="1:6" x14ac:dyDescent="0.2">
      <c r="A1022" s="275"/>
      <c r="B1022" s="78"/>
      <c r="C1022" s="189"/>
      <c r="D1022" s="185"/>
      <c r="E1022" s="186"/>
      <c r="F1022" s="187"/>
    </row>
    <row r="1023" spans="1:6" x14ac:dyDescent="0.2">
      <c r="A1023" s="275"/>
      <c r="B1023" s="78"/>
      <c r="C1023" s="189"/>
      <c r="D1023" s="185"/>
      <c r="E1023" s="186"/>
      <c r="F1023" s="187"/>
    </row>
    <row r="1024" spans="1:6" x14ac:dyDescent="0.2">
      <c r="A1024" s="275"/>
      <c r="B1024" s="78"/>
      <c r="C1024" s="189"/>
      <c r="D1024" s="185"/>
      <c r="E1024" s="186"/>
      <c r="F1024" s="187"/>
    </row>
    <row r="1025" spans="1:6" x14ac:dyDescent="0.2">
      <c r="A1025" s="275"/>
      <c r="B1025" s="78"/>
      <c r="C1025" s="189"/>
      <c r="D1025" s="185"/>
      <c r="E1025" s="186"/>
      <c r="F1025" s="187"/>
    </row>
    <row r="1026" spans="1:6" x14ac:dyDescent="0.2">
      <c r="A1026" s="275"/>
      <c r="B1026" s="78"/>
      <c r="C1026" s="189"/>
      <c r="D1026" s="185"/>
      <c r="E1026" s="186"/>
      <c r="F1026" s="187"/>
    </row>
    <row r="1027" spans="1:6" x14ac:dyDescent="0.2">
      <c r="A1027" s="275"/>
      <c r="B1027" s="78"/>
      <c r="C1027" s="189"/>
      <c r="D1027" s="185"/>
      <c r="E1027" s="186"/>
      <c r="F1027" s="187"/>
    </row>
    <row r="1028" spans="1:6" x14ac:dyDescent="0.2">
      <c r="A1028" s="275"/>
      <c r="B1028" s="78"/>
      <c r="C1028" s="189"/>
      <c r="D1028" s="185"/>
      <c r="E1028" s="186"/>
      <c r="F1028" s="187"/>
    </row>
    <row r="1029" spans="1:6" x14ac:dyDescent="0.2">
      <c r="A1029" s="275"/>
      <c r="B1029" s="78"/>
      <c r="C1029" s="189"/>
      <c r="D1029" s="185"/>
      <c r="E1029" s="186"/>
      <c r="F1029" s="187"/>
    </row>
    <row r="1030" spans="1:6" x14ac:dyDescent="0.2">
      <c r="A1030" s="275"/>
      <c r="B1030" s="78"/>
      <c r="C1030" s="189"/>
      <c r="D1030" s="185"/>
      <c r="E1030" s="186"/>
      <c r="F1030" s="187"/>
    </row>
    <row r="1031" spans="1:6" x14ac:dyDescent="0.2">
      <c r="A1031" s="275"/>
      <c r="B1031" s="78"/>
      <c r="C1031" s="189"/>
      <c r="D1031" s="185"/>
      <c r="E1031" s="186"/>
      <c r="F1031" s="187"/>
    </row>
    <row r="1032" spans="1:6" x14ac:dyDescent="0.2">
      <c r="A1032" s="275"/>
      <c r="B1032" s="78"/>
      <c r="C1032" s="189"/>
      <c r="D1032" s="185"/>
      <c r="E1032" s="186"/>
      <c r="F1032" s="187"/>
    </row>
    <row r="1033" spans="1:6" x14ac:dyDescent="0.2">
      <c r="A1033" s="275"/>
      <c r="B1033" s="78"/>
      <c r="C1033" s="189"/>
      <c r="D1033" s="185"/>
      <c r="E1033" s="186"/>
      <c r="F1033" s="187"/>
    </row>
    <row r="1034" spans="1:6" x14ac:dyDescent="0.2">
      <c r="A1034" s="275"/>
      <c r="B1034" s="78"/>
      <c r="C1034" s="189"/>
      <c r="D1034" s="185"/>
      <c r="E1034" s="186"/>
      <c r="F1034" s="187"/>
    </row>
    <row r="1035" spans="1:6" x14ac:dyDescent="0.2">
      <c r="A1035" s="275"/>
      <c r="B1035" s="78"/>
      <c r="C1035" s="189"/>
      <c r="D1035" s="185"/>
      <c r="E1035" s="186"/>
      <c r="F1035" s="187"/>
    </row>
    <row r="1036" spans="1:6" x14ac:dyDescent="0.2">
      <c r="A1036" s="275"/>
      <c r="B1036" s="78"/>
      <c r="C1036" s="189"/>
      <c r="D1036" s="185"/>
      <c r="E1036" s="186"/>
      <c r="F1036" s="187"/>
    </row>
    <row r="1037" spans="1:6" x14ac:dyDescent="0.2">
      <c r="A1037" s="275"/>
      <c r="B1037" s="78"/>
      <c r="C1037" s="189"/>
      <c r="D1037" s="185"/>
      <c r="E1037" s="186"/>
      <c r="F1037" s="187"/>
    </row>
    <row r="1038" spans="1:6" x14ac:dyDescent="0.2">
      <c r="A1038" s="275"/>
      <c r="B1038" s="78"/>
      <c r="C1038" s="189"/>
      <c r="D1038" s="185"/>
      <c r="E1038" s="186"/>
      <c r="F1038" s="187"/>
    </row>
    <row r="1039" spans="1:6" x14ac:dyDescent="0.2">
      <c r="A1039" s="275"/>
      <c r="B1039" s="78"/>
      <c r="C1039" s="189"/>
      <c r="D1039" s="185"/>
      <c r="E1039" s="186"/>
      <c r="F1039" s="187"/>
    </row>
    <row r="1040" spans="1:6" x14ac:dyDescent="0.2">
      <c r="A1040" s="275"/>
      <c r="B1040" s="78"/>
      <c r="C1040" s="189"/>
      <c r="D1040" s="185"/>
      <c r="E1040" s="186"/>
      <c r="F1040" s="187"/>
    </row>
    <row r="1041" spans="1:6" x14ac:dyDescent="0.2">
      <c r="A1041" s="275"/>
      <c r="B1041" s="78"/>
      <c r="C1041" s="189"/>
      <c r="D1041" s="185"/>
      <c r="E1041" s="186"/>
      <c r="F1041" s="187"/>
    </row>
    <row r="1042" spans="1:6" x14ac:dyDescent="0.2">
      <c r="A1042" s="275"/>
      <c r="B1042" s="78"/>
      <c r="C1042" s="189"/>
      <c r="D1042" s="185"/>
      <c r="E1042" s="186"/>
      <c r="F1042" s="187"/>
    </row>
    <row r="1043" spans="1:6" x14ac:dyDescent="0.2">
      <c r="A1043" s="275"/>
      <c r="B1043" s="78"/>
      <c r="C1043" s="189"/>
      <c r="D1043" s="185"/>
      <c r="E1043" s="186"/>
      <c r="F1043" s="187"/>
    </row>
    <row r="1044" spans="1:6" x14ac:dyDescent="0.2">
      <c r="A1044" s="275"/>
      <c r="B1044" s="78"/>
      <c r="C1044" s="189"/>
      <c r="D1044" s="185"/>
      <c r="E1044" s="186"/>
      <c r="F1044" s="187"/>
    </row>
    <row r="1045" spans="1:6" x14ac:dyDescent="0.2">
      <c r="A1045" s="275"/>
      <c r="B1045" s="78"/>
      <c r="C1045" s="189"/>
      <c r="D1045" s="185"/>
      <c r="E1045" s="186"/>
      <c r="F1045" s="187"/>
    </row>
    <row r="1046" spans="1:6" x14ac:dyDescent="0.2">
      <c r="A1046" s="275"/>
      <c r="B1046" s="78"/>
      <c r="C1046" s="189"/>
      <c r="D1046" s="185"/>
      <c r="E1046" s="186"/>
      <c r="F1046" s="187"/>
    </row>
    <row r="1047" spans="1:6" x14ac:dyDescent="0.2">
      <c r="A1047" s="275"/>
      <c r="B1047" s="78"/>
      <c r="C1047" s="189"/>
      <c r="D1047" s="185"/>
      <c r="E1047" s="186"/>
      <c r="F1047" s="187"/>
    </row>
    <row r="1048" spans="1:6" x14ac:dyDescent="0.2">
      <c r="A1048" s="275"/>
      <c r="B1048" s="78"/>
      <c r="C1048" s="189"/>
      <c r="D1048" s="185"/>
      <c r="E1048" s="186"/>
      <c r="F1048" s="187"/>
    </row>
    <row r="1049" spans="1:6" x14ac:dyDescent="0.2">
      <c r="A1049" s="275"/>
      <c r="B1049" s="78"/>
      <c r="C1049" s="189"/>
      <c r="D1049" s="185"/>
      <c r="E1049" s="186"/>
      <c r="F1049" s="187"/>
    </row>
    <row r="1050" spans="1:6" x14ac:dyDescent="0.2">
      <c r="A1050" s="275"/>
      <c r="B1050" s="78"/>
      <c r="C1050" s="189"/>
      <c r="D1050" s="185"/>
      <c r="E1050" s="186"/>
      <c r="F1050" s="187"/>
    </row>
    <row r="1051" spans="1:6" x14ac:dyDescent="0.2">
      <c r="A1051" s="275"/>
      <c r="B1051" s="78"/>
      <c r="C1051" s="189"/>
      <c r="D1051" s="185"/>
      <c r="E1051" s="186"/>
      <c r="F1051" s="187"/>
    </row>
    <row r="1052" spans="1:6" x14ac:dyDescent="0.2">
      <c r="A1052" s="275"/>
      <c r="B1052" s="78"/>
      <c r="C1052" s="189"/>
      <c r="D1052" s="185"/>
      <c r="E1052" s="186"/>
      <c r="F1052" s="187"/>
    </row>
    <row r="1053" spans="1:6" x14ac:dyDescent="0.2">
      <c r="A1053" s="275"/>
      <c r="B1053" s="78"/>
      <c r="C1053" s="189"/>
      <c r="D1053" s="185"/>
      <c r="E1053" s="186"/>
      <c r="F1053" s="187"/>
    </row>
    <row r="1054" spans="1:6" x14ac:dyDescent="0.2">
      <c r="A1054" s="275"/>
      <c r="B1054" s="78"/>
      <c r="C1054" s="189"/>
      <c r="D1054" s="185"/>
      <c r="E1054" s="186"/>
      <c r="F1054" s="187"/>
    </row>
    <row r="1055" spans="1:6" x14ac:dyDescent="0.2">
      <c r="A1055" s="275"/>
      <c r="B1055" s="78"/>
      <c r="C1055" s="189"/>
      <c r="D1055" s="185"/>
      <c r="E1055" s="186"/>
      <c r="F1055" s="187"/>
    </row>
    <row r="1056" spans="1:6" x14ac:dyDescent="0.2">
      <c r="A1056" s="275"/>
      <c r="B1056" s="78"/>
      <c r="C1056" s="189"/>
      <c r="D1056" s="185"/>
      <c r="E1056" s="186"/>
      <c r="F1056" s="187"/>
    </row>
    <row r="1057" spans="1:6" x14ac:dyDescent="0.2">
      <c r="A1057" s="275"/>
      <c r="B1057" s="78"/>
      <c r="C1057" s="189"/>
      <c r="D1057" s="185"/>
      <c r="E1057" s="186"/>
      <c r="F1057" s="187"/>
    </row>
    <row r="1058" spans="1:6" x14ac:dyDescent="0.2">
      <c r="A1058" s="275"/>
      <c r="B1058" s="78"/>
      <c r="C1058" s="189"/>
      <c r="D1058" s="185"/>
      <c r="E1058" s="186"/>
      <c r="F1058" s="187"/>
    </row>
    <row r="1059" spans="1:6" x14ac:dyDescent="0.2">
      <c r="A1059" s="275"/>
      <c r="B1059" s="78"/>
      <c r="C1059" s="189"/>
      <c r="D1059" s="185"/>
      <c r="E1059" s="186"/>
      <c r="F1059" s="187"/>
    </row>
    <row r="1060" spans="1:6" x14ac:dyDescent="0.2">
      <c r="A1060" s="275"/>
      <c r="B1060" s="78"/>
      <c r="C1060" s="189"/>
      <c r="D1060" s="185"/>
      <c r="E1060" s="186"/>
      <c r="F1060" s="187"/>
    </row>
    <row r="1061" spans="1:6" x14ac:dyDescent="0.2">
      <c r="A1061" s="275"/>
      <c r="B1061" s="78"/>
      <c r="C1061" s="189"/>
      <c r="D1061" s="185"/>
      <c r="E1061" s="186"/>
      <c r="F1061" s="187"/>
    </row>
    <row r="1062" spans="1:6" x14ac:dyDescent="0.2">
      <c r="A1062" s="275"/>
      <c r="B1062" s="78"/>
      <c r="C1062" s="189"/>
      <c r="D1062" s="185"/>
      <c r="E1062" s="186"/>
      <c r="F1062" s="187"/>
    </row>
    <row r="1063" spans="1:6" x14ac:dyDescent="0.2">
      <c r="A1063" s="275"/>
      <c r="B1063" s="78"/>
      <c r="C1063" s="189"/>
      <c r="D1063" s="185"/>
      <c r="E1063" s="186"/>
      <c r="F1063" s="187"/>
    </row>
    <row r="1064" spans="1:6" x14ac:dyDescent="0.2">
      <c r="A1064" s="275"/>
      <c r="B1064" s="78"/>
      <c r="C1064" s="189"/>
      <c r="D1064" s="185"/>
      <c r="E1064" s="186"/>
      <c r="F1064" s="187"/>
    </row>
    <row r="1065" spans="1:6" x14ac:dyDescent="0.2">
      <c r="A1065" s="275"/>
      <c r="B1065" s="78"/>
      <c r="C1065" s="189"/>
      <c r="D1065" s="185"/>
      <c r="E1065" s="186"/>
      <c r="F1065" s="187"/>
    </row>
    <row r="1066" spans="1:6" x14ac:dyDescent="0.2">
      <c r="A1066" s="275"/>
      <c r="B1066" s="78"/>
      <c r="C1066" s="189"/>
      <c r="D1066" s="185"/>
      <c r="E1066" s="186"/>
      <c r="F1066" s="187"/>
    </row>
    <row r="1067" spans="1:6" x14ac:dyDescent="0.2">
      <c r="A1067" s="275"/>
      <c r="B1067" s="78"/>
      <c r="C1067" s="189"/>
      <c r="D1067" s="185"/>
      <c r="E1067" s="186"/>
      <c r="F1067" s="187"/>
    </row>
    <row r="1068" spans="1:6" x14ac:dyDescent="0.2">
      <c r="A1068" s="275"/>
      <c r="B1068" s="78"/>
      <c r="C1068" s="189"/>
      <c r="D1068" s="185"/>
      <c r="E1068" s="186"/>
      <c r="F1068" s="187"/>
    </row>
    <row r="1069" spans="1:6" x14ac:dyDescent="0.2">
      <c r="A1069" s="275"/>
      <c r="B1069" s="78"/>
      <c r="C1069" s="189"/>
      <c r="D1069" s="185"/>
      <c r="E1069" s="186"/>
      <c r="F1069" s="187"/>
    </row>
    <row r="1070" spans="1:6" x14ac:dyDescent="0.2">
      <c r="A1070" s="275"/>
      <c r="B1070" s="78"/>
      <c r="C1070" s="189"/>
      <c r="D1070" s="185"/>
      <c r="E1070" s="186"/>
      <c r="F1070" s="187"/>
    </row>
    <row r="1071" spans="1:6" x14ac:dyDescent="0.2">
      <c r="A1071" s="275"/>
      <c r="B1071" s="78"/>
      <c r="C1071" s="189"/>
      <c r="D1071" s="185"/>
      <c r="E1071" s="186"/>
      <c r="F1071" s="187"/>
    </row>
    <row r="1072" spans="1:6" x14ac:dyDescent="0.2">
      <c r="A1072" s="275"/>
      <c r="B1072" s="78"/>
      <c r="C1072" s="189"/>
      <c r="D1072" s="185"/>
      <c r="E1072" s="186"/>
      <c r="F1072" s="187"/>
    </row>
    <row r="1073" spans="1:6" x14ac:dyDescent="0.2">
      <c r="A1073" s="275"/>
      <c r="B1073" s="78"/>
      <c r="C1073" s="189"/>
      <c r="D1073" s="185"/>
      <c r="E1073" s="186"/>
      <c r="F1073" s="187"/>
    </row>
    <row r="1074" spans="1:6" x14ac:dyDescent="0.2">
      <c r="A1074" s="275"/>
      <c r="B1074" s="78"/>
      <c r="C1074" s="189"/>
      <c r="D1074" s="185"/>
      <c r="E1074" s="186"/>
      <c r="F1074" s="187"/>
    </row>
    <row r="1075" spans="1:6" x14ac:dyDescent="0.2">
      <c r="A1075" s="275"/>
      <c r="B1075" s="78"/>
      <c r="C1075" s="189"/>
      <c r="D1075" s="185"/>
      <c r="E1075" s="186"/>
      <c r="F1075" s="187"/>
    </row>
    <row r="1076" spans="1:6" x14ac:dyDescent="0.2">
      <c r="A1076" s="275"/>
      <c r="B1076" s="78"/>
      <c r="C1076" s="189"/>
      <c r="D1076" s="185"/>
      <c r="E1076" s="186"/>
      <c r="F1076" s="187"/>
    </row>
    <row r="1077" spans="1:6" x14ac:dyDescent="0.2">
      <c r="A1077" s="275"/>
      <c r="B1077" s="78"/>
      <c r="C1077" s="189"/>
      <c r="D1077" s="185"/>
      <c r="E1077" s="186"/>
      <c r="F1077" s="187"/>
    </row>
    <row r="1078" spans="1:6" x14ac:dyDescent="0.2">
      <c r="A1078" s="275"/>
      <c r="B1078" s="78"/>
      <c r="C1078" s="189"/>
      <c r="D1078" s="185"/>
      <c r="E1078" s="186"/>
      <c r="F1078" s="187"/>
    </row>
    <row r="1079" spans="1:6" x14ac:dyDescent="0.2">
      <c r="A1079" s="275"/>
      <c r="B1079" s="78"/>
      <c r="C1079" s="189"/>
      <c r="D1079" s="185"/>
      <c r="E1079" s="186"/>
      <c r="F1079" s="187"/>
    </row>
    <row r="1080" spans="1:6" x14ac:dyDescent="0.2">
      <c r="A1080" s="275"/>
      <c r="B1080" s="78"/>
      <c r="C1080" s="189"/>
      <c r="D1080" s="185"/>
      <c r="E1080" s="186"/>
      <c r="F1080" s="187"/>
    </row>
    <row r="1081" spans="1:6" x14ac:dyDescent="0.2">
      <c r="A1081" s="275"/>
      <c r="B1081" s="78"/>
      <c r="C1081" s="189"/>
      <c r="D1081" s="185"/>
      <c r="E1081" s="186"/>
      <c r="F1081" s="187"/>
    </row>
    <row r="1082" spans="1:6" x14ac:dyDescent="0.2">
      <c r="A1082" s="275"/>
      <c r="B1082" s="78"/>
      <c r="C1082" s="189"/>
      <c r="D1082" s="185"/>
      <c r="E1082" s="186"/>
      <c r="F1082" s="187"/>
    </row>
    <row r="1083" spans="1:6" x14ac:dyDescent="0.2">
      <c r="A1083" s="275"/>
      <c r="B1083" s="78"/>
      <c r="C1083" s="189"/>
      <c r="D1083" s="185"/>
      <c r="E1083" s="186"/>
      <c r="F1083" s="187"/>
    </row>
    <row r="1084" spans="1:6" x14ac:dyDescent="0.2">
      <c r="A1084" s="275"/>
      <c r="B1084" s="78"/>
      <c r="C1084" s="189"/>
      <c r="D1084" s="185"/>
      <c r="E1084" s="186"/>
      <c r="F1084" s="187"/>
    </row>
    <row r="1085" spans="1:6" x14ac:dyDescent="0.2">
      <c r="A1085" s="275"/>
      <c r="B1085" s="78"/>
      <c r="C1085" s="189"/>
      <c r="D1085" s="185"/>
      <c r="E1085" s="186"/>
      <c r="F1085" s="187"/>
    </row>
    <row r="1086" spans="1:6" x14ac:dyDescent="0.2">
      <c r="A1086" s="275"/>
      <c r="B1086" s="78"/>
      <c r="C1086" s="189"/>
      <c r="D1086" s="185"/>
      <c r="E1086" s="186"/>
      <c r="F1086" s="187"/>
    </row>
    <row r="1087" spans="1:6" x14ac:dyDescent="0.2">
      <c r="A1087" s="275"/>
      <c r="B1087" s="78"/>
      <c r="C1087" s="189"/>
      <c r="D1087" s="185"/>
      <c r="E1087" s="186"/>
      <c r="F1087" s="187"/>
    </row>
    <row r="1088" spans="1:6" x14ac:dyDescent="0.2">
      <c r="A1088" s="275"/>
      <c r="B1088" s="78"/>
      <c r="C1088" s="189"/>
      <c r="D1088" s="185"/>
      <c r="E1088" s="186"/>
      <c r="F1088" s="187"/>
    </row>
    <row r="1089" spans="1:6" x14ac:dyDescent="0.2">
      <c r="A1089" s="275"/>
      <c r="B1089" s="78"/>
      <c r="C1089" s="189"/>
      <c r="D1089" s="185"/>
      <c r="E1089" s="186"/>
      <c r="F1089" s="187"/>
    </row>
    <row r="1090" spans="1:6" x14ac:dyDescent="0.2">
      <c r="A1090" s="275"/>
      <c r="B1090" s="78"/>
      <c r="C1090" s="189"/>
      <c r="D1090" s="185"/>
      <c r="E1090" s="186"/>
      <c r="F1090" s="187"/>
    </row>
    <row r="1091" spans="1:6" x14ac:dyDescent="0.2">
      <c r="A1091" s="275"/>
      <c r="B1091" s="78"/>
      <c r="C1091" s="189"/>
      <c r="D1091" s="185"/>
      <c r="E1091" s="186"/>
      <c r="F1091" s="187"/>
    </row>
    <row r="1092" spans="1:6" x14ac:dyDescent="0.2">
      <c r="A1092" s="275"/>
      <c r="B1092" s="78"/>
      <c r="C1092" s="189"/>
      <c r="D1092" s="185"/>
      <c r="E1092" s="186"/>
      <c r="F1092" s="187"/>
    </row>
    <row r="1093" spans="1:6" x14ac:dyDescent="0.2">
      <c r="A1093" s="275"/>
      <c r="B1093" s="78"/>
      <c r="C1093" s="189"/>
      <c r="D1093" s="185"/>
      <c r="E1093" s="186"/>
      <c r="F1093" s="187"/>
    </row>
    <row r="1094" spans="1:6" x14ac:dyDescent="0.2">
      <c r="A1094" s="275"/>
      <c r="B1094" s="78"/>
      <c r="C1094" s="189"/>
      <c r="D1094" s="185"/>
      <c r="E1094" s="186"/>
      <c r="F1094" s="187"/>
    </row>
    <row r="1095" spans="1:6" x14ac:dyDescent="0.2">
      <c r="A1095" s="275"/>
      <c r="B1095" s="78"/>
      <c r="C1095" s="189"/>
      <c r="D1095" s="185"/>
      <c r="E1095" s="186"/>
      <c r="F1095" s="187"/>
    </row>
    <row r="1096" spans="1:6" x14ac:dyDescent="0.2">
      <c r="A1096" s="275"/>
      <c r="B1096" s="78"/>
      <c r="C1096" s="189"/>
      <c r="D1096" s="185"/>
      <c r="E1096" s="186"/>
      <c r="F1096" s="187"/>
    </row>
    <row r="1097" spans="1:6" x14ac:dyDescent="0.2">
      <c r="A1097" s="275"/>
      <c r="B1097" s="78"/>
      <c r="C1097" s="189"/>
      <c r="D1097" s="185"/>
      <c r="E1097" s="186"/>
      <c r="F1097" s="187"/>
    </row>
    <row r="1098" spans="1:6" x14ac:dyDescent="0.2">
      <c r="A1098" s="275"/>
      <c r="B1098" s="78"/>
      <c r="C1098" s="189"/>
      <c r="D1098" s="185"/>
      <c r="E1098" s="186"/>
      <c r="F1098" s="187"/>
    </row>
    <row r="1099" spans="1:6" x14ac:dyDescent="0.2">
      <c r="A1099" s="275"/>
      <c r="B1099" s="78"/>
      <c r="C1099" s="189"/>
      <c r="D1099" s="185"/>
      <c r="E1099" s="186"/>
      <c r="F1099" s="187"/>
    </row>
    <row r="1100" spans="1:6" x14ac:dyDescent="0.2">
      <c r="A1100" s="275"/>
      <c r="B1100" s="78"/>
      <c r="C1100" s="189"/>
      <c r="D1100" s="185"/>
      <c r="E1100" s="186"/>
      <c r="F1100" s="187"/>
    </row>
    <row r="1101" spans="1:6" x14ac:dyDescent="0.2">
      <c r="A1101" s="275"/>
      <c r="B1101" s="78"/>
      <c r="C1101" s="189"/>
      <c r="D1101" s="185"/>
      <c r="E1101" s="186"/>
      <c r="F1101" s="187"/>
    </row>
    <row r="1102" spans="1:6" x14ac:dyDescent="0.2">
      <c r="A1102" s="275"/>
      <c r="B1102" s="78"/>
      <c r="C1102" s="189"/>
      <c r="D1102" s="185"/>
      <c r="E1102" s="186"/>
      <c r="F1102" s="187"/>
    </row>
    <row r="1103" spans="1:6" x14ac:dyDescent="0.2">
      <c r="A1103" s="275"/>
      <c r="B1103" s="78"/>
      <c r="C1103" s="189"/>
      <c r="D1103" s="185"/>
      <c r="E1103" s="186"/>
      <c r="F1103" s="187"/>
    </row>
    <row r="1104" spans="1:6" x14ac:dyDescent="0.2">
      <c r="A1104" s="275"/>
      <c r="B1104" s="78"/>
      <c r="C1104" s="189"/>
      <c r="D1104" s="185"/>
      <c r="E1104" s="186"/>
      <c r="F1104" s="187"/>
    </row>
    <row r="1105" spans="1:6" x14ac:dyDescent="0.2">
      <c r="A1105" s="275"/>
      <c r="B1105" s="78"/>
      <c r="C1105" s="189"/>
      <c r="D1105" s="185"/>
      <c r="E1105" s="186"/>
      <c r="F1105" s="187"/>
    </row>
    <row r="1106" spans="1:6" x14ac:dyDescent="0.2">
      <c r="A1106" s="275"/>
      <c r="B1106" s="78"/>
      <c r="C1106" s="189"/>
      <c r="D1106" s="185"/>
      <c r="E1106" s="186"/>
      <c r="F1106" s="187"/>
    </row>
    <row r="1107" spans="1:6" x14ac:dyDescent="0.2">
      <c r="A1107" s="275"/>
      <c r="B1107" s="78"/>
      <c r="C1107" s="189"/>
      <c r="D1107" s="185"/>
      <c r="E1107" s="186"/>
      <c r="F1107" s="187"/>
    </row>
    <row r="1108" spans="1:6" x14ac:dyDescent="0.2">
      <c r="A1108" s="275"/>
      <c r="B1108" s="78"/>
      <c r="C1108" s="189"/>
      <c r="D1108" s="185"/>
      <c r="E1108" s="186"/>
      <c r="F1108" s="187"/>
    </row>
    <row r="1109" spans="1:6" x14ac:dyDescent="0.2">
      <c r="A1109" s="275"/>
      <c r="B1109" s="78"/>
      <c r="C1109" s="189"/>
      <c r="D1109" s="185"/>
      <c r="E1109" s="186"/>
      <c r="F1109" s="187"/>
    </row>
    <row r="1110" spans="1:6" x14ac:dyDescent="0.2">
      <c r="A1110" s="275"/>
      <c r="B1110" s="78"/>
      <c r="C1110" s="189"/>
      <c r="D1110" s="185"/>
      <c r="E1110" s="186"/>
      <c r="F1110" s="187"/>
    </row>
    <row r="1111" spans="1:6" x14ac:dyDescent="0.2">
      <c r="A1111" s="275"/>
      <c r="B1111" s="78"/>
      <c r="C1111" s="189"/>
      <c r="D1111" s="185"/>
      <c r="E1111" s="186"/>
      <c r="F1111" s="187"/>
    </row>
    <row r="1112" spans="1:6" x14ac:dyDescent="0.2">
      <c r="A1112" s="275"/>
      <c r="B1112" s="78"/>
      <c r="C1112" s="189"/>
      <c r="D1112" s="185"/>
      <c r="E1112" s="186"/>
      <c r="F1112" s="187"/>
    </row>
    <row r="1113" spans="1:6" x14ac:dyDescent="0.2">
      <c r="A1113" s="275"/>
      <c r="B1113" s="78"/>
      <c r="C1113" s="189"/>
      <c r="D1113" s="185"/>
      <c r="E1113" s="186"/>
      <c r="F1113" s="187"/>
    </row>
    <row r="1114" spans="1:6" x14ac:dyDescent="0.2">
      <c r="A1114" s="275"/>
      <c r="B1114" s="78"/>
      <c r="C1114" s="189"/>
      <c r="D1114" s="185"/>
      <c r="E1114" s="186"/>
      <c r="F1114" s="187"/>
    </row>
    <row r="1115" spans="1:6" x14ac:dyDescent="0.2">
      <c r="A1115" s="275"/>
      <c r="B1115" s="78"/>
      <c r="C1115" s="189"/>
      <c r="D1115" s="185"/>
      <c r="E1115" s="186"/>
      <c r="F1115" s="187"/>
    </row>
    <row r="1116" spans="1:6" x14ac:dyDescent="0.2">
      <c r="A1116" s="275"/>
      <c r="B1116" s="78"/>
      <c r="C1116" s="189"/>
      <c r="D1116" s="185"/>
      <c r="E1116" s="186"/>
      <c r="F1116" s="187"/>
    </row>
    <row r="1117" spans="1:6" x14ac:dyDescent="0.2">
      <c r="A1117" s="275"/>
      <c r="B1117" s="78"/>
      <c r="C1117" s="189"/>
      <c r="D1117" s="185"/>
      <c r="E1117" s="186"/>
      <c r="F1117" s="187"/>
    </row>
    <row r="1118" spans="1:6" x14ac:dyDescent="0.2">
      <c r="A1118" s="275"/>
      <c r="B1118" s="78"/>
      <c r="C1118" s="189"/>
      <c r="D1118" s="185"/>
      <c r="E1118" s="186"/>
      <c r="F1118" s="187"/>
    </row>
    <row r="1119" spans="1:6" x14ac:dyDescent="0.2">
      <c r="A1119" s="275"/>
      <c r="B1119" s="78"/>
      <c r="C1119" s="189"/>
      <c r="D1119" s="185"/>
      <c r="E1119" s="186"/>
      <c r="F1119" s="187"/>
    </row>
    <row r="1120" spans="1:6" x14ac:dyDescent="0.2">
      <c r="A1120" s="275"/>
      <c r="B1120" s="78"/>
      <c r="C1120" s="189"/>
      <c r="D1120" s="185"/>
      <c r="E1120" s="186"/>
      <c r="F1120" s="187"/>
    </row>
    <row r="1121" spans="1:6" x14ac:dyDescent="0.2">
      <c r="A1121" s="275"/>
      <c r="B1121" s="78"/>
      <c r="C1121" s="189"/>
      <c r="D1121" s="185"/>
      <c r="E1121" s="186"/>
      <c r="F1121" s="187"/>
    </row>
    <row r="1122" spans="1:6" x14ac:dyDescent="0.2">
      <c r="A1122" s="275"/>
      <c r="B1122" s="78"/>
      <c r="C1122" s="189"/>
      <c r="D1122" s="185"/>
      <c r="E1122" s="186"/>
      <c r="F1122" s="187"/>
    </row>
    <row r="1123" spans="1:6" x14ac:dyDescent="0.2">
      <c r="A1123" s="275"/>
      <c r="B1123" s="78"/>
      <c r="C1123" s="189"/>
      <c r="D1123" s="185"/>
      <c r="E1123" s="186"/>
      <c r="F1123" s="187"/>
    </row>
    <row r="1124" spans="1:6" x14ac:dyDescent="0.2">
      <c r="A1124" s="275"/>
      <c r="B1124" s="78"/>
      <c r="C1124" s="189"/>
      <c r="D1124" s="185"/>
      <c r="E1124" s="186"/>
      <c r="F1124" s="187"/>
    </row>
    <row r="1125" spans="1:6" x14ac:dyDescent="0.2">
      <c r="A1125" s="275"/>
      <c r="B1125" s="78"/>
      <c r="C1125" s="189"/>
      <c r="D1125" s="185"/>
      <c r="E1125" s="186"/>
      <c r="F1125" s="187"/>
    </row>
    <row r="1126" spans="1:6" x14ac:dyDescent="0.2">
      <c r="A1126" s="275"/>
      <c r="B1126" s="78"/>
      <c r="C1126" s="189"/>
      <c r="D1126" s="185"/>
      <c r="E1126" s="186"/>
      <c r="F1126" s="187"/>
    </row>
    <row r="1127" spans="1:6" x14ac:dyDescent="0.2">
      <c r="A1127" s="275"/>
      <c r="B1127" s="78"/>
      <c r="C1127" s="189"/>
      <c r="D1127" s="185"/>
      <c r="E1127" s="186"/>
      <c r="F1127" s="187"/>
    </row>
    <row r="1128" spans="1:6" x14ac:dyDescent="0.2">
      <c r="A1128" s="275"/>
      <c r="B1128" s="78"/>
      <c r="C1128" s="189"/>
      <c r="D1128" s="185"/>
      <c r="E1128" s="186"/>
      <c r="F1128" s="187"/>
    </row>
    <row r="1129" spans="1:6" x14ac:dyDescent="0.2">
      <c r="A1129" s="275"/>
      <c r="B1129" s="78"/>
      <c r="C1129" s="189"/>
      <c r="D1129" s="185"/>
      <c r="E1129" s="186"/>
      <c r="F1129" s="187"/>
    </row>
    <row r="1130" spans="1:6" x14ac:dyDescent="0.2">
      <c r="A1130" s="275"/>
      <c r="B1130" s="78"/>
      <c r="C1130" s="189"/>
      <c r="D1130" s="185"/>
      <c r="E1130" s="186"/>
      <c r="F1130" s="187"/>
    </row>
    <row r="1131" spans="1:6" x14ac:dyDescent="0.2">
      <c r="A1131" s="275"/>
      <c r="B1131" s="78"/>
      <c r="C1131" s="189"/>
      <c r="D1131" s="185"/>
      <c r="E1131" s="186"/>
      <c r="F1131" s="187"/>
    </row>
    <row r="1132" spans="1:6" x14ac:dyDescent="0.2">
      <c r="A1132" s="275"/>
      <c r="B1132" s="78"/>
      <c r="C1132" s="189"/>
      <c r="D1132" s="185"/>
      <c r="E1132" s="186"/>
      <c r="F1132" s="187"/>
    </row>
    <row r="1133" spans="1:6" x14ac:dyDescent="0.2">
      <c r="A1133" s="275"/>
      <c r="B1133" s="78"/>
      <c r="C1133" s="189"/>
      <c r="D1133" s="185"/>
      <c r="E1133" s="186"/>
      <c r="F1133" s="187"/>
    </row>
    <row r="1134" spans="1:6" x14ac:dyDescent="0.2">
      <c r="A1134" s="275"/>
      <c r="B1134" s="78"/>
      <c r="C1134" s="189"/>
      <c r="D1134" s="185"/>
      <c r="E1134" s="186"/>
      <c r="F1134" s="187"/>
    </row>
    <row r="1135" spans="1:6" x14ac:dyDescent="0.2">
      <c r="A1135" s="275"/>
      <c r="B1135" s="78"/>
      <c r="C1135" s="189"/>
      <c r="D1135" s="185"/>
      <c r="E1135" s="186"/>
      <c r="F1135" s="187"/>
    </row>
    <row r="1136" spans="1:6" x14ac:dyDescent="0.2">
      <c r="A1136" s="275"/>
      <c r="B1136" s="78"/>
      <c r="C1136" s="189"/>
      <c r="D1136" s="185"/>
      <c r="E1136" s="186"/>
      <c r="F1136" s="187"/>
    </row>
    <row r="1137" spans="1:6" x14ac:dyDescent="0.2">
      <c r="A1137" s="275"/>
      <c r="B1137" s="78"/>
      <c r="C1137" s="189"/>
      <c r="D1137" s="185"/>
      <c r="E1137" s="186"/>
      <c r="F1137" s="187"/>
    </row>
    <row r="1138" spans="1:6" x14ac:dyDescent="0.2">
      <c r="A1138" s="275"/>
      <c r="B1138" s="78"/>
      <c r="C1138" s="189"/>
      <c r="D1138" s="185"/>
      <c r="E1138" s="186"/>
      <c r="F1138" s="187"/>
    </row>
    <row r="1139" spans="1:6" x14ac:dyDescent="0.2">
      <c r="A1139" s="275"/>
      <c r="B1139" s="78"/>
      <c r="C1139" s="189"/>
      <c r="D1139" s="185"/>
      <c r="E1139" s="186"/>
      <c r="F1139" s="187"/>
    </row>
    <row r="1140" spans="1:6" x14ac:dyDescent="0.2">
      <c r="A1140" s="275"/>
      <c r="B1140" s="78"/>
      <c r="C1140" s="189"/>
      <c r="D1140" s="185"/>
      <c r="E1140" s="186"/>
      <c r="F1140" s="187"/>
    </row>
    <row r="1141" spans="1:6" x14ac:dyDescent="0.2">
      <c r="A1141" s="275"/>
      <c r="B1141" s="78"/>
      <c r="C1141" s="189"/>
      <c r="D1141" s="185"/>
      <c r="E1141" s="186"/>
      <c r="F1141" s="187"/>
    </row>
    <row r="1142" spans="1:6" x14ac:dyDescent="0.2">
      <c r="A1142" s="275"/>
      <c r="B1142" s="78"/>
      <c r="C1142" s="189"/>
      <c r="D1142" s="185"/>
      <c r="E1142" s="186"/>
      <c r="F1142" s="187"/>
    </row>
    <row r="1143" spans="1:6" x14ac:dyDescent="0.2">
      <c r="A1143" s="275"/>
      <c r="B1143" s="78"/>
      <c r="C1143" s="189"/>
      <c r="D1143" s="185"/>
      <c r="E1143" s="186"/>
      <c r="F1143" s="187"/>
    </row>
    <row r="1144" spans="1:6" x14ac:dyDescent="0.2">
      <c r="A1144" s="275"/>
      <c r="B1144" s="78"/>
      <c r="C1144" s="189"/>
      <c r="D1144" s="185"/>
      <c r="E1144" s="186"/>
      <c r="F1144" s="187"/>
    </row>
    <row r="1145" spans="1:6" x14ac:dyDescent="0.2">
      <c r="A1145" s="275"/>
      <c r="B1145" s="78"/>
      <c r="C1145" s="189"/>
      <c r="D1145" s="185"/>
      <c r="E1145" s="186"/>
      <c r="F1145" s="187"/>
    </row>
    <row r="1146" spans="1:6" x14ac:dyDescent="0.2">
      <c r="A1146" s="275"/>
      <c r="B1146" s="78"/>
      <c r="C1146" s="189"/>
      <c r="D1146" s="185"/>
      <c r="E1146" s="186"/>
      <c r="F1146" s="187"/>
    </row>
    <row r="1147" spans="1:6" x14ac:dyDescent="0.2">
      <c r="A1147" s="275"/>
      <c r="B1147" s="78"/>
      <c r="C1147" s="189"/>
      <c r="D1147" s="185"/>
      <c r="E1147" s="186"/>
      <c r="F1147" s="187"/>
    </row>
    <row r="1148" spans="1:6" x14ac:dyDescent="0.2">
      <c r="A1148" s="275"/>
      <c r="B1148" s="78"/>
      <c r="C1148" s="189"/>
      <c r="D1148" s="185"/>
      <c r="E1148" s="186"/>
      <c r="F1148" s="187"/>
    </row>
    <row r="1149" spans="1:6" x14ac:dyDescent="0.2">
      <c r="A1149" s="275"/>
      <c r="B1149" s="78"/>
      <c r="C1149" s="189"/>
      <c r="D1149" s="185"/>
      <c r="E1149" s="186"/>
      <c r="F1149" s="187"/>
    </row>
    <row r="1150" spans="1:6" x14ac:dyDescent="0.2">
      <c r="A1150" s="275"/>
      <c r="B1150" s="78"/>
      <c r="C1150" s="189"/>
      <c r="D1150" s="185"/>
      <c r="E1150" s="186"/>
      <c r="F1150" s="187"/>
    </row>
    <row r="1151" spans="1:6" x14ac:dyDescent="0.2">
      <c r="A1151" s="275"/>
      <c r="B1151" s="78"/>
      <c r="C1151" s="189"/>
      <c r="D1151" s="185"/>
      <c r="E1151" s="186"/>
      <c r="F1151" s="187"/>
    </row>
    <row r="1152" spans="1:6" x14ac:dyDescent="0.2">
      <c r="A1152" s="275"/>
      <c r="B1152" s="78"/>
      <c r="C1152" s="189"/>
      <c r="D1152" s="185"/>
      <c r="E1152" s="186"/>
      <c r="F1152" s="187"/>
    </row>
    <row r="1153" spans="1:6" x14ac:dyDescent="0.2">
      <c r="A1153" s="275"/>
      <c r="B1153" s="78"/>
      <c r="C1153" s="189"/>
      <c r="D1153" s="185"/>
      <c r="E1153" s="186"/>
      <c r="F1153" s="187"/>
    </row>
    <row r="1154" spans="1:6" x14ac:dyDescent="0.2">
      <c r="A1154" s="275"/>
      <c r="B1154" s="78"/>
      <c r="C1154" s="189"/>
      <c r="D1154" s="185"/>
      <c r="E1154" s="186"/>
      <c r="F1154" s="187"/>
    </row>
    <row r="1155" spans="1:6" x14ac:dyDescent="0.2">
      <c r="A1155" s="275"/>
      <c r="B1155" s="78"/>
      <c r="C1155" s="189"/>
      <c r="D1155" s="185"/>
      <c r="E1155" s="186"/>
      <c r="F1155" s="187"/>
    </row>
    <row r="1156" spans="1:6" x14ac:dyDescent="0.2">
      <c r="A1156" s="275"/>
      <c r="B1156" s="78"/>
      <c r="C1156" s="189"/>
      <c r="D1156" s="185"/>
      <c r="E1156" s="186"/>
      <c r="F1156" s="187"/>
    </row>
    <row r="1157" spans="1:6" x14ac:dyDescent="0.2">
      <c r="A1157" s="275"/>
      <c r="B1157" s="78"/>
      <c r="C1157" s="189"/>
      <c r="D1157" s="185"/>
      <c r="E1157" s="186"/>
      <c r="F1157" s="187"/>
    </row>
    <row r="1158" spans="1:6" x14ac:dyDescent="0.2">
      <c r="A1158" s="275"/>
      <c r="B1158" s="78"/>
      <c r="C1158" s="189"/>
      <c r="D1158" s="185"/>
      <c r="E1158" s="186"/>
      <c r="F1158" s="187"/>
    </row>
    <row r="1159" spans="1:6" x14ac:dyDescent="0.2">
      <c r="A1159" s="275"/>
      <c r="B1159" s="78"/>
      <c r="C1159" s="189"/>
      <c r="D1159" s="185"/>
      <c r="E1159" s="186"/>
      <c r="F1159" s="187"/>
    </row>
    <row r="1160" spans="1:6" x14ac:dyDescent="0.2">
      <c r="A1160" s="275"/>
      <c r="B1160" s="78"/>
      <c r="C1160" s="189"/>
      <c r="D1160" s="185"/>
      <c r="E1160" s="186"/>
      <c r="F1160" s="187"/>
    </row>
    <row r="1161" spans="1:6" x14ac:dyDescent="0.2">
      <c r="A1161" s="275"/>
      <c r="B1161" s="78"/>
      <c r="C1161" s="189"/>
      <c r="D1161" s="185"/>
      <c r="E1161" s="186"/>
      <c r="F1161" s="187"/>
    </row>
    <row r="1162" spans="1:6" x14ac:dyDescent="0.2">
      <c r="A1162" s="275"/>
      <c r="B1162" s="78"/>
      <c r="C1162" s="189"/>
      <c r="D1162" s="185"/>
      <c r="E1162" s="186"/>
      <c r="F1162" s="187"/>
    </row>
    <row r="1163" spans="1:6" x14ac:dyDescent="0.2">
      <c r="A1163" s="275"/>
      <c r="B1163" s="78"/>
      <c r="C1163" s="189"/>
      <c r="D1163" s="185"/>
      <c r="E1163" s="186"/>
      <c r="F1163" s="187"/>
    </row>
    <row r="1164" spans="1:6" x14ac:dyDescent="0.2">
      <c r="A1164" s="275"/>
      <c r="B1164" s="78"/>
      <c r="C1164" s="189"/>
      <c r="D1164" s="185"/>
      <c r="E1164" s="186"/>
      <c r="F1164" s="187"/>
    </row>
    <row r="1165" spans="1:6" x14ac:dyDescent="0.2">
      <c r="A1165" s="275"/>
      <c r="B1165" s="78"/>
      <c r="C1165" s="189"/>
      <c r="D1165" s="185"/>
      <c r="E1165" s="186"/>
      <c r="F1165" s="187"/>
    </row>
    <row r="1166" spans="1:6" x14ac:dyDescent="0.2">
      <c r="A1166" s="275"/>
      <c r="B1166" s="78"/>
      <c r="C1166" s="189"/>
      <c r="D1166" s="185"/>
      <c r="E1166" s="186"/>
      <c r="F1166" s="187"/>
    </row>
    <row r="1167" spans="1:6" x14ac:dyDescent="0.2">
      <c r="A1167" s="275"/>
      <c r="B1167" s="78"/>
      <c r="C1167" s="189"/>
      <c r="D1167" s="185"/>
      <c r="E1167" s="186"/>
      <c r="F1167" s="187"/>
    </row>
    <row r="1168" spans="1:6" x14ac:dyDescent="0.2">
      <c r="A1168" s="275"/>
      <c r="B1168" s="78"/>
      <c r="C1168" s="189"/>
      <c r="D1168" s="185"/>
      <c r="E1168" s="186"/>
      <c r="F1168" s="187"/>
    </row>
    <row r="1169" spans="1:6" x14ac:dyDescent="0.2">
      <c r="A1169" s="275"/>
      <c r="B1169" s="78"/>
      <c r="C1169" s="189"/>
      <c r="D1169" s="185"/>
      <c r="E1169" s="186"/>
      <c r="F1169" s="187"/>
    </row>
    <row r="1170" spans="1:6" x14ac:dyDescent="0.2">
      <c r="A1170" s="275"/>
      <c r="B1170" s="78"/>
      <c r="C1170" s="189"/>
      <c r="D1170" s="185"/>
      <c r="E1170" s="186"/>
      <c r="F1170" s="187"/>
    </row>
    <row r="1171" spans="1:6" x14ac:dyDescent="0.2">
      <c r="A1171" s="275"/>
      <c r="B1171" s="78"/>
      <c r="C1171" s="189"/>
      <c r="D1171" s="185"/>
      <c r="E1171" s="186"/>
      <c r="F1171" s="187"/>
    </row>
    <row r="1172" spans="1:6" x14ac:dyDescent="0.2">
      <c r="A1172" s="275"/>
      <c r="B1172" s="78"/>
      <c r="C1172" s="189"/>
      <c r="D1172" s="185"/>
      <c r="E1172" s="186"/>
      <c r="F1172" s="187"/>
    </row>
    <row r="1173" spans="1:6" x14ac:dyDescent="0.2">
      <c r="A1173" s="275"/>
      <c r="B1173" s="78"/>
      <c r="C1173" s="189"/>
      <c r="D1173" s="185"/>
      <c r="E1173" s="186"/>
      <c r="F1173" s="187"/>
    </row>
    <row r="1174" spans="1:6" x14ac:dyDescent="0.2">
      <c r="A1174" s="275"/>
      <c r="B1174" s="78"/>
      <c r="C1174" s="189"/>
      <c r="D1174" s="185"/>
      <c r="E1174" s="186"/>
      <c r="F1174" s="187"/>
    </row>
    <row r="1175" spans="1:6" x14ac:dyDescent="0.2">
      <c r="A1175" s="275"/>
      <c r="B1175" s="78"/>
      <c r="C1175" s="189"/>
      <c r="D1175" s="185"/>
      <c r="E1175" s="186"/>
      <c r="F1175" s="187"/>
    </row>
    <row r="1176" spans="1:6" x14ac:dyDescent="0.2">
      <c r="A1176" s="275"/>
      <c r="B1176" s="78"/>
      <c r="C1176" s="189"/>
      <c r="D1176" s="185"/>
      <c r="E1176" s="186"/>
      <c r="F1176" s="187"/>
    </row>
    <row r="1177" spans="1:6" x14ac:dyDescent="0.2">
      <c r="A1177" s="275"/>
      <c r="B1177" s="78"/>
      <c r="C1177" s="189"/>
      <c r="D1177" s="185"/>
      <c r="E1177" s="186"/>
      <c r="F1177" s="187"/>
    </row>
    <row r="1178" spans="1:6" x14ac:dyDescent="0.2">
      <c r="A1178" s="275"/>
      <c r="B1178" s="78"/>
      <c r="C1178" s="189"/>
      <c r="D1178" s="185"/>
      <c r="E1178" s="186"/>
      <c r="F1178" s="187"/>
    </row>
    <row r="1179" spans="1:6" x14ac:dyDescent="0.2">
      <c r="A1179" s="275"/>
      <c r="B1179" s="78"/>
      <c r="C1179" s="189"/>
      <c r="D1179" s="185"/>
      <c r="E1179" s="186"/>
      <c r="F1179" s="187"/>
    </row>
    <row r="1180" spans="1:6" x14ac:dyDescent="0.2">
      <c r="A1180" s="275"/>
      <c r="B1180" s="78"/>
      <c r="C1180" s="189"/>
      <c r="D1180" s="185"/>
      <c r="E1180" s="186"/>
      <c r="F1180" s="187"/>
    </row>
    <row r="1181" spans="1:6" x14ac:dyDescent="0.2">
      <c r="A1181" s="275"/>
      <c r="B1181" s="78"/>
      <c r="C1181" s="189"/>
      <c r="D1181" s="185"/>
      <c r="E1181" s="186"/>
      <c r="F1181" s="187"/>
    </row>
    <row r="1182" spans="1:6" x14ac:dyDescent="0.2">
      <c r="A1182" s="275"/>
      <c r="B1182" s="78"/>
      <c r="C1182" s="189"/>
      <c r="D1182" s="185"/>
      <c r="E1182" s="186"/>
      <c r="F1182" s="187"/>
    </row>
    <row r="1183" spans="1:6" x14ac:dyDescent="0.2">
      <c r="A1183" s="275"/>
      <c r="B1183" s="78"/>
      <c r="C1183" s="189"/>
      <c r="D1183" s="185"/>
      <c r="E1183" s="186"/>
      <c r="F1183" s="187"/>
    </row>
    <row r="1184" spans="1:6" x14ac:dyDescent="0.2">
      <c r="A1184" s="275"/>
      <c r="B1184" s="78"/>
      <c r="C1184" s="189"/>
      <c r="D1184" s="185"/>
      <c r="E1184" s="186"/>
      <c r="F1184" s="187"/>
    </row>
    <row r="1185" spans="1:6" x14ac:dyDescent="0.2">
      <c r="A1185" s="275"/>
      <c r="B1185" s="78"/>
      <c r="C1185" s="189"/>
      <c r="D1185" s="185"/>
      <c r="E1185" s="186"/>
      <c r="F1185" s="187"/>
    </row>
    <row r="1186" spans="1:6" x14ac:dyDescent="0.2">
      <c r="A1186" s="275"/>
      <c r="B1186" s="78"/>
      <c r="C1186" s="189"/>
      <c r="D1186" s="185"/>
      <c r="E1186" s="186"/>
      <c r="F1186" s="187"/>
    </row>
    <row r="1187" spans="1:6" x14ac:dyDescent="0.2">
      <c r="A1187" s="275"/>
      <c r="B1187" s="78"/>
      <c r="C1187" s="189"/>
      <c r="D1187" s="185"/>
      <c r="E1187" s="186"/>
      <c r="F1187" s="187"/>
    </row>
    <row r="1188" spans="1:6" x14ac:dyDescent="0.2">
      <c r="A1188" s="275"/>
      <c r="B1188" s="78"/>
      <c r="C1188" s="189"/>
      <c r="D1188" s="185"/>
      <c r="E1188" s="186"/>
      <c r="F1188" s="187"/>
    </row>
    <row r="1189" spans="1:6" x14ac:dyDescent="0.2">
      <c r="A1189" s="275"/>
      <c r="B1189" s="78"/>
      <c r="C1189" s="189"/>
      <c r="D1189" s="185"/>
      <c r="E1189" s="186"/>
      <c r="F1189" s="187"/>
    </row>
    <row r="1190" spans="1:6" x14ac:dyDescent="0.2">
      <c r="A1190" s="275"/>
      <c r="B1190" s="78"/>
      <c r="C1190" s="189"/>
      <c r="D1190" s="185"/>
      <c r="E1190" s="186"/>
      <c r="F1190" s="187"/>
    </row>
    <row r="1191" spans="1:6" x14ac:dyDescent="0.2">
      <c r="A1191" s="275"/>
      <c r="B1191" s="78"/>
      <c r="C1191" s="189"/>
      <c r="D1191" s="185"/>
      <c r="E1191" s="186"/>
      <c r="F1191" s="187"/>
    </row>
    <row r="1192" spans="1:6" x14ac:dyDescent="0.2">
      <c r="A1192" s="275"/>
      <c r="B1192" s="78"/>
      <c r="C1192" s="189"/>
      <c r="D1192" s="185"/>
      <c r="E1192" s="186"/>
      <c r="F1192" s="187"/>
    </row>
    <row r="1193" spans="1:6" x14ac:dyDescent="0.2">
      <c r="A1193" s="275"/>
      <c r="B1193" s="78"/>
      <c r="C1193" s="189"/>
      <c r="D1193" s="185"/>
      <c r="E1193" s="186"/>
      <c r="F1193" s="187"/>
    </row>
    <row r="1194" spans="1:6" x14ac:dyDescent="0.2">
      <c r="A1194" s="275"/>
      <c r="B1194" s="78"/>
      <c r="C1194" s="189"/>
      <c r="D1194" s="185"/>
      <c r="E1194" s="186"/>
      <c r="F1194" s="187"/>
    </row>
    <row r="1195" spans="1:6" x14ac:dyDescent="0.2">
      <c r="A1195" s="275"/>
      <c r="B1195" s="78"/>
      <c r="C1195" s="189"/>
      <c r="D1195" s="185"/>
      <c r="E1195" s="186"/>
      <c r="F1195" s="187"/>
    </row>
    <row r="1196" spans="1:6" x14ac:dyDescent="0.2">
      <c r="A1196" s="275"/>
      <c r="B1196" s="78"/>
      <c r="C1196" s="189"/>
      <c r="D1196" s="185"/>
      <c r="E1196" s="186"/>
      <c r="F1196" s="187"/>
    </row>
    <row r="1197" spans="1:6" x14ac:dyDescent="0.2">
      <c r="A1197" s="275"/>
      <c r="B1197" s="78"/>
      <c r="C1197" s="189"/>
      <c r="D1197" s="185"/>
      <c r="E1197" s="186"/>
      <c r="F1197" s="187"/>
    </row>
    <row r="1198" spans="1:6" x14ac:dyDescent="0.2">
      <c r="A1198" s="275"/>
      <c r="B1198" s="78"/>
      <c r="C1198" s="189"/>
      <c r="D1198" s="185"/>
      <c r="E1198" s="186"/>
      <c r="F1198" s="187"/>
    </row>
    <row r="1199" spans="1:6" x14ac:dyDescent="0.2">
      <c r="A1199" s="275"/>
      <c r="B1199" s="78"/>
      <c r="C1199" s="189"/>
      <c r="D1199" s="185"/>
      <c r="E1199" s="186"/>
      <c r="F1199" s="187"/>
    </row>
    <row r="1200" spans="1:6" x14ac:dyDescent="0.2">
      <c r="A1200" s="275"/>
      <c r="B1200" s="78"/>
      <c r="C1200" s="189"/>
      <c r="D1200" s="185"/>
      <c r="E1200" s="186"/>
      <c r="F1200" s="187"/>
    </row>
    <row r="1201" spans="1:6" x14ac:dyDescent="0.2">
      <c r="A1201" s="275"/>
      <c r="B1201" s="78"/>
      <c r="C1201" s="189"/>
      <c r="D1201" s="185"/>
      <c r="E1201" s="186"/>
      <c r="F1201" s="187"/>
    </row>
    <row r="1202" spans="1:6" x14ac:dyDescent="0.2">
      <c r="A1202" s="275"/>
      <c r="B1202" s="78"/>
      <c r="C1202" s="189"/>
      <c r="D1202" s="185"/>
      <c r="E1202" s="186"/>
      <c r="F1202" s="187"/>
    </row>
    <row r="1203" spans="1:6" x14ac:dyDescent="0.2">
      <c r="A1203" s="275"/>
      <c r="B1203" s="78"/>
      <c r="C1203" s="189"/>
      <c r="D1203" s="185"/>
      <c r="E1203" s="186"/>
      <c r="F1203" s="187"/>
    </row>
    <row r="1204" spans="1:6" x14ac:dyDescent="0.2">
      <c r="A1204" s="275"/>
      <c r="B1204" s="78"/>
      <c r="C1204" s="189"/>
      <c r="D1204" s="185"/>
      <c r="E1204" s="186"/>
      <c r="F1204" s="187"/>
    </row>
    <row r="1205" spans="1:6" x14ac:dyDescent="0.2">
      <c r="A1205" s="275"/>
      <c r="B1205" s="78"/>
      <c r="C1205" s="189"/>
      <c r="D1205" s="185"/>
      <c r="E1205" s="186"/>
      <c r="F1205" s="187"/>
    </row>
    <row r="1206" spans="1:6" x14ac:dyDescent="0.2">
      <c r="A1206" s="275"/>
      <c r="B1206" s="78"/>
      <c r="C1206" s="189"/>
      <c r="D1206" s="185"/>
      <c r="E1206" s="186"/>
      <c r="F1206" s="187"/>
    </row>
    <row r="1207" spans="1:6" x14ac:dyDescent="0.2">
      <c r="A1207" s="275"/>
      <c r="B1207" s="78"/>
      <c r="C1207" s="189"/>
      <c r="D1207" s="185"/>
      <c r="E1207" s="186"/>
      <c r="F1207" s="187"/>
    </row>
    <row r="1208" spans="1:6" x14ac:dyDescent="0.2">
      <c r="A1208" s="275"/>
      <c r="B1208" s="78"/>
      <c r="C1208" s="189"/>
      <c r="D1208" s="185"/>
      <c r="E1208" s="186"/>
      <c r="F1208" s="187"/>
    </row>
    <row r="1209" spans="1:6" x14ac:dyDescent="0.2">
      <c r="A1209" s="275"/>
      <c r="B1209" s="78"/>
      <c r="C1209" s="189"/>
      <c r="D1209" s="185"/>
      <c r="E1209" s="186"/>
      <c r="F1209" s="187"/>
    </row>
    <row r="1210" spans="1:6" x14ac:dyDescent="0.2">
      <c r="A1210" s="275"/>
      <c r="B1210" s="78"/>
      <c r="C1210" s="189"/>
      <c r="D1210" s="185"/>
      <c r="E1210" s="186"/>
      <c r="F1210" s="187"/>
    </row>
    <row r="1211" spans="1:6" x14ac:dyDescent="0.2">
      <c r="A1211" s="275"/>
      <c r="B1211" s="78"/>
      <c r="C1211" s="189"/>
      <c r="D1211" s="185"/>
      <c r="E1211" s="186"/>
      <c r="F1211" s="187"/>
    </row>
    <row r="1212" spans="1:6" x14ac:dyDescent="0.2">
      <c r="A1212" s="275"/>
      <c r="B1212" s="78"/>
      <c r="C1212" s="189"/>
      <c r="D1212" s="185"/>
      <c r="E1212" s="186"/>
      <c r="F1212" s="187"/>
    </row>
    <row r="1213" spans="1:6" x14ac:dyDescent="0.2">
      <c r="A1213" s="275"/>
      <c r="B1213" s="78"/>
      <c r="C1213" s="189"/>
      <c r="D1213" s="185"/>
      <c r="E1213" s="186"/>
      <c r="F1213" s="187"/>
    </row>
    <row r="1214" spans="1:6" x14ac:dyDescent="0.2">
      <c r="A1214" s="275"/>
      <c r="B1214" s="78"/>
      <c r="C1214" s="189"/>
      <c r="D1214" s="185"/>
      <c r="E1214" s="186"/>
      <c r="F1214" s="187"/>
    </row>
    <row r="1215" spans="1:6" x14ac:dyDescent="0.2">
      <c r="A1215" s="275"/>
      <c r="B1215" s="78"/>
      <c r="C1215" s="189"/>
      <c r="D1215" s="185"/>
      <c r="E1215" s="186"/>
      <c r="F1215" s="187"/>
    </row>
    <row r="1216" spans="1:6" x14ac:dyDescent="0.2">
      <c r="A1216" s="275"/>
      <c r="B1216" s="78"/>
      <c r="C1216" s="189"/>
      <c r="D1216" s="185"/>
      <c r="E1216" s="186"/>
      <c r="F1216" s="187"/>
    </row>
    <row r="1217" spans="1:6" x14ac:dyDescent="0.2">
      <c r="A1217" s="275"/>
      <c r="B1217" s="78"/>
      <c r="C1217" s="189"/>
      <c r="D1217" s="185"/>
      <c r="E1217" s="186"/>
      <c r="F1217" s="187"/>
    </row>
    <row r="1218" spans="1:6" x14ac:dyDescent="0.2">
      <c r="A1218" s="275"/>
      <c r="B1218" s="78"/>
      <c r="C1218" s="189"/>
      <c r="D1218" s="185"/>
      <c r="E1218" s="186"/>
      <c r="F1218" s="187"/>
    </row>
    <row r="1219" spans="1:6" x14ac:dyDescent="0.2">
      <c r="A1219" s="275"/>
      <c r="B1219" s="78"/>
      <c r="C1219" s="189"/>
      <c r="D1219" s="185"/>
      <c r="E1219" s="186"/>
      <c r="F1219" s="187"/>
    </row>
    <row r="1220" spans="1:6" x14ac:dyDescent="0.2">
      <c r="A1220" s="275"/>
      <c r="B1220" s="78"/>
      <c r="C1220" s="189"/>
      <c r="D1220" s="185"/>
      <c r="E1220" s="186"/>
      <c r="F1220" s="187"/>
    </row>
    <row r="1221" spans="1:6" x14ac:dyDescent="0.2">
      <c r="A1221" s="275"/>
      <c r="B1221" s="78"/>
      <c r="C1221" s="189"/>
      <c r="D1221" s="185"/>
      <c r="E1221" s="186"/>
      <c r="F1221" s="187"/>
    </row>
    <row r="1222" spans="1:6" x14ac:dyDescent="0.2">
      <c r="A1222" s="275"/>
      <c r="B1222" s="78"/>
      <c r="C1222" s="189"/>
      <c r="D1222" s="185"/>
      <c r="E1222" s="186"/>
      <c r="F1222" s="187"/>
    </row>
    <row r="1223" spans="1:6" x14ac:dyDescent="0.2">
      <c r="A1223" s="275"/>
      <c r="B1223" s="78"/>
      <c r="C1223" s="189"/>
      <c r="D1223" s="185"/>
      <c r="E1223" s="186"/>
      <c r="F1223" s="187"/>
    </row>
    <row r="1224" spans="1:6" x14ac:dyDescent="0.2">
      <c r="A1224" s="275"/>
      <c r="B1224" s="78"/>
      <c r="C1224" s="189"/>
      <c r="D1224" s="185"/>
      <c r="E1224" s="186"/>
      <c r="F1224" s="187"/>
    </row>
    <row r="1225" spans="1:6" x14ac:dyDescent="0.2">
      <c r="A1225" s="275"/>
      <c r="B1225" s="78"/>
      <c r="C1225" s="189"/>
      <c r="D1225" s="185"/>
      <c r="E1225" s="186"/>
      <c r="F1225" s="187"/>
    </row>
    <row r="1226" spans="1:6" x14ac:dyDescent="0.2">
      <c r="A1226" s="275"/>
      <c r="B1226" s="78"/>
      <c r="C1226" s="189"/>
      <c r="D1226" s="185"/>
      <c r="E1226" s="186"/>
      <c r="F1226" s="187"/>
    </row>
    <row r="1227" spans="1:6" x14ac:dyDescent="0.2">
      <c r="A1227" s="275"/>
      <c r="B1227" s="78"/>
      <c r="C1227" s="189"/>
      <c r="D1227" s="185"/>
      <c r="E1227" s="186"/>
      <c r="F1227" s="187"/>
    </row>
    <row r="1228" spans="1:6" x14ac:dyDescent="0.2">
      <c r="A1228" s="275"/>
      <c r="B1228" s="78"/>
      <c r="C1228" s="189"/>
      <c r="D1228" s="185"/>
      <c r="E1228" s="186"/>
      <c r="F1228" s="187"/>
    </row>
    <row r="1229" spans="1:6" x14ac:dyDescent="0.2">
      <c r="A1229" s="275"/>
      <c r="B1229" s="78"/>
      <c r="C1229" s="189"/>
      <c r="D1229" s="185"/>
      <c r="E1229" s="186"/>
      <c r="F1229" s="187"/>
    </row>
    <row r="1230" spans="1:6" x14ac:dyDescent="0.2">
      <c r="A1230" s="275"/>
      <c r="B1230" s="78"/>
      <c r="C1230" s="189"/>
      <c r="D1230" s="185"/>
      <c r="E1230" s="186"/>
      <c r="F1230" s="187"/>
    </row>
    <row r="1231" spans="1:6" x14ac:dyDescent="0.2">
      <c r="A1231" s="275"/>
      <c r="B1231" s="78"/>
      <c r="C1231" s="189"/>
      <c r="D1231" s="185"/>
      <c r="E1231" s="186"/>
      <c r="F1231" s="187"/>
    </row>
    <row r="1232" spans="1:6" x14ac:dyDescent="0.2">
      <c r="A1232" s="275"/>
      <c r="B1232" s="78"/>
      <c r="C1232" s="189"/>
      <c r="D1232" s="185"/>
      <c r="E1232" s="186"/>
      <c r="F1232" s="187"/>
    </row>
    <row r="1233" spans="1:6" x14ac:dyDescent="0.2">
      <c r="A1233" s="275"/>
      <c r="B1233" s="78"/>
      <c r="C1233" s="189"/>
      <c r="D1233" s="185"/>
      <c r="E1233" s="186"/>
      <c r="F1233" s="187"/>
    </row>
    <row r="1234" spans="1:6" x14ac:dyDescent="0.2">
      <c r="A1234" s="275"/>
      <c r="B1234" s="78"/>
      <c r="C1234" s="189"/>
      <c r="D1234" s="185"/>
      <c r="E1234" s="186"/>
      <c r="F1234" s="187"/>
    </row>
    <row r="1235" spans="1:6" x14ac:dyDescent="0.2">
      <c r="A1235" s="275"/>
      <c r="B1235" s="78"/>
      <c r="C1235" s="189"/>
      <c r="D1235" s="185"/>
      <c r="E1235" s="186"/>
      <c r="F1235" s="187"/>
    </row>
    <row r="1236" spans="1:6" x14ac:dyDescent="0.2">
      <c r="A1236" s="275"/>
      <c r="B1236" s="78"/>
      <c r="C1236" s="189"/>
      <c r="D1236" s="185"/>
      <c r="E1236" s="186"/>
      <c r="F1236" s="187"/>
    </row>
    <row r="1237" spans="1:6" x14ac:dyDescent="0.2">
      <c r="A1237" s="275"/>
      <c r="B1237" s="78"/>
      <c r="C1237" s="189"/>
      <c r="D1237" s="185"/>
      <c r="E1237" s="186"/>
      <c r="F1237" s="187"/>
    </row>
    <row r="1238" spans="1:6" x14ac:dyDescent="0.2">
      <c r="A1238" s="275"/>
      <c r="B1238" s="78"/>
      <c r="C1238" s="189"/>
      <c r="D1238" s="185"/>
      <c r="E1238" s="186"/>
      <c r="F1238" s="187"/>
    </row>
    <row r="1239" spans="1:6" x14ac:dyDescent="0.2">
      <c r="A1239" s="275"/>
      <c r="B1239" s="78"/>
      <c r="C1239" s="189"/>
      <c r="D1239" s="185"/>
      <c r="E1239" s="186"/>
      <c r="F1239" s="187"/>
    </row>
    <row r="1240" spans="1:6" x14ac:dyDescent="0.2">
      <c r="A1240" s="275"/>
      <c r="B1240" s="78"/>
      <c r="C1240" s="189"/>
      <c r="D1240" s="185"/>
      <c r="E1240" s="186"/>
      <c r="F1240" s="187"/>
    </row>
    <row r="1241" spans="1:6" x14ac:dyDescent="0.2">
      <c r="A1241" s="275"/>
      <c r="B1241" s="78"/>
      <c r="C1241" s="189"/>
      <c r="D1241" s="185"/>
      <c r="E1241" s="186"/>
      <c r="F1241" s="187"/>
    </row>
    <row r="1242" spans="1:6" x14ac:dyDescent="0.2">
      <c r="A1242" s="275"/>
      <c r="B1242" s="78"/>
      <c r="C1242" s="189"/>
      <c r="D1242" s="185"/>
      <c r="E1242" s="186"/>
      <c r="F1242" s="187"/>
    </row>
    <row r="1243" spans="1:6" x14ac:dyDescent="0.2">
      <c r="A1243" s="275"/>
      <c r="B1243" s="78"/>
      <c r="C1243" s="189"/>
      <c r="D1243" s="185"/>
      <c r="E1243" s="186"/>
      <c r="F1243" s="187"/>
    </row>
    <row r="1244" spans="1:6" x14ac:dyDescent="0.2">
      <c r="A1244" s="275"/>
      <c r="B1244" s="78"/>
      <c r="C1244" s="189"/>
      <c r="D1244" s="185"/>
      <c r="E1244" s="186"/>
      <c r="F1244" s="187"/>
    </row>
    <row r="1245" spans="1:6" x14ac:dyDescent="0.2">
      <c r="A1245" s="275"/>
      <c r="B1245" s="78"/>
      <c r="C1245" s="189"/>
      <c r="D1245" s="185"/>
      <c r="E1245" s="186"/>
      <c r="F1245" s="187"/>
    </row>
    <row r="1246" spans="1:6" x14ac:dyDescent="0.2">
      <c r="A1246" s="275"/>
      <c r="B1246" s="78"/>
      <c r="C1246" s="189"/>
      <c r="D1246" s="185"/>
      <c r="E1246" s="186"/>
      <c r="F1246" s="187"/>
    </row>
    <row r="1247" spans="1:6" x14ac:dyDescent="0.2">
      <c r="A1247" s="275"/>
      <c r="B1247" s="78"/>
      <c r="C1247" s="189"/>
      <c r="D1247" s="185"/>
      <c r="E1247" s="186"/>
      <c r="F1247" s="187"/>
    </row>
    <row r="1248" spans="1:6" x14ac:dyDescent="0.2">
      <c r="A1248" s="275"/>
      <c r="B1248" s="78"/>
      <c r="C1248" s="189"/>
      <c r="D1248" s="185"/>
      <c r="E1248" s="186"/>
      <c r="F1248" s="187"/>
    </row>
    <row r="1249" spans="1:6" x14ac:dyDescent="0.2">
      <c r="A1249" s="275"/>
      <c r="B1249" s="78"/>
      <c r="C1249" s="189"/>
      <c r="D1249" s="185"/>
      <c r="E1249" s="186"/>
      <c r="F1249" s="187"/>
    </row>
    <row r="1250" spans="1:6" x14ac:dyDescent="0.2">
      <c r="A1250" s="275"/>
      <c r="B1250" s="78"/>
      <c r="C1250" s="189"/>
      <c r="D1250" s="185"/>
      <c r="E1250" s="186"/>
      <c r="F1250" s="187"/>
    </row>
    <row r="1251" spans="1:6" x14ac:dyDescent="0.2">
      <c r="A1251" s="275"/>
      <c r="B1251" s="78"/>
      <c r="C1251" s="189"/>
      <c r="D1251" s="185"/>
      <c r="E1251" s="186"/>
      <c r="F1251" s="187"/>
    </row>
    <row r="1252" spans="1:6" x14ac:dyDescent="0.2">
      <c r="A1252" s="275"/>
      <c r="B1252" s="78"/>
      <c r="C1252" s="189"/>
      <c r="D1252" s="185"/>
      <c r="E1252" s="186"/>
      <c r="F1252" s="187"/>
    </row>
    <row r="1253" spans="1:6" x14ac:dyDescent="0.2">
      <c r="A1253" s="275"/>
      <c r="B1253" s="78"/>
      <c r="C1253" s="189"/>
      <c r="D1253" s="185"/>
      <c r="E1253" s="186"/>
      <c r="F1253" s="187"/>
    </row>
    <row r="1254" spans="1:6" x14ac:dyDescent="0.2">
      <c r="A1254" s="275"/>
      <c r="B1254" s="78"/>
      <c r="C1254" s="189"/>
      <c r="D1254" s="185"/>
      <c r="E1254" s="186"/>
      <c r="F1254" s="187"/>
    </row>
    <row r="1255" spans="1:6" x14ac:dyDescent="0.2">
      <c r="A1255" s="275"/>
      <c r="B1255" s="78"/>
      <c r="C1255" s="189"/>
      <c r="D1255" s="185"/>
      <c r="E1255" s="186"/>
      <c r="F1255" s="187"/>
    </row>
    <row r="1256" spans="1:6" x14ac:dyDescent="0.2">
      <c r="A1256" s="275"/>
      <c r="B1256" s="78"/>
      <c r="C1256" s="189"/>
      <c r="D1256" s="185"/>
      <c r="E1256" s="186"/>
      <c r="F1256" s="187"/>
    </row>
    <row r="1257" spans="1:6" x14ac:dyDescent="0.2">
      <c r="A1257" s="275"/>
      <c r="B1257" s="78"/>
      <c r="C1257" s="189"/>
      <c r="D1257" s="185"/>
      <c r="E1257" s="186"/>
      <c r="F1257" s="187"/>
    </row>
    <row r="1258" spans="1:6" x14ac:dyDescent="0.2">
      <c r="A1258" s="275"/>
      <c r="B1258" s="78"/>
      <c r="C1258" s="189"/>
      <c r="D1258" s="185"/>
      <c r="E1258" s="186"/>
      <c r="F1258" s="187"/>
    </row>
    <row r="1259" spans="1:6" x14ac:dyDescent="0.2">
      <c r="A1259" s="275"/>
      <c r="B1259" s="78"/>
      <c r="C1259" s="189"/>
      <c r="D1259" s="185"/>
      <c r="E1259" s="186"/>
      <c r="F1259" s="187"/>
    </row>
    <row r="1260" spans="1:6" x14ac:dyDescent="0.2">
      <c r="A1260" s="275"/>
      <c r="B1260" s="78"/>
      <c r="C1260" s="189"/>
      <c r="D1260" s="185"/>
      <c r="E1260" s="186"/>
      <c r="F1260" s="187"/>
    </row>
    <row r="1261" spans="1:6" x14ac:dyDescent="0.2">
      <c r="A1261" s="275"/>
      <c r="B1261" s="78"/>
      <c r="C1261" s="189"/>
      <c r="D1261" s="185"/>
      <c r="E1261" s="186"/>
      <c r="F1261" s="187"/>
    </row>
    <row r="1262" spans="1:6" x14ac:dyDescent="0.2">
      <c r="A1262" s="275"/>
      <c r="B1262" s="78"/>
      <c r="C1262" s="189"/>
      <c r="D1262" s="185"/>
      <c r="E1262" s="186"/>
      <c r="F1262" s="187"/>
    </row>
    <row r="1263" spans="1:6" x14ac:dyDescent="0.2">
      <c r="A1263" s="275"/>
      <c r="B1263" s="78"/>
      <c r="C1263" s="189"/>
      <c r="D1263" s="185"/>
      <c r="E1263" s="186"/>
      <c r="F1263" s="187"/>
    </row>
    <row r="1264" spans="1:6" x14ac:dyDescent="0.2">
      <c r="A1264" s="275"/>
      <c r="B1264" s="78"/>
      <c r="C1264" s="189"/>
      <c r="D1264" s="185"/>
      <c r="E1264" s="186"/>
      <c r="F1264" s="187"/>
    </row>
    <row r="1265" spans="1:6" x14ac:dyDescent="0.2">
      <c r="A1265" s="275"/>
      <c r="B1265" s="78"/>
      <c r="C1265" s="189"/>
      <c r="D1265" s="185"/>
      <c r="E1265" s="186"/>
      <c r="F1265" s="187"/>
    </row>
    <row r="1266" spans="1:6" x14ac:dyDescent="0.2">
      <c r="A1266" s="275"/>
      <c r="B1266" s="78"/>
      <c r="C1266" s="189"/>
      <c r="D1266" s="185"/>
      <c r="E1266" s="186"/>
      <c r="F1266" s="187"/>
    </row>
    <row r="1267" spans="1:6" x14ac:dyDescent="0.2">
      <c r="A1267" s="275"/>
      <c r="B1267" s="78"/>
      <c r="C1267" s="189"/>
      <c r="D1267" s="185"/>
      <c r="E1267" s="186"/>
      <c r="F1267" s="187"/>
    </row>
    <row r="1268" spans="1:6" x14ac:dyDescent="0.2">
      <c r="A1268" s="275"/>
      <c r="B1268" s="78"/>
      <c r="C1268" s="189"/>
      <c r="D1268" s="185"/>
      <c r="E1268" s="186"/>
      <c r="F1268" s="187"/>
    </row>
    <row r="1269" spans="1:6" x14ac:dyDescent="0.2">
      <c r="A1269" s="275"/>
      <c r="B1269" s="78"/>
      <c r="C1269" s="189"/>
      <c r="D1269" s="185"/>
      <c r="E1269" s="186"/>
      <c r="F1269" s="187"/>
    </row>
    <row r="1270" spans="1:6" x14ac:dyDescent="0.2">
      <c r="A1270" s="275"/>
      <c r="B1270" s="78"/>
      <c r="C1270" s="189"/>
      <c r="D1270" s="185"/>
      <c r="E1270" s="186"/>
      <c r="F1270" s="187"/>
    </row>
    <row r="1271" spans="1:6" x14ac:dyDescent="0.2">
      <c r="A1271" s="275"/>
      <c r="B1271" s="78"/>
      <c r="C1271" s="189"/>
      <c r="D1271" s="185"/>
      <c r="E1271" s="186"/>
      <c r="F1271" s="187"/>
    </row>
    <row r="1272" spans="1:6" x14ac:dyDescent="0.2">
      <c r="A1272" s="275"/>
      <c r="B1272" s="78"/>
      <c r="C1272" s="189"/>
      <c r="D1272" s="185"/>
      <c r="E1272" s="186"/>
      <c r="F1272" s="187"/>
    </row>
    <row r="1273" spans="1:6" x14ac:dyDescent="0.2">
      <c r="A1273" s="275"/>
      <c r="B1273" s="78"/>
      <c r="C1273" s="189"/>
      <c r="D1273" s="185"/>
      <c r="E1273" s="186"/>
      <c r="F1273" s="187"/>
    </row>
    <row r="1274" spans="1:6" x14ac:dyDescent="0.2">
      <c r="A1274" s="275"/>
      <c r="B1274" s="78"/>
      <c r="C1274" s="189"/>
      <c r="D1274" s="185"/>
      <c r="E1274" s="186"/>
      <c r="F1274" s="187"/>
    </row>
    <row r="1275" spans="1:6" x14ac:dyDescent="0.2">
      <c r="A1275" s="275"/>
      <c r="B1275" s="78"/>
      <c r="C1275" s="189"/>
      <c r="D1275" s="185"/>
      <c r="E1275" s="186"/>
      <c r="F1275" s="187"/>
    </row>
    <row r="1276" spans="1:6" x14ac:dyDescent="0.2">
      <c r="A1276" s="275"/>
      <c r="B1276" s="78"/>
      <c r="C1276" s="189"/>
      <c r="D1276" s="185"/>
      <c r="E1276" s="186"/>
      <c r="F1276" s="187"/>
    </row>
    <row r="1277" spans="1:6" x14ac:dyDescent="0.2">
      <c r="A1277" s="275"/>
      <c r="B1277" s="78"/>
      <c r="C1277" s="189"/>
      <c r="D1277" s="185"/>
      <c r="E1277" s="186"/>
      <c r="F1277" s="187"/>
    </row>
    <row r="1278" spans="1:6" x14ac:dyDescent="0.2">
      <c r="A1278" s="275"/>
      <c r="B1278" s="78"/>
      <c r="C1278" s="189"/>
      <c r="D1278" s="185"/>
      <c r="E1278" s="186"/>
      <c r="F1278" s="187"/>
    </row>
    <row r="1279" spans="1:6" x14ac:dyDescent="0.2">
      <c r="A1279" s="275"/>
      <c r="B1279" s="78"/>
      <c r="C1279" s="189"/>
      <c r="D1279" s="185"/>
      <c r="E1279" s="186"/>
      <c r="F1279" s="187"/>
    </row>
    <row r="1280" spans="1:6" x14ac:dyDescent="0.2">
      <c r="A1280" s="275"/>
      <c r="B1280" s="78"/>
      <c r="C1280" s="189"/>
      <c r="D1280" s="185"/>
      <c r="E1280" s="186"/>
      <c r="F1280" s="187"/>
    </row>
    <row r="1281" spans="1:6" x14ac:dyDescent="0.2">
      <c r="A1281" s="275"/>
      <c r="B1281" s="78"/>
      <c r="C1281" s="189"/>
      <c r="D1281" s="185"/>
      <c r="E1281" s="186"/>
      <c r="F1281" s="187"/>
    </row>
    <row r="1282" spans="1:6" x14ac:dyDescent="0.2">
      <c r="A1282" s="275"/>
      <c r="B1282" s="78"/>
      <c r="C1282" s="189"/>
      <c r="D1282" s="185"/>
      <c r="E1282" s="186"/>
      <c r="F1282" s="187"/>
    </row>
    <row r="1283" spans="1:6" x14ac:dyDescent="0.2">
      <c r="A1283" s="275"/>
      <c r="B1283" s="78"/>
      <c r="C1283" s="189"/>
      <c r="D1283" s="185"/>
      <c r="E1283" s="186"/>
      <c r="F1283" s="187"/>
    </row>
    <row r="1284" spans="1:6" x14ac:dyDescent="0.2">
      <c r="A1284" s="275"/>
      <c r="B1284" s="78"/>
      <c r="C1284" s="189"/>
      <c r="D1284" s="185"/>
      <c r="E1284" s="186"/>
      <c r="F1284" s="187"/>
    </row>
    <row r="1285" spans="1:6" x14ac:dyDescent="0.2">
      <c r="A1285" s="275"/>
      <c r="B1285" s="78"/>
      <c r="C1285" s="189"/>
      <c r="D1285" s="185"/>
      <c r="E1285" s="186"/>
      <c r="F1285" s="187"/>
    </row>
    <row r="1286" spans="1:6" x14ac:dyDescent="0.2">
      <c r="A1286" s="275"/>
      <c r="B1286" s="78"/>
      <c r="C1286" s="189"/>
      <c r="D1286" s="185"/>
      <c r="E1286" s="186"/>
      <c r="F1286" s="187"/>
    </row>
    <row r="1287" spans="1:6" x14ac:dyDescent="0.2">
      <c r="A1287" s="275"/>
      <c r="B1287" s="78"/>
      <c r="C1287" s="189"/>
      <c r="D1287" s="185"/>
      <c r="E1287" s="186"/>
      <c r="F1287" s="187"/>
    </row>
    <row r="1288" spans="1:6" x14ac:dyDescent="0.2">
      <c r="A1288" s="275"/>
      <c r="B1288" s="78"/>
      <c r="C1288" s="189"/>
      <c r="D1288" s="185"/>
      <c r="E1288" s="186"/>
      <c r="F1288" s="187"/>
    </row>
    <row r="1289" spans="1:6" x14ac:dyDescent="0.2">
      <c r="A1289" s="275"/>
      <c r="B1289" s="78"/>
      <c r="C1289" s="189"/>
      <c r="D1289" s="185"/>
      <c r="E1289" s="186"/>
      <c r="F1289" s="187"/>
    </row>
    <row r="1290" spans="1:6" x14ac:dyDescent="0.2">
      <c r="A1290" s="275"/>
      <c r="B1290" s="78"/>
      <c r="C1290" s="189"/>
      <c r="D1290" s="185"/>
      <c r="E1290" s="186"/>
      <c r="F1290" s="187"/>
    </row>
    <row r="1291" spans="1:6" x14ac:dyDescent="0.2">
      <c r="A1291" s="275"/>
      <c r="B1291" s="78"/>
      <c r="C1291" s="189"/>
      <c r="D1291" s="185"/>
      <c r="E1291" s="186"/>
      <c r="F1291" s="187"/>
    </row>
    <row r="1292" spans="1:6" x14ac:dyDescent="0.2">
      <c r="A1292" s="275"/>
      <c r="B1292" s="78"/>
      <c r="C1292" s="189"/>
      <c r="D1292" s="185"/>
      <c r="E1292" s="186"/>
      <c r="F1292" s="187"/>
    </row>
    <row r="1293" spans="1:6" x14ac:dyDescent="0.2">
      <c r="A1293" s="275"/>
      <c r="B1293" s="78"/>
      <c r="C1293" s="189"/>
      <c r="D1293" s="185"/>
      <c r="E1293" s="186"/>
      <c r="F1293" s="187"/>
    </row>
    <row r="1294" spans="1:6" x14ac:dyDescent="0.2">
      <c r="A1294" s="275"/>
      <c r="B1294" s="78"/>
      <c r="C1294" s="189"/>
      <c r="D1294" s="185"/>
      <c r="E1294" s="186"/>
      <c r="F1294" s="187"/>
    </row>
    <row r="1295" spans="1:6" x14ac:dyDescent="0.2">
      <c r="A1295" s="275"/>
      <c r="B1295" s="78"/>
      <c r="C1295" s="189"/>
      <c r="D1295" s="185"/>
      <c r="E1295" s="186"/>
      <c r="F1295" s="187"/>
    </row>
    <row r="1296" spans="1:6" x14ac:dyDescent="0.2">
      <c r="A1296" s="275"/>
      <c r="B1296" s="78"/>
      <c r="C1296" s="189"/>
      <c r="D1296" s="185"/>
      <c r="E1296" s="186"/>
      <c r="F1296" s="187"/>
    </row>
    <row r="1297" spans="1:6" x14ac:dyDescent="0.2">
      <c r="A1297" s="275"/>
      <c r="B1297" s="78"/>
      <c r="C1297" s="189"/>
      <c r="D1297" s="185"/>
      <c r="E1297" s="186"/>
      <c r="F1297" s="187"/>
    </row>
    <row r="1298" spans="1:6" x14ac:dyDescent="0.2">
      <c r="A1298" s="275"/>
      <c r="B1298" s="78"/>
      <c r="C1298" s="189"/>
      <c r="D1298" s="185"/>
      <c r="E1298" s="186"/>
      <c r="F1298" s="187"/>
    </row>
    <row r="1299" spans="1:6" x14ac:dyDescent="0.2">
      <c r="A1299" s="275"/>
      <c r="B1299" s="78"/>
      <c r="C1299" s="189"/>
      <c r="D1299" s="185"/>
      <c r="E1299" s="186"/>
      <c r="F1299" s="187"/>
    </row>
    <row r="1300" spans="1:6" x14ac:dyDescent="0.2">
      <c r="A1300" s="275"/>
      <c r="B1300" s="78"/>
      <c r="C1300" s="189"/>
      <c r="D1300" s="185"/>
      <c r="E1300" s="186"/>
      <c r="F1300" s="187"/>
    </row>
    <row r="1301" spans="1:6" x14ac:dyDescent="0.2">
      <c r="A1301" s="275"/>
      <c r="B1301" s="78"/>
      <c r="C1301" s="189"/>
      <c r="D1301" s="185"/>
      <c r="E1301" s="186"/>
      <c r="F1301" s="187"/>
    </row>
    <row r="1302" spans="1:6" x14ac:dyDescent="0.2">
      <c r="A1302" s="275"/>
      <c r="B1302" s="78"/>
      <c r="C1302" s="189"/>
      <c r="D1302" s="185"/>
      <c r="E1302" s="186"/>
      <c r="F1302" s="187"/>
    </row>
    <row r="1303" spans="1:6" x14ac:dyDescent="0.2">
      <c r="A1303" s="275"/>
      <c r="B1303" s="78"/>
      <c r="C1303" s="189"/>
      <c r="D1303" s="185"/>
      <c r="E1303" s="186"/>
      <c r="F1303" s="187"/>
    </row>
    <row r="1304" spans="1:6" x14ac:dyDescent="0.2">
      <c r="A1304" s="275"/>
      <c r="B1304" s="78"/>
      <c r="C1304" s="189"/>
      <c r="D1304" s="185"/>
      <c r="E1304" s="186"/>
      <c r="F1304" s="187"/>
    </row>
    <row r="1305" spans="1:6" x14ac:dyDescent="0.2">
      <c r="A1305" s="275"/>
      <c r="B1305" s="78"/>
      <c r="C1305" s="189"/>
      <c r="D1305" s="185"/>
      <c r="E1305" s="186"/>
      <c r="F1305" s="187"/>
    </row>
    <row r="1306" spans="1:6" x14ac:dyDescent="0.2">
      <c r="A1306" s="275"/>
      <c r="B1306" s="78"/>
      <c r="C1306" s="189"/>
      <c r="D1306" s="185"/>
      <c r="E1306" s="186"/>
      <c r="F1306" s="187"/>
    </row>
    <row r="1307" spans="1:6" x14ac:dyDescent="0.2">
      <c r="A1307" s="275"/>
      <c r="B1307" s="78"/>
      <c r="C1307" s="189"/>
      <c r="D1307" s="185"/>
      <c r="E1307" s="186"/>
      <c r="F1307" s="187"/>
    </row>
    <row r="1308" spans="1:6" x14ac:dyDescent="0.2">
      <c r="A1308" s="275"/>
      <c r="B1308" s="78"/>
      <c r="C1308" s="189"/>
      <c r="D1308" s="185"/>
      <c r="E1308" s="186"/>
      <c r="F1308" s="187"/>
    </row>
    <row r="1309" spans="1:6" x14ac:dyDescent="0.2">
      <c r="A1309" s="275"/>
      <c r="B1309" s="78"/>
      <c r="C1309" s="189"/>
      <c r="D1309" s="185"/>
      <c r="E1309" s="186"/>
      <c r="F1309" s="187"/>
    </row>
    <row r="1310" spans="1:6" x14ac:dyDescent="0.2">
      <c r="A1310" s="275"/>
      <c r="B1310" s="78"/>
      <c r="C1310" s="189"/>
      <c r="D1310" s="185"/>
      <c r="E1310" s="186"/>
      <c r="F1310" s="187"/>
    </row>
    <row r="1311" spans="1:6" x14ac:dyDescent="0.2">
      <c r="A1311" s="275"/>
      <c r="B1311" s="78"/>
      <c r="C1311" s="189"/>
      <c r="D1311" s="185"/>
      <c r="E1311" s="186"/>
      <c r="F1311" s="187"/>
    </row>
    <row r="1312" spans="1:6" x14ac:dyDescent="0.2">
      <c r="A1312" s="275"/>
      <c r="B1312" s="78"/>
      <c r="C1312" s="189"/>
      <c r="D1312" s="185"/>
      <c r="E1312" s="186"/>
      <c r="F1312" s="187"/>
    </row>
    <row r="1313" spans="1:6" x14ac:dyDescent="0.2">
      <c r="A1313" s="275"/>
      <c r="B1313" s="78"/>
      <c r="C1313" s="189"/>
      <c r="D1313" s="185"/>
      <c r="E1313" s="186"/>
      <c r="F1313" s="187"/>
    </row>
    <row r="1314" spans="1:6" x14ac:dyDescent="0.2">
      <c r="A1314" s="275"/>
      <c r="B1314" s="78"/>
      <c r="C1314" s="189"/>
      <c r="D1314" s="185"/>
      <c r="E1314" s="186"/>
      <c r="F1314" s="187"/>
    </row>
    <row r="1315" spans="1:6" x14ac:dyDescent="0.2">
      <c r="A1315" s="275"/>
      <c r="B1315" s="78"/>
      <c r="C1315" s="189"/>
      <c r="D1315" s="185"/>
      <c r="E1315" s="186"/>
      <c r="F1315" s="187"/>
    </row>
    <row r="1316" spans="1:6" x14ac:dyDescent="0.2">
      <c r="A1316" s="275"/>
      <c r="B1316" s="78"/>
      <c r="C1316" s="189"/>
      <c r="D1316" s="185"/>
      <c r="E1316" s="186"/>
      <c r="F1316" s="187"/>
    </row>
    <row r="1317" spans="1:6" x14ac:dyDescent="0.2">
      <c r="A1317" s="275"/>
      <c r="B1317" s="78"/>
      <c r="C1317" s="189"/>
      <c r="D1317" s="185"/>
      <c r="E1317" s="186"/>
      <c r="F1317" s="187"/>
    </row>
    <row r="1318" spans="1:6" x14ac:dyDescent="0.2">
      <c r="A1318" s="275"/>
      <c r="B1318" s="78"/>
      <c r="C1318" s="189"/>
      <c r="D1318" s="185"/>
      <c r="E1318" s="186"/>
      <c r="F1318" s="187"/>
    </row>
    <row r="1319" spans="1:6" x14ac:dyDescent="0.2">
      <c r="A1319" s="275"/>
      <c r="B1319" s="78"/>
      <c r="C1319" s="189"/>
      <c r="D1319" s="185"/>
      <c r="E1319" s="186"/>
      <c r="F1319" s="187"/>
    </row>
    <row r="1320" spans="1:6" x14ac:dyDescent="0.2">
      <c r="A1320" s="275"/>
      <c r="B1320" s="78"/>
      <c r="C1320" s="189"/>
      <c r="D1320" s="185"/>
      <c r="E1320" s="186"/>
      <c r="F1320" s="187"/>
    </row>
    <row r="1321" spans="1:6" x14ac:dyDescent="0.2">
      <c r="A1321" s="275"/>
      <c r="B1321" s="78"/>
      <c r="C1321" s="189"/>
      <c r="D1321" s="185"/>
      <c r="E1321" s="186"/>
      <c r="F1321" s="187"/>
    </row>
    <row r="1322" spans="1:6" x14ac:dyDescent="0.2">
      <c r="A1322" s="275"/>
      <c r="B1322" s="78"/>
      <c r="C1322" s="189"/>
      <c r="D1322" s="185"/>
      <c r="E1322" s="186"/>
      <c r="F1322" s="187"/>
    </row>
    <row r="1323" spans="1:6" x14ac:dyDescent="0.2">
      <c r="A1323" s="275"/>
      <c r="B1323" s="78"/>
      <c r="C1323" s="189"/>
      <c r="D1323" s="185"/>
      <c r="E1323" s="186"/>
      <c r="F1323" s="187"/>
    </row>
    <row r="1324" spans="1:6" x14ac:dyDescent="0.2">
      <c r="A1324" s="275"/>
      <c r="B1324" s="78"/>
      <c r="C1324" s="189"/>
      <c r="D1324" s="185"/>
      <c r="E1324" s="186"/>
      <c r="F1324" s="187"/>
    </row>
    <row r="1325" spans="1:6" x14ac:dyDescent="0.2">
      <c r="A1325" s="275"/>
      <c r="B1325" s="78"/>
      <c r="C1325" s="189"/>
      <c r="D1325" s="185"/>
      <c r="E1325" s="186"/>
      <c r="F1325" s="187"/>
    </row>
    <row r="1326" spans="1:6" x14ac:dyDescent="0.2">
      <c r="A1326" s="275"/>
      <c r="B1326" s="78"/>
      <c r="C1326" s="189"/>
      <c r="D1326" s="185"/>
      <c r="E1326" s="186"/>
      <c r="F1326" s="187"/>
    </row>
    <row r="1327" spans="1:6" x14ac:dyDescent="0.2">
      <c r="A1327" s="275"/>
      <c r="B1327" s="78"/>
      <c r="C1327" s="189"/>
      <c r="D1327" s="185"/>
      <c r="E1327" s="186"/>
      <c r="F1327" s="187"/>
    </row>
    <row r="1328" spans="1:6" x14ac:dyDescent="0.2">
      <c r="A1328" s="275"/>
      <c r="B1328" s="78"/>
      <c r="C1328" s="189"/>
      <c r="D1328" s="185"/>
      <c r="E1328" s="186"/>
      <c r="F1328" s="187"/>
    </row>
    <row r="1329" spans="1:6" x14ac:dyDescent="0.2">
      <c r="A1329" s="275"/>
      <c r="B1329" s="78"/>
      <c r="C1329" s="189"/>
      <c r="D1329" s="185"/>
      <c r="E1329" s="186"/>
      <c r="F1329" s="187"/>
    </row>
    <row r="1330" spans="1:6" x14ac:dyDescent="0.2">
      <c r="A1330" s="275"/>
      <c r="B1330" s="78"/>
      <c r="C1330" s="189"/>
      <c r="D1330" s="185"/>
      <c r="E1330" s="186"/>
      <c r="F1330" s="187"/>
    </row>
    <row r="1331" spans="1:6" x14ac:dyDescent="0.2">
      <c r="A1331" s="275"/>
      <c r="B1331" s="78"/>
      <c r="C1331" s="189"/>
      <c r="D1331" s="185"/>
      <c r="E1331" s="186"/>
      <c r="F1331" s="187"/>
    </row>
    <row r="1332" spans="1:6" x14ac:dyDescent="0.2">
      <c r="A1332" s="275"/>
      <c r="B1332" s="78"/>
      <c r="C1332" s="189"/>
      <c r="D1332" s="185"/>
      <c r="E1332" s="186"/>
      <c r="F1332" s="187"/>
    </row>
    <row r="1333" spans="1:6" x14ac:dyDescent="0.2">
      <c r="A1333" s="275"/>
      <c r="B1333" s="78"/>
      <c r="C1333" s="189"/>
      <c r="D1333" s="185"/>
      <c r="E1333" s="186"/>
      <c r="F1333" s="187"/>
    </row>
    <row r="1334" spans="1:6" x14ac:dyDescent="0.2">
      <c r="A1334" s="275"/>
      <c r="B1334" s="78"/>
      <c r="C1334" s="189"/>
      <c r="D1334" s="185"/>
      <c r="E1334" s="186"/>
      <c r="F1334" s="187"/>
    </row>
    <row r="1335" spans="1:6" x14ac:dyDescent="0.2">
      <c r="A1335" s="275"/>
      <c r="B1335" s="78"/>
      <c r="C1335" s="189"/>
      <c r="D1335" s="185"/>
      <c r="E1335" s="186"/>
      <c r="F1335" s="187"/>
    </row>
    <row r="1336" spans="1:6" x14ac:dyDescent="0.2">
      <c r="A1336" s="275"/>
      <c r="B1336" s="78"/>
      <c r="C1336" s="189"/>
      <c r="D1336" s="185"/>
      <c r="E1336" s="186"/>
      <c r="F1336" s="187"/>
    </row>
    <row r="1337" spans="1:6" x14ac:dyDescent="0.2">
      <c r="A1337" s="275"/>
      <c r="B1337" s="78"/>
      <c r="C1337" s="189"/>
      <c r="D1337" s="185"/>
      <c r="E1337" s="186"/>
      <c r="F1337" s="187"/>
    </row>
    <row r="1338" spans="1:6" x14ac:dyDescent="0.2">
      <c r="A1338" s="275"/>
      <c r="B1338" s="78"/>
      <c r="C1338" s="189"/>
      <c r="D1338" s="185"/>
      <c r="E1338" s="186"/>
      <c r="F1338" s="187"/>
    </row>
    <row r="1339" spans="1:6" x14ac:dyDescent="0.2">
      <c r="A1339" s="275"/>
      <c r="B1339" s="78"/>
      <c r="C1339" s="189"/>
      <c r="D1339" s="185"/>
      <c r="E1339" s="186"/>
      <c r="F1339" s="187"/>
    </row>
    <row r="1340" spans="1:6" x14ac:dyDescent="0.2">
      <c r="A1340" s="275"/>
      <c r="B1340" s="78"/>
      <c r="C1340" s="189"/>
      <c r="D1340" s="185"/>
      <c r="E1340" s="186"/>
      <c r="F1340" s="187"/>
    </row>
    <row r="1341" spans="1:6" x14ac:dyDescent="0.2">
      <c r="A1341" s="275"/>
      <c r="B1341" s="78"/>
      <c r="C1341" s="189"/>
      <c r="D1341" s="185"/>
      <c r="E1341" s="186"/>
      <c r="F1341" s="187"/>
    </row>
    <row r="1342" spans="1:6" x14ac:dyDescent="0.2">
      <c r="A1342" s="275"/>
      <c r="B1342" s="78"/>
      <c r="C1342" s="189"/>
      <c r="D1342" s="185"/>
      <c r="E1342" s="186"/>
      <c r="F1342" s="187"/>
    </row>
    <row r="1343" spans="1:6" x14ac:dyDescent="0.2">
      <c r="A1343" s="275"/>
      <c r="B1343" s="78"/>
      <c r="C1343" s="189"/>
      <c r="D1343" s="185"/>
      <c r="E1343" s="186"/>
      <c r="F1343" s="187"/>
    </row>
    <row r="1344" spans="1:6" x14ac:dyDescent="0.2">
      <c r="A1344" s="275"/>
      <c r="B1344" s="78"/>
      <c r="C1344" s="189"/>
      <c r="D1344" s="185"/>
      <c r="E1344" s="186"/>
      <c r="F1344" s="187"/>
    </row>
    <row r="1345" spans="1:6" x14ac:dyDescent="0.2">
      <c r="A1345" s="275"/>
      <c r="B1345" s="78"/>
      <c r="C1345" s="189"/>
      <c r="D1345" s="185"/>
      <c r="E1345" s="186"/>
      <c r="F1345" s="187"/>
    </row>
    <row r="1346" spans="1:6" x14ac:dyDescent="0.2">
      <c r="A1346" s="275"/>
      <c r="B1346" s="78"/>
      <c r="C1346" s="189"/>
      <c r="D1346" s="185"/>
      <c r="E1346" s="186"/>
      <c r="F1346" s="187"/>
    </row>
    <row r="1347" spans="1:6" x14ac:dyDescent="0.2">
      <c r="A1347" s="275"/>
      <c r="B1347" s="78"/>
      <c r="C1347" s="189"/>
      <c r="D1347" s="185"/>
      <c r="E1347" s="186"/>
      <c r="F1347" s="187"/>
    </row>
    <row r="1348" spans="1:6" x14ac:dyDescent="0.2">
      <c r="A1348" s="275"/>
      <c r="B1348" s="78"/>
      <c r="C1348" s="189"/>
      <c r="D1348" s="185"/>
      <c r="E1348" s="186"/>
      <c r="F1348" s="187"/>
    </row>
    <row r="1349" spans="1:6" x14ac:dyDescent="0.2">
      <c r="A1349" s="275"/>
      <c r="B1349" s="78"/>
      <c r="C1349" s="189"/>
      <c r="D1349" s="185"/>
      <c r="E1349" s="186"/>
      <c r="F1349" s="187"/>
    </row>
    <row r="1350" spans="1:6" x14ac:dyDescent="0.2">
      <c r="A1350" s="275"/>
      <c r="B1350" s="78"/>
      <c r="C1350" s="189"/>
      <c r="D1350" s="185"/>
      <c r="E1350" s="186"/>
      <c r="F1350" s="187"/>
    </row>
    <row r="1351" spans="1:6" x14ac:dyDescent="0.2">
      <c r="A1351" s="275"/>
      <c r="B1351" s="78"/>
      <c r="C1351" s="189"/>
      <c r="D1351" s="185"/>
      <c r="E1351" s="186"/>
      <c r="F1351" s="187"/>
    </row>
    <row r="1352" spans="1:6" x14ac:dyDescent="0.2">
      <c r="A1352" s="275"/>
      <c r="B1352" s="78"/>
      <c r="C1352" s="189"/>
      <c r="D1352" s="185"/>
      <c r="E1352" s="186"/>
      <c r="F1352" s="187"/>
    </row>
    <row r="1353" spans="1:6" x14ac:dyDescent="0.2">
      <c r="A1353" s="275"/>
      <c r="B1353" s="78"/>
      <c r="C1353" s="189"/>
      <c r="D1353" s="185"/>
      <c r="E1353" s="186"/>
      <c r="F1353" s="187"/>
    </row>
    <row r="1354" spans="1:6" x14ac:dyDescent="0.2">
      <c r="A1354" s="275"/>
      <c r="B1354" s="78"/>
      <c r="C1354" s="189"/>
      <c r="D1354" s="185"/>
      <c r="E1354" s="186"/>
      <c r="F1354" s="187"/>
    </row>
    <row r="1355" spans="1:6" x14ac:dyDescent="0.2">
      <c r="A1355" s="275"/>
      <c r="B1355" s="78"/>
      <c r="C1355" s="189"/>
      <c r="D1355" s="185"/>
      <c r="E1355" s="186"/>
      <c r="F1355" s="187"/>
    </row>
    <row r="1356" spans="1:6" x14ac:dyDescent="0.2">
      <c r="A1356" s="275"/>
      <c r="B1356" s="78"/>
      <c r="C1356" s="189"/>
      <c r="D1356" s="185"/>
      <c r="E1356" s="186"/>
      <c r="F1356" s="187"/>
    </row>
    <row r="1357" spans="1:6" x14ac:dyDescent="0.2">
      <c r="A1357" s="275"/>
      <c r="B1357" s="78"/>
      <c r="C1357" s="189"/>
      <c r="D1357" s="185"/>
      <c r="E1357" s="186"/>
      <c r="F1357" s="187"/>
    </row>
    <row r="1358" spans="1:6" x14ac:dyDescent="0.2">
      <c r="A1358" s="275"/>
      <c r="B1358" s="78"/>
      <c r="C1358" s="189"/>
      <c r="D1358" s="185"/>
      <c r="E1358" s="186"/>
      <c r="F1358" s="187"/>
    </row>
    <row r="1359" spans="1:6" x14ac:dyDescent="0.2">
      <c r="A1359" s="275"/>
      <c r="B1359" s="78"/>
      <c r="C1359" s="189"/>
      <c r="D1359" s="185"/>
      <c r="E1359" s="186"/>
      <c r="F1359" s="187"/>
    </row>
    <row r="1360" spans="1:6" x14ac:dyDescent="0.2">
      <c r="A1360" s="275"/>
      <c r="B1360" s="78"/>
      <c r="C1360" s="189"/>
      <c r="D1360" s="185"/>
      <c r="E1360" s="186"/>
      <c r="F1360" s="187"/>
    </row>
    <row r="1361" spans="1:6" x14ac:dyDescent="0.2">
      <c r="A1361" s="275"/>
      <c r="B1361" s="78"/>
      <c r="C1361" s="189"/>
      <c r="D1361" s="185"/>
      <c r="E1361" s="186"/>
      <c r="F1361" s="187"/>
    </row>
    <row r="1362" spans="1:6" x14ac:dyDescent="0.2">
      <c r="A1362" s="275"/>
      <c r="B1362" s="78"/>
      <c r="C1362" s="189"/>
      <c r="D1362" s="185"/>
      <c r="E1362" s="186"/>
      <c r="F1362" s="187"/>
    </row>
    <row r="1363" spans="1:6" x14ac:dyDescent="0.2">
      <c r="A1363" s="275"/>
      <c r="B1363" s="78"/>
      <c r="C1363" s="189"/>
      <c r="D1363" s="185"/>
      <c r="E1363" s="186"/>
      <c r="F1363" s="187"/>
    </row>
    <row r="1364" spans="1:6" x14ac:dyDescent="0.2">
      <c r="A1364" s="275"/>
      <c r="B1364" s="78"/>
      <c r="C1364" s="189"/>
      <c r="D1364" s="185"/>
      <c r="E1364" s="186"/>
      <c r="F1364" s="187"/>
    </row>
    <row r="1365" spans="1:6" x14ac:dyDescent="0.2">
      <c r="A1365" s="275"/>
      <c r="B1365" s="78"/>
      <c r="C1365" s="189"/>
      <c r="D1365" s="185"/>
      <c r="E1365" s="186"/>
      <c r="F1365" s="187"/>
    </row>
    <row r="1366" spans="1:6" x14ac:dyDescent="0.2">
      <c r="A1366" s="275"/>
      <c r="B1366" s="78"/>
      <c r="C1366" s="189"/>
      <c r="D1366" s="185"/>
      <c r="E1366" s="186"/>
      <c r="F1366" s="187"/>
    </row>
    <row r="1367" spans="1:6" x14ac:dyDescent="0.2">
      <c r="A1367" s="275"/>
      <c r="B1367" s="78"/>
      <c r="C1367" s="189"/>
      <c r="D1367" s="185"/>
      <c r="E1367" s="186"/>
      <c r="F1367" s="187"/>
    </row>
    <row r="1368" spans="1:6" x14ac:dyDescent="0.2">
      <c r="A1368" s="275"/>
      <c r="B1368" s="78"/>
      <c r="C1368" s="189"/>
      <c r="D1368" s="185"/>
      <c r="E1368" s="186"/>
      <c r="F1368" s="187"/>
    </row>
    <row r="1369" spans="1:6" x14ac:dyDescent="0.2">
      <c r="A1369" s="275"/>
      <c r="B1369" s="78"/>
      <c r="C1369" s="189"/>
      <c r="D1369" s="185"/>
      <c r="E1369" s="186"/>
      <c r="F1369" s="187"/>
    </row>
    <row r="1370" spans="1:6" x14ac:dyDescent="0.2">
      <c r="A1370" s="275"/>
      <c r="B1370" s="78"/>
      <c r="C1370" s="189"/>
      <c r="D1370" s="185"/>
      <c r="E1370" s="186"/>
      <c r="F1370" s="187"/>
    </row>
    <row r="1371" spans="1:6" x14ac:dyDescent="0.2">
      <c r="A1371" s="275"/>
      <c r="B1371" s="78"/>
      <c r="C1371" s="189"/>
      <c r="D1371" s="185"/>
      <c r="E1371" s="186"/>
      <c r="F1371" s="187"/>
    </row>
    <row r="1372" spans="1:6" x14ac:dyDescent="0.2">
      <c r="A1372" s="275"/>
      <c r="B1372" s="78"/>
      <c r="C1372" s="189"/>
      <c r="D1372" s="185"/>
      <c r="E1372" s="186"/>
      <c r="F1372" s="187"/>
    </row>
    <row r="1373" spans="1:6" x14ac:dyDescent="0.2">
      <c r="A1373" s="275"/>
      <c r="B1373" s="78"/>
      <c r="C1373" s="189"/>
      <c r="D1373" s="185"/>
      <c r="E1373" s="186"/>
      <c r="F1373" s="187"/>
    </row>
    <row r="1374" spans="1:6" x14ac:dyDescent="0.2">
      <c r="A1374" s="275"/>
      <c r="B1374" s="78"/>
      <c r="C1374" s="189"/>
      <c r="D1374" s="185"/>
      <c r="E1374" s="186"/>
      <c r="F1374" s="187"/>
    </row>
    <row r="1375" spans="1:6" x14ac:dyDescent="0.2">
      <c r="A1375" s="275"/>
      <c r="B1375" s="78"/>
      <c r="C1375" s="189"/>
      <c r="D1375" s="185"/>
      <c r="E1375" s="186"/>
      <c r="F1375" s="187"/>
    </row>
    <row r="1376" spans="1:6" x14ac:dyDescent="0.2">
      <c r="A1376" s="275"/>
      <c r="B1376" s="78"/>
      <c r="C1376" s="189"/>
      <c r="D1376" s="185"/>
      <c r="E1376" s="186"/>
      <c r="F1376" s="187"/>
    </row>
    <row r="1377" spans="1:6" x14ac:dyDescent="0.2">
      <c r="A1377" s="275"/>
      <c r="B1377" s="78"/>
      <c r="C1377" s="189"/>
      <c r="D1377" s="185"/>
      <c r="E1377" s="186"/>
      <c r="F1377" s="187"/>
    </row>
    <row r="1378" spans="1:6" x14ac:dyDescent="0.2">
      <c r="A1378" s="275"/>
      <c r="B1378" s="78"/>
      <c r="C1378" s="189"/>
      <c r="D1378" s="185"/>
      <c r="E1378" s="186"/>
      <c r="F1378" s="187"/>
    </row>
    <row r="1379" spans="1:6" x14ac:dyDescent="0.2">
      <c r="A1379" s="275"/>
      <c r="B1379" s="78"/>
      <c r="C1379" s="189"/>
      <c r="D1379" s="185"/>
      <c r="E1379" s="186"/>
      <c r="F1379" s="187"/>
    </row>
    <row r="1380" spans="1:6" x14ac:dyDescent="0.2">
      <c r="A1380" s="275"/>
      <c r="B1380" s="78"/>
      <c r="C1380" s="189"/>
      <c r="D1380" s="185"/>
      <c r="E1380" s="186"/>
      <c r="F1380" s="187"/>
    </row>
    <row r="1381" spans="1:6" x14ac:dyDescent="0.2">
      <c r="A1381" s="275"/>
      <c r="B1381" s="78"/>
      <c r="C1381" s="189"/>
      <c r="D1381" s="185"/>
      <c r="E1381" s="186"/>
      <c r="F1381" s="187"/>
    </row>
    <row r="1382" spans="1:6" x14ac:dyDescent="0.2">
      <c r="A1382" s="275"/>
      <c r="B1382" s="78"/>
      <c r="C1382" s="189"/>
      <c r="D1382" s="185"/>
      <c r="E1382" s="186"/>
      <c r="F1382" s="187"/>
    </row>
    <row r="1383" spans="1:6" x14ac:dyDescent="0.2">
      <c r="A1383" s="275"/>
      <c r="B1383" s="78"/>
      <c r="C1383" s="189"/>
      <c r="D1383" s="185"/>
      <c r="E1383" s="186"/>
      <c r="F1383" s="187"/>
    </row>
    <row r="1384" spans="1:6" x14ac:dyDescent="0.2">
      <c r="A1384" s="275"/>
      <c r="B1384" s="78"/>
      <c r="C1384" s="189"/>
      <c r="D1384" s="185"/>
      <c r="E1384" s="186"/>
      <c r="F1384" s="187"/>
    </row>
    <row r="1385" spans="1:6" x14ac:dyDescent="0.2">
      <c r="A1385" s="275"/>
      <c r="B1385" s="78"/>
      <c r="C1385" s="189"/>
      <c r="D1385" s="185"/>
      <c r="E1385" s="186"/>
      <c r="F1385" s="187"/>
    </row>
    <row r="1386" spans="1:6" x14ac:dyDescent="0.2">
      <c r="A1386" s="275"/>
      <c r="B1386" s="78"/>
      <c r="C1386" s="189"/>
      <c r="D1386" s="185"/>
      <c r="E1386" s="186"/>
      <c r="F1386" s="187"/>
    </row>
    <row r="1387" spans="1:6" x14ac:dyDescent="0.2">
      <c r="A1387" s="275"/>
      <c r="B1387" s="78"/>
      <c r="C1387" s="189"/>
      <c r="D1387" s="185"/>
      <c r="E1387" s="186"/>
      <c r="F1387" s="187"/>
    </row>
    <row r="1388" spans="1:6" x14ac:dyDescent="0.2">
      <c r="A1388" s="275"/>
      <c r="B1388" s="78"/>
      <c r="C1388" s="189"/>
      <c r="D1388" s="185"/>
      <c r="E1388" s="186"/>
      <c r="F1388" s="187"/>
    </row>
    <row r="1389" spans="1:6" x14ac:dyDescent="0.2">
      <c r="A1389" s="275"/>
      <c r="B1389" s="78"/>
      <c r="C1389" s="189"/>
      <c r="D1389" s="185"/>
      <c r="E1389" s="186"/>
      <c r="F1389" s="187"/>
    </row>
    <row r="1390" spans="1:6" x14ac:dyDescent="0.2">
      <c r="A1390" s="275"/>
      <c r="B1390" s="78"/>
      <c r="C1390" s="189"/>
      <c r="D1390" s="185"/>
      <c r="E1390" s="186"/>
      <c r="F1390" s="187"/>
    </row>
    <row r="1391" spans="1:6" x14ac:dyDescent="0.2">
      <c r="A1391" s="275"/>
      <c r="B1391" s="78"/>
      <c r="C1391" s="189"/>
      <c r="D1391" s="185"/>
      <c r="E1391" s="186"/>
      <c r="F1391" s="187"/>
    </row>
    <row r="1392" spans="1:6" x14ac:dyDescent="0.2">
      <c r="A1392" s="275"/>
      <c r="B1392" s="78"/>
      <c r="C1392" s="189"/>
      <c r="D1392" s="185"/>
      <c r="E1392" s="186"/>
      <c r="F1392" s="187"/>
    </row>
    <row r="1393" spans="1:6" x14ac:dyDescent="0.2">
      <c r="A1393" s="275"/>
      <c r="B1393" s="78"/>
      <c r="C1393" s="189"/>
      <c r="D1393" s="185"/>
      <c r="E1393" s="186"/>
      <c r="F1393" s="187"/>
    </row>
    <row r="1394" spans="1:6" x14ac:dyDescent="0.2">
      <c r="A1394" s="275"/>
      <c r="B1394" s="78"/>
      <c r="C1394" s="189"/>
      <c r="D1394" s="185"/>
      <c r="E1394" s="186"/>
      <c r="F1394" s="187"/>
    </row>
    <row r="1395" spans="1:6" x14ac:dyDescent="0.2">
      <c r="A1395" s="275"/>
      <c r="B1395" s="78"/>
      <c r="C1395" s="189"/>
      <c r="D1395" s="185"/>
      <c r="E1395" s="186"/>
      <c r="F1395" s="187"/>
    </row>
    <row r="1396" spans="1:6" x14ac:dyDescent="0.2">
      <c r="A1396" s="275"/>
      <c r="B1396" s="78"/>
      <c r="C1396" s="189"/>
      <c r="D1396" s="185"/>
      <c r="E1396" s="186"/>
      <c r="F1396" s="187"/>
    </row>
    <row r="1397" spans="1:6" x14ac:dyDescent="0.2">
      <c r="A1397" s="275"/>
      <c r="B1397" s="78"/>
      <c r="C1397" s="189"/>
      <c r="D1397" s="185"/>
      <c r="E1397" s="186"/>
      <c r="F1397" s="187"/>
    </row>
    <row r="1398" spans="1:6" x14ac:dyDescent="0.2">
      <c r="A1398" s="275"/>
      <c r="B1398" s="78"/>
      <c r="C1398" s="189"/>
      <c r="D1398" s="185"/>
      <c r="E1398" s="186"/>
      <c r="F1398" s="187"/>
    </row>
    <row r="1399" spans="1:6" x14ac:dyDescent="0.2">
      <c r="A1399" s="275"/>
      <c r="B1399" s="78"/>
      <c r="C1399" s="189"/>
      <c r="D1399" s="185"/>
      <c r="E1399" s="186"/>
      <c r="F1399" s="187"/>
    </row>
    <row r="1400" spans="1:6" x14ac:dyDescent="0.2">
      <c r="A1400" s="275"/>
      <c r="B1400" s="78"/>
      <c r="C1400" s="189"/>
      <c r="D1400" s="185"/>
      <c r="E1400" s="186"/>
      <c r="F1400" s="187"/>
    </row>
    <row r="1401" spans="1:6" x14ac:dyDescent="0.2">
      <c r="A1401" s="275"/>
      <c r="B1401" s="78"/>
      <c r="C1401" s="189"/>
      <c r="D1401" s="185"/>
      <c r="E1401" s="186"/>
      <c r="F1401" s="187"/>
    </row>
    <row r="1402" spans="1:6" x14ac:dyDescent="0.2">
      <c r="A1402" s="275"/>
      <c r="B1402" s="78"/>
      <c r="C1402" s="189"/>
      <c r="D1402" s="185"/>
      <c r="E1402" s="186"/>
      <c r="F1402" s="187"/>
    </row>
    <row r="1403" spans="1:6" x14ac:dyDescent="0.2">
      <c r="A1403" s="275"/>
      <c r="B1403" s="78"/>
      <c r="C1403" s="189"/>
      <c r="D1403" s="185"/>
      <c r="E1403" s="186"/>
      <c r="F1403" s="187"/>
    </row>
    <row r="1404" spans="1:6" x14ac:dyDescent="0.2">
      <c r="A1404" s="275"/>
      <c r="B1404" s="78"/>
      <c r="C1404" s="189"/>
      <c r="D1404" s="185"/>
      <c r="E1404" s="186"/>
      <c r="F1404" s="187"/>
    </row>
    <row r="1405" spans="1:6" x14ac:dyDescent="0.2">
      <c r="A1405" s="275"/>
      <c r="B1405" s="78"/>
      <c r="C1405" s="189"/>
      <c r="D1405" s="185"/>
      <c r="E1405" s="186"/>
      <c r="F1405" s="187"/>
    </row>
    <row r="1406" spans="1:6" x14ac:dyDescent="0.2">
      <c r="A1406" s="275"/>
      <c r="B1406" s="78"/>
      <c r="C1406" s="189"/>
      <c r="D1406" s="185"/>
      <c r="E1406" s="186"/>
      <c r="F1406" s="187"/>
    </row>
    <row r="1407" spans="1:6" x14ac:dyDescent="0.2">
      <c r="A1407" s="275"/>
      <c r="B1407" s="78"/>
      <c r="C1407" s="189"/>
      <c r="D1407" s="185"/>
      <c r="E1407" s="186"/>
      <c r="F1407" s="187"/>
    </row>
    <row r="1408" spans="1:6" x14ac:dyDescent="0.2">
      <c r="A1408" s="275"/>
      <c r="B1408" s="78"/>
      <c r="C1408" s="189"/>
      <c r="D1408" s="185"/>
      <c r="E1408" s="186"/>
      <c r="F1408" s="187"/>
    </row>
    <row r="1409" spans="1:6" x14ac:dyDescent="0.2">
      <c r="A1409" s="275"/>
      <c r="B1409" s="78"/>
      <c r="C1409" s="189"/>
      <c r="D1409" s="185"/>
      <c r="E1409" s="186"/>
      <c r="F1409" s="187"/>
    </row>
    <row r="1410" spans="1:6" x14ac:dyDescent="0.2">
      <c r="A1410" s="275"/>
      <c r="B1410" s="78"/>
      <c r="C1410" s="189"/>
      <c r="D1410" s="185"/>
      <c r="E1410" s="186"/>
      <c r="F1410" s="187"/>
    </row>
    <row r="1411" spans="1:6" x14ac:dyDescent="0.2">
      <c r="A1411" s="275"/>
      <c r="B1411" s="78"/>
      <c r="C1411" s="189"/>
      <c r="D1411" s="185"/>
      <c r="E1411" s="186"/>
      <c r="F1411" s="187"/>
    </row>
    <row r="1412" spans="1:6" x14ac:dyDescent="0.2">
      <c r="A1412" s="275"/>
      <c r="B1412" s="78"/>
      <c r="C1412" s="189"/>
      <c r="D1412" s="185"/>
      <c r="E1412" s="186"/>
      <c r="F1412" s="187"/>
    </row>
    <row r="1413" spans="1:6" x14ac:dyDescent="0.2">
      <c r="A1413" s="275"/>
      <c r="B1413" s="78"/>
      <c r="C1413" s="189"/>
      <c r="D1413" s="185"/>
      <c r="E1413" s="186"/>
      <c r="F1413" s="187"/>
    </row>
    <row r="1414" spans="1:6" x14ac:dyDescent="0.2">
      <c r="A1414" s="275"/>
      <c r="B1414" s="78"/>
      <c r="C1414" s="189"/>
      <c r="D1414" s="185"/>
      <c r="E1414" s="186"/>
      <c r="F1414" s="187"/>
    </row>
    <row r="1415" spans="1:6" x14ac:dyDescent="0.2">
      <c r="A1415" s="275"/>
      <c r="B1415" s="78"/>
      <c r="C1415" s="189"/>
      <c r="D1415" s="185"/>
      <c r="E1415" s="186"/>
      <c r="F1415" s="187"/>
    </row>
    <row r="1416" spans="1:6" x14ac:dyDescent="0.2">
      <c r="A1416" s="275"/>
      <c r="B1416" s="78"/>
      <c r="C1416" s="189"/>
      <c r="D1416" s="185"/>
      <c r="E1416" s="186"/>
      <c r="F1416" s="187"/>
    </row>
    <row r="1417" spans="1:6" x14ac:dyDescent="0.2">
      <c r="A1417" s="275"/>
      <c r="B1417" s="78"/>
      <c r="C1417" s="189"/>
      <c r="D1417" s="185"/>
      <c r="E1417" s="186"/>
      <c r="F1417" s="187"/>
    </row>
    <row r="1418" spans="1:6" x14ac:dyDescent="0.2">
      <c r="A1418" s="275"/>
      <c r="B1418" s="78"/>
      <c r="C1418" s="189"/>
      <c r="D1418" s="185"/>
      <c r="E1418" s="186"/>
      <c r="F1418" s="187"/>
    </row>
    <row r="1419" spans="1:6" x14ac:dyDescent="0.2">
      <c r="A1419" s="275"/>
      <c r="B1419" s="78"/>
      <c r="C1419" s="189"/>
      <c r="D1419" s="185"/>
      <c r="E1419" s="186"/>
      <c r="F1419" s="187"/>
    </row>
    <row r="1420" spans="1:6" x14ac:dyDescent="0.2">
      <c r="A1420" s="275"/>
      <c r="B1420" s="78"/>
      <c r="C1420" s="189"/>
      <c r="D1420" s="185"/>
      <c r="E1420" s="186"/>
      <c r="F1420" s="187"/>
    </row>
    <row r="1421" spans="1:6" x14ac:dyDescent="0.2">
      <c r="A1421" s="275"/>
      <c r="B1421" s="78"/>
      <c r="C1421" s="189"/>
      <c r="D1421" s="185"/>
      <c r="E1421" s="186"/>
      <c r="F1421" s="187"/>
    </row>
    <row r="1422" spans="1:6" x14ac:dyDescent="0.2">
      <c r="A1422" s="275"/>
      <c r="B1422" s="78"/>
      <c r="C1422" s="189"/>
      <c r="D1422" s="185"/>
      <c r="E1422" s="186"/>
      <c r="F1422" s="187"/>
    </row>
    <row r="1423" spans="1:6" x14ac:dyDescent="0.2">
      <c r="A1423" s="275"/>
      <c r="B1423" s="78"/>
      <c r="C1423" s="189"/>
      <c r="D1423" s="185"/>
      <c r="E1423" s="186"/>
      <c r="F1423" s="187"/>
    </row>
    <row r="1424" spans="1:6" x14ac:dyDescent="0.2">
      <c r="A1424" s="275"/>
      <c r="B1424" s="78"/>
      <c r="C1424" s="189"/>
      <c r="D1424" s="185"/>
      <c r="E1424" s="186"/>
      <c r="F1424" s="187"/>
    </row>
    <row r="1425" spans="1:6" x14ac:dyDescent="0.2">
      <c r="A1425" s="275"/>
      <c r="B1425" s="78"/>
      <c r="C1425" s="189"/>
      <c r="D1425" s="185"/>
      <c r="E1425" s="186"/>
      <c r="F1425" s="187"/>
    </row>
    <row r="1426" spans="1:6" x14ac:dyDescent="0.2">
      <c r="A1426" s="275"/>
      <c r="B1426" s="78"/>
      <c r="C1426" s="189"/>
      <c r="D1426" s="185"/>
      <c r="E1426" s="186"/>
      <c r="F1426" s="187"/>
    </row>
    <row r="1427" spans="1:6" x14ac:dyDescent="0.2">
      <c r="A1427" s="275"/>
      <c r="B1427" s="78"/>
      <c r="C1427" s="189"/>
      <c r="D1427" s="185"/>
      <c r="E1427" s="186"/>
      <c r="F1427" s="187"/>
    </row>
    <row r="1428" spans="1:6" x14ac:dyDescent="0.2">
      <c r="A1428" s="275"/>
      <c r="B1428" s="78"/>
      <c r="C1428" s="189"/>
      <c r="D1428" s="185"/>
      <c r="E1428" s="186"/>
      <c r="F1428" s="187"/>
    </row>
    <row r="1429" spans="1:6" x14ac:dyDescent="0.2">
      <c r="A1429" s="275"/>
      <c r="B1429" s="78"/>
      <c r="C1429" s="189"/>
      <c r="D1429" s="185"/>
      <c r="E1429" s="186"/>
      <c r="F1429" s="187"/>
    </row>
    <row r="1430" spans="1:6" x14ac:dyDescent="0.2">
      <c r="A1430" s="275"/>
      <c r="B1430" s="78"/>
      <c r="C1430" s="189"/>
      <c r="D1430" s="185"/>
      <c r="E1430" s="186"/>
      <c r="F1430" s="187"/>
    </row>
    <row r="1431" spans="1:6" x14ac:dyDescent="0.2">
      <c r="A1431" s="275"/>
      <c r="B1431" s="78"/>
      <c r="C1431" s="189"/>
      <c r="D1431" s="185"/>
      <c r="E1431" s="186"/>
      <c r="F1431" s="187"/>
    </row>
    <row r="1432" spans="1:6" x14ac:dyDescent="0.2">
      <c r="A1432" s="275"/>
      <c r="B1432" s="78"/>
      <c r="C1432" s="189"/>
      <c r="D1432" s="185"/>
      <c r="E1432" s="186"/>
      <c r="F1432" s="187"/>
    </row>
    <row r="1433" spans="1:6" x14ac:dyDescent="0.2">
      <c r="A1433" s="275"/>
      <c r="B1433" s="78"/>
      <c r="C1433" s="189"/>
      <c r="D1433" s="185"/>
      <c r="E1433" s="186"/>
      <c r="F1433" s="187"/>
    </row>
    <row r="1434" spans="1:6" x14ac:dyDescent="0.2">
      <c r="A1434" s="275"/>
      <c r="B1434" s="78"/>
      <c r="C1434" s="189"/>
      <c r="D1434" s="185"/>
      <c r="E1434" s="186"/>
      <c r="F1434" s="187"/>
    </row>
    <row r="1435" spans="1:6" x14ac:dyDescent="0.2">
      <c r="A1435" s="275"/>
      <c r="B1435" s="78"/>
      <c r="C1435" s="189"/>
      <c r="D1435" s="185"/>
      <c r="E1435" s="186"/>
      <c r="F1435" s="187"/>
    </row>
    <row r="1436" spans="1:6" x14ac:dyDescent="0.2">
      <c r="A1436" s="275"/>
      <c r="B1436" s="78"/>
      <c r="C1436" s="189"/>
      <c r="D1436" s="185"/>
      <c r="E1436" s="186"/>
      <c r="F1436" s="187"/>
    </row>
    <row r="1437" spans="1:6" x14ac:dyDescent="0.2">
      <c r="A1437" s="275"/>
      <c r="B1437" s="78"/>
      <c r="C1437" s="189"/>
      <c r="D1437" s="185"/>
      <c r="E1437" s="186"/>
      <c r="F1437" s="187"/>
    </row>
    <row r="1438" spans="1:6" x14ac:dyDescent="0.2">
      <c r="A1438" s="275"/>
      <c r="B1438" s="78"/>
      <c r="C1438" s="189"/>
      <c r="D1438" s="185"/>
      <c r="E1438" s="186"/>
      <c r="F1438" s="187"/>
    </row>
    <row r="1439" spans="1:6" x14ac:dyDescent="0.2">
      <c r="A1439" s="275"/>
      <c r="B1439" s="78"/>
      <c r="C1439" s="189"/>
      <c r="D1439" s="185"/>
      <c r="E1439" s="186"/>
      <c r="F1439" s="187"/>
    </row>
    <row r="1440" spans="1:6" x14ac:dyDescent="0.2">
      <c r="A1440" s="275"/>
      <c r="B1440" s="78"/>
      <c r="C1440" s="189"/>
      <c r="D1440" s="185"/>
      <c r="E1440" s="186"/>
      <c r="F1440" s="187"/>
    </row>
    <row r="1441" spans="1:6" x14ac:dyDescent="0.2">
      <c r="A1441" s="275"/>
      <c r="B1441" s="78"/>
      <c r="C1441" s="189"/>
      <c r="D1441" s="185"/>
      <c r="E1441" s="186"/>
      <c r="F1441" s="187"/>
    </row>
    <row r="1442" spans="1:6" x14ac:dyDescent="0.2">
      <c r="A1442" s="275"/>
      <c r="B1442" s="78"/>
      <c r="C1442" s="189"/>
      <c r="D1442" s="185"/>
      <c r="E1442" s="186"/>
      <c r="F1442" s="187"/>
    </row>
    <row r="1443" spans="1:6" x14ac:dyDescent="0.2">
      <c r="A1443" s="275"/>
      <c r="B1443" s="78"/>
      <c r="C1443" s="189"/>
      <c r="D1443" s="185"/>
      <c r="E1443" s="186"/>
      <c r="F1443" s="187"/>
    </row>
    <row r="1444" spans="1:6" x14ac:dyDescent="0.2">
      <c r="A1444" s="275"/>
      <c r="B1444" s="78"/>
      <c r="C1444" s="189"/>
      <c r="D1444" s="185"/>
      <c r="E1444" s="186"/>
      <c r="F1444" s="187"/>
    </row>
    <row r="1445" spans="1:6" x14ac:dyDescent="0.2">
      <c r="A1445" s="275"/>
      <c r="B1445" s="78"/>
      <c r="C1445" s="189"/>
      <c r="D1445" s="185"/>
      <c r="E1445" s="186"/>
      <c r="F1445" s="187"/>
    </row>
    <row r="1446" spans="1:6" x14ac:dyDescent="0.2">
      <c r="A1446" s="275"/>
      <c r="B1446" s="78"/>
      <c r="C1446" s="189"/>
      <c r="D1446" s="185"/>
      <c r="E1446" s="186"/>
      <c r="F1446" s="187"/>
    </row>
    <row r="1447" spans="1:6" x14ac:dyDescent="0.2">
      <c r="A1447" s="275"/>
      <c r="B1447" s="78"/>
      <c r="C1447" s="189"/>
      <c r="D1447" s="185"/>
      <c r="E1447" s="186"/>
      <c r="F1447" s="187"/>
    </row>
    <row r="1448" spans="1:6" x14ac:dyDescent="0.2">
      <c r="A1448" s="275"/>
      <c r="B1448" s="78"/>
      <c r="C1448" s="189"/>
      <c r="D1448" s="185"/>
      <c r="E1448" s="186"/>
      <c r="F1448" s="187"/>
    </row>
    <row r="1449" spans="1:6" x14ac:dyDescent="0.2">
      <c r="A1449" s="275"/>
      <c r="B1449" s="78"/>
      <c r="C1449" s="189"/>
      <c r="D1449" s="185"/>
      <c r="E1449" s="186"/>
      <c r="F1449" s="187"/>
    </row>
    <row r="1450" spans="1:6" x14ac:dyDescent="0.2">
      <c r="A1450" s="275"/>
      <c r="B1450" s="78"/>
      <c r="C1450" s="189"/>
      <c r="D1450" s="185"/>
      <c r="E1450" s="186"/>
      <c r="F1450" s="187"/>
    </row>
    <row r="1451" spans="1:6" x14ac:dyDescent="0.2">
      <c r="A1451" s="275"/>
      <c r="B1451" s="78"/>
      <c r="C1451" s="189"/>
      <c r="D1451" s="185"/>
      <c r="E1451" s="186"/>
      <c r="F1451" s="187"/>
    </row>
    <row r="1452" spans="1:6" x14ac:dyDescent="0.2">
      <c r="A1452" s="275"/>
      <c r="B1452" s="78"/>
      <c r="C1452" s="189"/>
      <c r="D1452" s="185"/>
      <c r="E1452" s="186"/>
      <c r="F1452" s="187"/>
    </row>
    <row r="1453" spans="1:6" x14ac:dyDescent="0.2">
      <c r="A1453" s="275"/>
      <c r="B1453" s="78"/>
      <c r="C1453" s="189"/>
      <c r="D1453" s="185"/>
      <c r="E1453" s="186"/>
      <c r="F1453" s="187"/>
    </row>
    <row r="1454" spans="1:6" x14ac:dyDescent="0.2">
      <c r="A1454" s="275"/>
      <c r="B1454" s="78"/>
      <c r="C1454" s="189"/>
      <c r="D1454" s="185"/>
      <c r="E1454" s="186"/>
      <c r="F1454" s="187"/>
    </row>
    <row r="1455" spans="1:6" x14ac:dyDescent="0.2">
      <c r="A1455" s="275"/>
      <c r="B1455" s="78"/>
      <c r="C1455" s="189"/>
      <c r="D1455" s="185"/>
      <c r="E1455" s="186"/>
      <c r="F1455" s="187"/>
    </row>
    <row r="1456" spans="1:6" x14ac:dyDescent="0.2">
      <c r="A1456" s="275"/>
      <c r="B1456" s="78"/>
      <c r="C1456" s="189"/>
      <c r="D1456" s="185"/>
      <c r="E1456" s="186"/>
      <c r="F1456" s="187"/>
    </row>
    <row r="1457" spans="1:6" x14ac:dyDescent="0.2">
      <c r="A1457" s="275"/>
      <c r="B1457" s="78"/>
      <c r="C1457" s="189"/>
      <c r="D1457" s="185"/>
      <c r="E1457" s="186"/>
      <c r="F1457" s="187"/>
    </row>
    <row r="1458" spans="1:6" x14ac:dyDescent="0.2">
      <c r="A1458" s="275"/>
      <c r="B1458" s="78"/>
      <c r="C1458" s="189"/>
      <c r="D1458" s="185"/>
      <c r="E1458" s="186"/>
      <c r="F1458" s="187"/>
    </row>
    <row r="1459" spans="1:6" x14ac:dyDescent="0.2">
      <c r="A1459" s="275"/>
      <c r="B1459" s="78"/>
      <c r="C1459" s="189"/>
      <c r="D1459" s="185"/>
      <c r="E1459" s="186"/>
      <c r="F1459" s="187"/>
    </row>
    <row r="1460" spans="1:6" x14ac:dyDescent="0.2">
      <c r="A1460" s="275"/>
      <c r="B1460" s="78"/>
      <c r="C1460" s="189"/>
      <c r="D1460" s="185"/>
      <c r="E1460" s="186"/>
      <c r="F1460" s="187"/>
    </row>
    <row r="1461" spans="1:6" x14ac:dyDescent="0.2">
      <c r="A1461" s="275"/>
      <c r="B1461" s="78"/>
      <c r="C1461" s="189"/>
      <c r="D1461" s="185"/>
      <c r="E1461" s="186"/>
      <c r="F1461" s="187"/>
    </row>
    <row r="1462" spans="1:6" x14ac:dyDescent="0.2">
      <c r="A1462" s="275"/>
      <c r="B1462" s="78"/>
      <c r="C1462" s="189"/>
      <c r="D1462" s="185"/>
      <c r="E1462" s="186"/>
      <c r="F1462" s="187"/>
    </row>
    <row r="1463" spans="1:6" x14ac:dyDescent="0.2">
      <c r="A1463" s="275"/>
      <c r="B1463" s="78"/>
      <c r="C1463" s="189"/>
      <c r="D1463" s="185"/>
      <c r="E1463" s="186"/>
      <c r="F1463" s="187"/>
    </row>
    <row r="1464" spans="1:6" x14ac:dyDescent="0.2">
      <c r="A1464" s="275"/>
      <c r="B1464" s="78"/>
      <c r="C1464" s="189"/>
      <c r="D1464" s="185"/>
      <c r="E1464" s="186"/>
      <c r="F1464" s="187"/>
    </row>
    <row r="1465" spans="1:6" x14ac:dyDescent="0.2">
      <c r="A1465" s="275"/>
      <c r="B1465" s="78"/>
      <c r="C1465" s="189"/>
      <c r="D1465" s="185"/>
      <c r="E1465" s="186"/>
      <c r="F1465" s="187"/>
    </row>
    <row r="1466" spans="1:6" x14ac:dyDescent="0.2">
      <c r="A1466" s="275"/>
      <c r="B1466" s="78"/>
      <c r="C1466" s="189"/>
      <c r="D1466" s="185"/>
      <c r="E1466" s="186"/>
      <c r="F1466" s="187"/>
    </row>
    <row r="1467" spans="1:6" x14ac:dyDescent="0.2">
      <c r="A1467" s="275"/>
      <c r="B1467" s="78"/>
      <c r="C1467" s="189"/>
      <c r="D1467" s="185"/>
      <c r="E1467" s="186"/>
      <c r="F1467" s="187"/>
    </row>
    <row r="1468" spans="1:6" x14ac:dyDescent="0.2">
      <c r="A1468" s="275"/>
      <c r="B1468" s="78"/>
      <c r="C1468" s="189"/>
      <c r="D1468" s="185"/>
      <c r="E1468" s="186"/>
      <c r="F1468" s="187"/>
    </row>
    <row r="1469" spans="1:6" x14ac:dyDescent="0.2">
      <c r="A1469" s="275"/>
      <c r="B1469" s="78"/>
      <c r="C1469" s="189"/>
      <c r="D1469" s="185"/>
      <c r="E1469" s="186"/>
      <c r="F1469" s="187"/>
    </row>
    <row r="1470" spans="1:6" x14ac:dyDescent="0.2">
      <c r="A1470" s="275"/>
      <c r="B1470" s="78"/>
      <c r="C1470" s="189"/>
      <c r="D1470" s="185"/>
      <c r="E1470" s="186"/>
      <c r="F1470" s="187"/>
    </row>
    <row r="1471" spans="1:6" x14ac:dyDescent="0.2">
      <c r="A1471" s="275"/>
      <c r="B1471" s="78"/>
      <c r="C1471" s="189"/>
      <c r="D1471" s="185"/>
      <c r="E1471" s="186"/>
      <c r="F1471" s="187"/>
    </row>
    <row r="1472" spans="1:6" x14ac:dyDescent="0.2">
      <c r="A1472" s="275"/>
      <c r="B1472" s="78"/>
      <c r="C1472" s="189"/>
      <c r="D1472" s="185"/>
      <c r="E1472" s="186"/>
      <c r="F1472" s="187"/>
    </row>
    <row r="1473" spans="1:6" x14ac:dyDescent="0.2">
      <c r="A1473" s="275"/>
      <c r="B1473" s="78"/>
      <c r="C1473" s="189"/>
      <c r="D1473" s="185"/>
      <c r="E1473" s="186"/>
      <c r="F1473" s="187"/>
    </row>
    <row r="1474" spans="1:6" x14ac:dyDescent="0.2">
      <c r="A1474" s="275"/>
      <c r="B1474" s="78"/>
      <c r="C1474" s="189"/>
      <c r="D1474" s="185"/>
      <c r="E1474" s="186"/>
      <c r="F1474" s="187"/>
    </row>
    <row r="1475" spans="1:6" x14ac:dyDescent="0.2">
      <c r="A1475" s="275"/>
      <c r="B1475" s="78"/>
      <c r="C1475" s="189"/>
      <c r="D1475" s="185"/>
      <c r="E1475" s="186"/>
      <c r="F1475" s="187"/>
    </row>
    <row r="1476" spans="1:6" x14ac:dyDescent="0.2">
      <c r="A1476" s="275"/>
      <c r="B1476" s="78"/>
      <c r="C1476" s="189"/>
      <c r="D1476" s="185"/>
      <c r="E1476" s="186"/>
      <c r="F1476" s="187"/>
    </row>
    <row r="1477" spans="1:6" x14ac:dyDescent="0.2">
      <c r="A1477" s="275"/>
      <c r="B1477" s="78"/>
      <c r="C1477" s="189"/>
      <c r="D1477" s="185"/>
      <c r="E1477" s="186"/>
      <c r="F1477" s="187"/>
    </row>
    <row r="1478" spans="1:6" x14ac:dyDescent="0.2">
      <c r="A1478" s="275"/>
      <c r="B1478" s="78"/>
      <c r="C1478" s="189"/>
      <c r="D1478" s="185"/>
      <c r="E1478" s="186"/>
      <c r="F1478" s="187"/>
    </row>
    <row r="1479" spans="1:6" x14ac:dyDescent="0.2">
      <c r="A1479" s="275"/>
      <c r="B1479" s="78"/>
      <c r="C1479" s="189"/>
      <c r="D1479" s="185"/>
      <c r="E1479" s="186"/>
      <c r="F1479" s="187"/>
    </row>
    <row r="1480" spans="1:6" x14ac:dyDescent="0.2">
      <c r="A1480" s="275"/>
      <c r="B1480" s="78"/>
      <c r="C1480" s="189"/>
      <c r="D1480" s="185"/>
      <c r="E1480" s="186"/>
      <c r="F1480" s="187"/>
    </row>
    <row r="1481" spans="1:6" x14ac:dyDescent="0.2">
      <c r="A1481" s="275"/>
      <c r="B1481" s="78"/>
      <c r="C1481" s="189"/>
      <c r="D1481" s="185"/>
      <c r="E1481" s="186"/>
      <c r="F1481" s="187"/>
    </row>
    <row r="1482" spans="1:6" x14ac:dyDescent="0.2">
      <c r="A1482" s="275"/>
      <c r="B1482" s="78"/>
      <c r="C1482" s="189"/>
      <c r="D1482" s="185"/>
      <c r="E1482" s="186"/>
      <c r="F1482" s="187"/>
    </row>
    <row r="1483" spans="1:6" x14ac:dyDescent="0.2">
      <c r="A1483" s="275"/>
      <c r="B1483" s="78"/>
      <c r="C1483" s="189"/>
      <c r="D1483" s="185"/>
      <c r="E1483" s="186"/>
      <c r="F1483" s="187"/>
    </row>
    <row r="1484" spans="1:6" x14ac:dyDescent="0.2">
      <c r="A1484" s="275"/>
      <c r="B1484" s="78"/>
      <c r="C1484" s="189"/>
      <c r="D1484" s="185"/>
      <c r="E1484" s="186"/>
      <c r="F1484" s="187"/>
    </row>
    <row r="1485" spans="1:6" x14ac:dyDescent="0.2">
      <c r="A1485" s="275"/>
      <c r="B1485" s="78"/>
      <c r="C1485" s="189"/>
      <c r="D1485" s="185"/>
      <c r="E1485" s="186"/>
      <c r="F1485" s="187"/>
    </row>
    <row r="1486" spans="1:6" x14ac:dyDescent="0.2">
      <c r="A1486" s="275"/>
      <c r="B1486" s="78"/>
      <c r="C1486" s="189"/>
      <c r="D1486" s="185"/>
      <c r="E1486" s="186"/>
      <c r="F1486" s="187"/>
    </row>
    <row r="1487" spans="1:6" x14ac:dyDescent="0.2">
      <c r="A1487" s="275"/>
      <c r="B1487" s="78"/>
      <c r="C1487" s="189"/>
      <c r="D1487" s="185"/>
      <c r="E1487" s="186"/>
      <c r="F1487" s="187"/>
    </row>
    <row r="1488" spans="1:6" x14ac:dyDescent="0.2">
      <c r="A1488" s="275"/>
      <c r="B1488" s="78"/>
      <c r="C1488" s="189"/>
      <c r="D1488" s="185"/>
      <c r="E1488" s="186"/>
      <c r="F1488" s="187"/>
    </row>
    <row r="1489" spans="1:6" x14ac:dyDescent="0.2">
      <c r="A1489" s="275"/>
      <c r="B1489" s="78"/>
      <c r="C1489" s="189"/>
      <c r="D1489" s="185"/>
      <c r="E1489" s="186"/>
      <c r="F1489" s="187"/>
    </row>
    <row r="1490" spans="1:6" x14ac:dyDescent="0.2">
      <c r="A1490" s="275"/>
      <c r="B1490" s="78"/>
      <c r="C1490" s="189"/>
      <c r="D1490" s="185"/>
      <c r="E1490" s="186"/>
      <c r="F1490" s="187"/>
    </row>
    <row r="1491" spans="1:6" x14ac:dyDescent="0.2">
      <c r="A1491" s="275"/>
      <c r="B1491" s="78"/>
      <c r="C1491" s="189"/>
      <c r="D1491" s="185"/>
      <c r="E1491" s="186"/>
      <c r="F1491" s="187"/>
    </row>
    <row r="1492" spans="1:6" x14ac:dyDescent="0.2">
      <c r="A1492" s="275"/>
      <c r="B1492" s="78"/>
      <c r="C1492" s="189"/>
      <c r="D1492" s="185"/>
      <c r="E1492" s="186"/>
      <c r="F1492" s="187"/>
    </row>
    <row r="1493" spans="1:6" x14ac:dyDescent="0.2">
      <c r="A1493" s="275"/>
      <c r="B1493" s="78"/>
      <c r="C1493" s="189"/>
      <c r="D1493" s="185"/>
      <c r="E1493" s="186"/>
      <c r="F1493" s="187"/>
    </row>
    <row r="1494" spans="1:6" x14ac:dyDescent="0.2">
      <c r="A1494" s="275"/>
      <c r="B1494" s="78"/>
      <c r="C1494" s="189"/>
      <c r="D1494" s="185"/>
      <c r="E1494" s="186"/>
      <c r="F1494" s="187"/>
    </row>
    <row r="1495" spans="1:6" x14ac:dyDescent="0.2">
      <c r="A1495" s="275"/>
      <c r="B1495" s="78"/>
      <c r="C1495" s="189"/>
      <c r="D1495" s="185"/>
      <c r="E1495" s="186"/>
      <c r="F1495" s="187"/>
    </row>
    <row r="1496" spans="1:6" x14ac:dyDescent="0.2">
      <c r="A1496" s="275"/>
      <c r="B1496" s="78"/>
      <c r="C1496" s="189"/>
      <c r="D1496" s="185"/>
      <c r="E1496" s="186"/>
      <c r="F1496" s="187"/>
    </row>
    <row r="1497" spans="1:6" x14ac:dyDescent="0.2">
      <c r="A1497" s="275"/>
      <c r="B1497" s="78"/>
      <c r="C1497" s="189"/>
      <c r="D1497" s="185"/>
      <c r="E1497" s="186"/>
      <c r="F1497" s="187"/>
    </row>
    <row r="1498" spans="1:6" x14ac:dyDescent="0.2">
      <c r="A1498" s="275"/>
      <c r="B1498" s="78"/>
      <c r="C1498" s="189"/>
      <c r="D1498" s="185"/>
      <c r="E1498" s="186"/>
      <c r="F1498" s="187"/>
    </row>
    <row r="1499" spans="1:6" x14ac:dyDescent="0.2">
      <c r="A1499" s="275"/>
      <c r="B1499" s="78"/>
      <c r="C1499" s="189"/>
      <c r="D1499" s="185"/>
      <c r="E1499" s="186"/>
      <c r="F1499" s="187"/>
    </row>
    <row r="1500" spans="1:6" x14ac:dyDescent="0.2">
      <c r="A1500" s="275"/>
      <c r="B1500" s="78"/>
      <c r="C1500" s="189"/>
      <c r="D1500" s="185"/>
      <c r="E1500" s="186"/>
      <c r="F1500" s="187"/>
    </row>
    <row r="1501" spans="1:6" x14ac:dyDescent="0.2">
      <c r="A1501" s="275"/>
      <c r="B1501" s="78"/>
      <c r="C1501" s="189"/>
      <c r="D1501" s="185"/>
      <c r="E1501" s="186"/>
      <c r="F1501" s="187"/>
    </row>
    <row r="1502" spans="1:6" x14ac:dyDescent="0.2">
      <c r="A1502" s="275"/>
      <c r="B1502" s="78"/>
      <c r="C1502" s="189"/>
      <c r="D1502" s="185"/>
      <c r="E1502" s="186"/>
      <c r="F1502" s="187"/>
    </row>
    <row r="1503" spans="1:6" x14ac:dyDescent="0.2">
      <c r="A1503" s="275"/>
      <c r="B1503" s="78"/>
      <c r="C1503" s="189"/>
      <c r="D1503" s="185"/>
      <c r="E1503" s="186"/>
      <c r="F1503" s="187"/>
    </row>
    <row r="1504" spans="1:6" x14ac:dyDescent="0.2">
      <c r="A1504" s="275"/>
      <c r="B1504" s="78"/>
      <c r="C1504" s="189"/>
      <c r="D1504" s="185"/>
      <c r="E1504" s="186"/>
      <c r="F1504" s="187"/>
    </row>
    <row r="1505" spans="1:6" x14ac:dyDescent="0.2">
      <c r="A1505" s="275"/>
      <c r="B1505" s="78"/>
      <c r="C1505" s="189"/>
      <c r="D1505" s="185"/>
      <c r="E1505" s="186"/>
      <c r="F1505" s="187"/>
    </row>
    <row r="1506" spans="1:6" x14ac:dyDescent="0.2">
      <c r="A1506" s="275"/>
      <c r="B1506" s="78"/>
      <c r="C1506" s="189"/>
      <c r="D1506" s="185"/>
      <c r="E1506" s="186"/>
      <c r="F1506" s="187"/>
    </row>
    <row r="1507" spans="1:6" x14ac:dyDescent="0.2">
      <c r="A1507" s="275"/>
      <c r="B1507" s="78"/>
      <c r="C1507" s="189"/>
      <c r="D1507" s="185"/>
      <c r="E1507" s="186"/>
      <c r="F1507" s="187"/>
    </row>
    <row r="1508" spans="1:6" x14ac:dyDescent="0.2">
      <c r="A1508" s="275"/>
      <c r="B1508" s="78"/>
      <c r="C1508" s="189"/>
      <c r="D1508" s="185"/>
      <c r="E1508" s="186"/>
      <c r="F1508" s="187"/>
    </row>
    <row r="1509" spans="1:6" x14ac:dyDescent="0.2">
      <c r="A1509" s="275"/>
      <c r="B1509" s="78"/>
      <c r="C1509" s="189"/>
      <c r="D1509" s="185"/>
      <c r="E1509" s="186"/>
      <c r="F1509" s="187"/>
    </row>
    <row r="1510" spans="1:6" x14ac:dyDescent="0.2">
      <c r="A1510" s="275"/>
      <c r="B1510" s="78"/>
      <c r="C1510" s="189"/>
      <c r="D1510" s="185"/>
      <c r="E1510" s="186"/>
      <c r="F1510" s="187"/>
    </row>
    <row r="1511" spans="1:6" x14ac:dyDescent="0.2">
      <c r="A1511" s="275"/>
      <c r="B1511" s="78"/>
      <c r="C1511" s="189"/>
      <c r="D1511" s="185"/>
      <c r="E1511" s="186"/>
      <c r="F1511" s="187"/>
    </row>
    <row r="1512" spans="1:6" x14ac:dyDescent="0.2">
      <c r="A1512" s="275"/>
      <c r="B1512" s="78"/>
      <c r="C1512" s="189"/>
      <c r="D1512" s="185"/>
      <c r="E1512" s="186"/>
      <c r="F1512" s="187"/>
    </row>
    <row r="1513" spans="1:6" x14ac:dyDescent="0.2">
      <c r="A1513" s="275"/>
      <c r="B1513" s="78"/>
      <c r="C1513" s="189"/>
      <c r="D1513" s="185"/>
      <c r="E1513" s="186"/>
      <c r="F1513" s="187"/>
    </row>
    <row r="1514" spans="1:6" x14ac:dyDescent="0.2">
      <c r="A1514" s="275"/>
      <c r="B1514" s="78"/>
      <c r="C1514" s="189"/>
      <c r="D1514" s="185"/>
      <c r="E1514" s="186"/>
      <c r="F1514" s="187"/>
    </row>
    <row r="1515" spans="1:6" x14ac:dyDescent="0.2">
      <c r="A1515" s="275"/>
      <c r="B1515" s="78"/>
      <c r="C1515" s="189"/>
      <c r="D1515" s="185"/>
      <c r="E1515" s="186"/>
      <c r="F1515" s="187"/>
    </row>
    <row r="1516" spans="1:6" x14ac:dyDescent="0.2">
      <c r="A1516" s="275"/>
      <c r="B1516" s="78"/>
      <c r="C1516" s="189"/>
      <c r="D1516" s="185"/>
      <c r="E1516" s="186"/>
      <c r="F1516" s="187"/>
    </row>
    <row r="1517" spans="1:6" x14ac:dyDescent="0.2">
      <c r="A1517" s="275"/>
      <c r="B1517" s="78"/>
      <c r="C1517" s="189"/>
      <c r="D1517" s="185"/>
      <c r="E1517" s="186"/>
      <c r="F1517" s="187"/>
    </row>
    <row r="1518" spans="1:6" x14ac:dyDescent="0.2">
      <c r="A1518" s="275"/>
      <c r="B1518" s="78"/>
      <c r="C1518" s="189"/>
      <c r="D1518" s="185"/>
      <c r="E1518" s="186"/>
      <c r="F1518" s="187"/>
    </row>
    <row r="1519" spans="1:6" x14ac:dyDescent="0.2">
      <c r="A1519" s="275"/>
      <c r="B1519" s="78"/>
      <c r="C1519" s="189"/>
      <c r="D1519" s="185"/>
      <c r="E1519" s="186"/>
      <c r="F1519" s="187"/>
    </row>
    <row r="1520" spans="1:6" x14ac:dyDescent="0.2">
      <c r="A1520" s="275"/>
      <c r="B1520" s="78"/>
      <c r="C1520" s="189"/>
      <c r="D1520" s="185"/>
      <c r="E1520" s="186"/>
      <c r="F1520" s="187"/>
    </row>
    <row r="1521" spans="1:6" x14ac:dyDescent="0.2">
      <c r="A1521" s="275"/>
      <c r="B1521" s="78"/>
      <c r="C1521" s="189"/>
      <c r="D1521" s="185"/>
      <c r="E1521" s="186"/>
      <c r="F1521" s="187"/>
    </row>
    <row r="1522" spans="1:6" x14ac:dyDescent="0.2">
      <c r="A1522" s="275"/>
      <c r="B1522" s="78"/>
      <c r="C1522" s="189"/>
      <c r="D1522" s="185"/>
      <c r="E1522" s="186"/>
      <c r="F1522" s="187"/>
    </row>
    <row r="1523" spans="1:6" x14ac:dyDescent="0.2">
      <c r="A1523" s="275"/>
      <c r="B1523" s="78"/>
      <c r="C1523" s="189"/>
      <c r="D1523" s="185"/>
      <c r="E1523" s="186"/>
      <c r="F1523" s="187"/>
    </row>
    <row r="1524" spans="1:6" x14ac:dyDescent="0.2">
      <c r="A1524" s="275"/>
      <c r="B1524" s="78"/>
      <c r="C1524" s="189"/>
      <c r="D1524" s="185"/>
      <c r="E1524" s="186"/>
      <c r="F1524" s="187"/>
    </row>
    <row r="1525" spans="1:6" x14ac:dyDescent="0.2">
      <c r="A1525" s="275"/>
      <c r="B1525" s="78"/>
      <c r="C1525" s="189"/>
      <c r="D1525" s="185"/>
      <c r="E1525" s="186"/>
      <c r="F1525" s="187"/>
    </row>
    <row r="1526" spans="1:6" x14ac:dyDescent="0.2">
      <c r="A1526" s="275"/>
      <c r="B1526" s="78"/>
      <c r="C1526" s="189"/>
      <c r="D1526" s="185"/>
      <c r="E1526" s="186"/>
      <c r="F1526" s="187"/>
    </row>
    <row r="1527" spans="1:6" x14ac:dyDescent="0.2">
      <c r="A1527" s="275"/>
      <c r="B1527" s="78"/>
      <c r="C1527" s="189"/>
      <c r="D1527" s="185"/>
      <c r="E1527" s="186"/>
      <c r="F1527" s="187"/>
    </row>
    <row r="1528" spans="1:6" x14ac:dyDescent="0.2">
      <c r="A1528" s="275"/>
      <c r="B1528" s="78"/>
      <c r="C1528" s="189"/>
      <c r="D1528" s="185"/>
      <c r="E1528" s="186"/>
      <c r="F1528" s="187"/>
    </row>
    <row r="1529" spans="1:6" x14ac:dyDescent="0.2">
      <c r="A1529" s="275"/>
      <c r="B1529" s="78"/>
      <c r="C1529" s="189"/>
      <c r="D1529" s="185"/>
      <c r="E1529" s="186"/>
      <c r="F1529" s="187"/>
    </row>
    <row r="1530" spans="1:6" x14ac:dyDescent="0.2">
      <c r="A1530" s="275"/>
      <c r="B1530" s="78"/>
      <c r="C1530" s="189"/>
      <c r="D1530" s="185"/>
      <c r="E1530" s="186"/>
      <c r="F1530" s="187"/>
    </row>
    <row r="1531" spans="1:6" x14ac:dyDescent="0.2">
      <c r="A1531" s="275"/>
      <c r="B1531" s="78"/>
      <c r="C1531" s="189"/>
      <c r="D1531" s="185"/>
      <c r="E1531" s="186"/>
      <c r="F1531" s="187"/>
    </row>
    <row r="1532" spans="1:6" x14ac:dyDescent="0.2">
      <c r="A1532" s="275"/>
      <c r="B1532" s="78"/>
      <c r="C1532" s="189"/>
      <c r="D1532" s="185"/>
      <c r="E1532" s="186"/>
      <c r="F1532" s="187"/>
    </row>
    <row r="1533" spans="1:6" x14ac:dyDescent="0.2">
      <c r="A1533" s="275"/>
      <c r="B1533" s="78"/>
      <c r="C1533" s="189"/>
      <c r="D1533" s="185"/>
      <c r="E1533" s="186"/>
      <c r="F1533" s="187"/>
    </row>
    <row r="1534" spans="1:6" x14ac:dyDescent="0.2">
      <c r="A1534" s="275"/>
      <c r="B1534" s="78"/>
      <c r="C1534" s="189"/>
      <c r="D1534" s="185"/>
      <c r="E1534" s="186"/>
      <c r="F1534" s="187"/>
    </row>
    <row r="1535" spans="1:6" x14ac:dyDescent="0.2">
      <c r="A1535" s="275"/>
      <c r="B1535" s="78"/>
      <c r="C1535" s="189"/>
      <c r="D1535" s="185"/>
      <c r="E1535" s="186"/>
      <c r="F1535" s="187"/>
    </row>
    <row r="1536" spans="1:6" x14ac:dyDescent="0.2">
      <c r="A1536" s="275"/>
      <c r="B1536" s="78"/>
      <c r="C1536" s="189"/>
      <c r="D1536" s="185"/>
      <c r="E1536" s="186"/>
      <c r="F1536" s="187"/>
    </row>
    <row r="1537" spans="1:6" x14ac:dyDescent="0.2">
      <c r="A1537" s="275"/>
      <c r="B1537" s="78"/>
      <c r="C1537" s="189"/>
      <c r="D1537" s="185"/>
      <c r="E1537" s="186"/>
      <c r="F1537" s="187"/>
    </row>
    <row r="1538" spans="1:6" x14ac:dyDescent="0.2">
      <c r="A1538" s="275"/>
      <c r="B1538" s="78"/>
      <c r="C1538" s="189"/>
      <c r="D1538" s="185"/>
      <c r="E1538" s="186"/>
      <c r="F1538" s="187"/>
    </row>
    <row r="1539" spans="1:6" x14ac:dyDescent="0.2">
      <c r="A1539" s="275"/>
      <c r="B1539" s="78"/>
      <c r="C1539" s="189"/>
      <c r="D1539" s="185"/>
      <c r="E1539" s="186"/>
      <c r="F1539" s="187"/>
    </row>
    <row r="1540" spans="1:6" x14ac:dyDescent="0.2">
      <c r="A1540" s="275"/>
      <c r="B1540" s="78"/>
      <c r="C1540" s="189"/>
      <c r="D1540" s="185"/>
      <c r="E1540" s="186"/>
      <c r="F1540" s="187"/>
    </row>
    <row r="1541" spans="1:6" x14ac:dyDescent="0.2">
      <c r="A1541" s="275"/>
      <c r="B1541" s="78"/>
      <c r="C1541" s="189"/>
      <c r="D1541" s="185"/>
      <c r="E1541" s="186"/>
      <c r="F1541" s="187"/>
    </row>
    <row r="1542" spans="1:6" x14ac:dyDescent="0.2">
      <c r="A1542" s="275"/>
      <c r="B1542" s="78"/>
      <c r="C1542" s="189"/>
      <c r="D1542" s="185"/>
      <c r="E1542" s="186"/>
      <c r="F1542" s="187"/>
    </row>
    <row r="1543" spans="1:6" x14ac:dyDescent="0.2">
      <c r="A1543" s="275"/>
      <c r="B1543" s="78"/>
      <c r="C1543" s="189"/>
      <c r="D1543" s="185"/>
      <c r="E1543" s="186"/>
      <c r="F1543" s="187"/>
    </row>
    <row r="1544" spans="1:6" x14ac:dyDescent="0.2">
      <c r="A1544" s="275"/>
      <c r="B1544" s="78"/>
      <c r="C1544" s="189"/>
      <c r="D1544" s="185"/>
      <c r="E1544" s="186"/>
      <c r="F1544" s="187"/>
    </row>
    <row r="1545" spans="1:6" x14ac:dyDescent="0.2">
      <c r="A1545" s="275"/>
      <c r="B1545" s="78"/>
      <c r="C1545" s="189"/>
      <c r="D1545" s="185"/>
      <c r="E1545" s="186"/>
      <c r="F1545" s="187"/>
    </row>
    <row r="1546" spans="1:6" x14ac:dyDescent="0.2">
      <c r="A1546" s="275"/>
      <c r="B1546" s="78"/>
      <c r="C1546" s="189"/>
      <c r="D1546" s="185"/>
      <c r="E1546" s="186"/>
      <c r="F1546" s="187"/>
    </row>
    <row r="1547" spans="1:6" x14ac:dyDescent="0.2">
      <c r="A1547" s="275"/>
      <c r="B1547" s="78"/>
      <c r="C1547" s="189"/>
      <c r="D1547" s="185"/>
      <c r="E1547" s="186"/>
      <c r="F1547" s="187"/>
    </row>
    <row r="1548" spans="1:6" x14ac:dyDescent="0.2">
      <c r="A1548" s="275"/>
      <c r="B1548" s="78"/>
      <c r="C1548" s="189"/>
      <c r="D1548" s="185"/>
      <c r="E1548" s="186"/>
      <c r="F1548" s="187"/>
    </row>
    <row r="1549" spans="1:6" x14ac:dyDescent="0.2">
      <c r="A1549" s="275"/>
      <c r="B1549" s="78"/>
      <c r="C1549" s="189"/>
      <c r="D1549" s="185"/>
      <c r="E1549" s="186"/>
      <c r="F1549" s="187"/>
    </row>
    <row r="1550" spans="1:6" x14ac:dyDescent="0.2">
      <c r="A1550" s="275"/>
      <c r="B1550" s="78"/>
      <c r="C1550" s="189"/>
      <c r="D1550" s="185"/>
      <c r="E1550" s="186"/>
      <c r="F1550" s="187"/>
    </row>
    <row r="1551" spans="1:6" x14ac:dyDescent="0.2">
      <c r="A1551" s="275"/>
      <c r="B1551" s="78"/>
      <c r="C1551" s="189"/>
      <c r="D1551" s="185"/>
      <c r="E1551" s="186"/>
      <c r="F1551" s="187"/>
    </row>
    <row r="1552" spans="1:6" x14ac:dyDescent="0.2">
      <c r="A1552" s="275"/>
      <c r="B1552" s="78"/>
      <c r="C1552" s="189"/>
      <c r="D1552" s="185"/>
      <c r="E1552" s="186"/>
      <c r="F1552" s="187"/>
    </row>
    <row r="1553" spans="1:6" x14ac:dyDescent="0.2">
      <c r="A1553" s="275"/>
      <c r="B1553" s="78"/>
      <c r="C1553" s="189"/>
      <c r="D1553" s="185"/>
      <c r="E1553" s="186"/>
      <c r="F1553" s="187"/>
    </row>
    <row r="1554" spans="1:6" x14ac:dyDescent="0.2">
      <c r="A1554" s="275"/>
      <c r="B1554" s="78"/>
      <c r="C1554" s="189"/>
      <c r="D1554" s="185"/>
      <c r="E1554" s="186"/>
      <c r="F1554" s="187"/>
    </row>
    <row r="1555" spans="1:6" x14ac:dyDescent="0.2">
      <c r="A1555" s="275"/>
      <c r="B1555" s="78"/>
      <c r="C1555" s="189"/>
      <c r="D1555" s="185"/>
      <c r="E1555" s="186"/>
      <c r="F1555" s="187"/>
    </row>
    <row r="1556" spans="1:6" x14ac:dyDescent="0.2">
      <c r="A1556" s="275"/>
      <c r="B1556" s="78"/>
      <c r="C1556" s="189"/>
      <c r="D1556" s="185"/>
      <c r="E1556" s="186"/>
      <c r="F1556" s="187"/>
    </row>
    <row r="1557" spans="1:6" x14ac:dyDescent="0.2">
      <c r="A1557" s="275"/>
      <c r="B1557" s="78"/>
      <c r="C1557" s="189"/>
      <c r="D1557" s="185"/>
      <c r="E1557" s="186"/>
      <c r="F1557" s="187"/>
    </row>
    <row r="1558" spans="1:6" x14ac:dyDescent="0.2">
      <c r="A1558" s="275"/>
      <c r="B1558" s="78"/>
      <c r="C1558" s="189"/>
      <c r="D1558" s="185"/>
      <c r="E1558" s="186"/>
      <c r="F1558" s="187"/>
    </row>
    <row r="1559" spans="1:6" x14ac:dyDescent="0.2">
      <c r="A1559" s="275"/>
      <c r="B1559" s="78"/>
      <c r="C1559" s="189"/>
      <c r="D1559" s="185"/>
      <c r="E1559" s="186"/>
      <c r="F1559" s="187"/>
    </row>
    <row r="1560" spans="1:6" x14ac:dyDescent="0.2">
      <c r="A1560" s="275"/>
      <c r="B1560" s="78"/>
      <c r="C1560" s="189"/>
      <c r="D1560" s="185"/>
      <c r="E1560" s="186"/>
      <c r="F1560" s="187"/>
    </row>
    <row r="1561" spans="1:6" x14ac:dyDescent="0.2">
      <c r="A1561" s="275"/>
      <c r="B1561" s="78"/>
      <c r="C1561" s="189"/>
      <c r="D1561" s="185"/>
      <c r="E1561" s="186"/>
      <c r="F1561" s="187"/>
    </row>
    <row r="1562" spans="1:6" x14ac:dyDescent="0.2">
      <c r="A1562" s="275"/>
      <c r="B1562" s="78"/>
      <c r="C1562" s="189"/>
      <c r="D1562" s="185"/>
      <c r="E1562" s="186"/>
      <c r="F1562" s="187"/>
    </row>
    <row r="1563" spans="1:6" x14ac:dyDescent="0.2">
      <c r="A1563" s="275"/>
      <c r="B1563" s="78"/>
      <c r="C1563" s="189"/>
      <c r="D1563" s="185"/>
      <c r="E1563" s="186"/>
      <c r="F1563" s="187"/>
    </row>
    <row r="1564" spans="1:6" x14ac:dyDescent="0.2">
      <c r="A1564" s="275"/>
      <c r="B1564" s="78"/>
      <c r="C1564" s="189"/>
      <c r="D1564" s="185"/>
      <c r="E1564" s="186"/>
      <c r="F1564" s="187"/>
    </row>
    <row r="1565" spans="1:6" x14ac:dyDescent="0.2">
      <c r="A1565" s="275"/>
      <c r="B1565" s="78"/>
      <c r="C1565" s="189"/>
      <c r="D1565" s="185"/>
      <c r="E1565" s="186"/>
      <c r="F1565" s="187"/>
    </row>
    <row r="1566" spans="1:6" x14ac:dyDescent="0.2">
      <c r="A1566" s="275"/>
      <c r="B1566" s="78"/>
      <c r="C1566" s="189"/>
      <c r="D1566" s="185"/>
      <c r="E1566" s="186"/>
      <c r="F1566" s="187"/>
    </row>
    <row r="1567" spans="1:6" x14ac:dyDescent="0.2">
      <c r="A1567" s="275"/>
      <c r="B1567" s="78"/>
      <c r="C1567" s="189"/>
      <c r="D1567" s="185"/>
      <c r="E1567" s="186"/>
      <c r="F1567" s="187"/>
    </row>
    <row r="1568" spans="1:6" x14ac:dyDescent="0.2">
      <c r="A1568" s="275"/>
      <c r="B1568" s="78"/>
      <c r="C1568" s="189"/>
      <c r="D1568" s="185"/>
      <c r="E1568" s="186"/>
      <c r="F1568" s="187"/>
    </row>
    <row r="1569" spans="1:6" x14ac:dyDescent="0.2">
      <c r="A1569" s="275"/>
      <c r="B1569" s="78"/>
      <c r="C1569" s="189"/>
      <c r="D1569" s="185"/>
      <c r="E1569" s="186"/>
      <c r="F1569" s="187"/>
    </row>
    <row r="1570" spans="1:6" x14ac:dyDescent="0.2">
      <c r="A1570" s="275"/>
      <c r="B1570" s="78"/>
      <c r="C1570" s="189"/>
      <c r="D1570" s="185"/>
      <c r="E1570" s="186"/>
      <c r="F1570" s="187"/>
    </row>
    <row r="1571" spans="1:6" x14ac:dyDescent="0.2">
      <c r="A1571" s="275"/>
      <c r="B1571" s="78"/>
      <c r="C1571" s="189"/>
      <c r="D1571" s="185"/>
      <c r="E1571" s="186"/>
      <c r="F1571" s="187"/>
    </row>
    <row r="1572" spans="1:6" x14ac:dyDescent="0.2">
      <c r="A1572" s="275"/>
      <c r="B1572" s="78"/>
      <c r="C1572" s="189"/>
      <c r="D1572" s="185"/>
      <c r="E1572" s="186"/>
      <c r="F1572" s="187"/>
    </row>
    <row r="1573" spans="1:6" x14ac:dyDescent="0.2">
      <c r="A1573" s="275"/>
      <c r="B1573" s="78"/>
      <c r="C1573" s="189"/>
      <c r="D1573" s="185"/>
      <c r="E1573" s="186"/>
      <c r="F1573" s="187"/>
    </row>
    <row r="1574" spans="1:6" x14ac:dyDescent="0.2">
      <c r="A1574" s="275"/>
      <c r="B1574" s="78"/>
      <c r="C1574" s="189"/>
      <c r="D1574" s="185"/>
      <c r="E1574" s="186"/>
      <c r="F1574" s="187"/>
    </row>
    <row r="1575" spans="1:6" x14ac:dyDescent="0.2">
      <c r="A1575" s="275"/>
      <c r="B1575" s="78"/>
      <c r="C1575" s="189"/>
      <c r="D1575" s="185"/>
      <c r="E1575" s="186"/>
      <c r="F1575" s="187"/>
    </row>
    <row r="1576" spans="1:6" x14ac:dyDescent="0.2">
      <c r="A1576" s="275"/>
      <c r="B1576" s="78"/>
      <c r="C1576" s="189"/>
      <c r="D1576" s="185"/>
      <c r="E1576" s="186"/>
      <c r="F1576" s="187"/>
    </row>
    <row r="1577" spans="1:6" x14ac:dyDescent="0.2">
      <c r="A1577" s="275"/>
      <c r="B1577" s="78"/>
      <c r="C1577" s="189"/>
      <c r="D1577" s="185"/>
      <c r="E1577" s="186"/>
      <c r="F1577" s="187"/>
    </row>
    <row r="1578" spans="1:6" x14ac:dyDescent="0.2">
      <c r="A1578" s="275"/>
      <c r="B1578" s="78"/>
      <c r="C1578" s="189"/>
      <c r="D1578" s="185"/>
      <c r="E1578" s="186"/>
      <c r="F1578" s="187"/>
    </row>
    <row r="1579" spans="1:6" x14ac:dyDescent="0.2">
      <c r="A1579" s="275"/>
      <c r="B1579" s="78"/>
      <c r="C1579" s="189"/>
      <c r="D1579" s="185"/>
      <c r="E1579" s="186"/>
      <c r="F1579" s="187"/>
    </row>
    <row r="1580" spans="1:6" x14ac:dyDescent="0.2">
      <c r="A1580" s="275"/>
      <c r="B1580" s="78"/>
      <c r="C1580" s="189"/>
      <c r="D1580" s="185"/>
      <c r="E1580" s="186"/>
      <c r="F1580" s="187"/>
    </row>
    <row r="1581" spans="1:6" x14ac:dyDescent="0.2">
      <c r="A1581" s="275"/>
      <c r="B1581" s="78"/>
      <c r="C1581" s="189"/>
      <c r="D1581" s="185"/>
      <c r="E1581" s="186"/>
      <c r="F1581" s="187"/>
    </row>
    <row r="1582" spans="1:6" x14ac:dyDescent="0.2">
      <c r="A1582" s="275"/>
      <c r="B1582" s="78"/>
      <c r="C1582" s="189"/>
      <c r="D1582" s="185"/>
      <c r="E1582" s="186"/>
      <c r="F1582" s="187"/>
    </row>
    <row r="1583" spans="1:6" x14ac:dyDescent="0.2">
      <c r="A1583" s="275"/>
      <c r="B1583" s="78"/>
      <c r="C1583" s="189"/>
      <c r="D1583" s="185"/>
      <c r="E1583" s="186"/>
      <c r="F1583" s="187"/>
    </row>
    <row r="1584" spans="1:6" x14ac:dyDescent="0.2">
      <c r="A1584" s="275"/>
      <c r="B1584" s="78"/>
      <c r="C1584" s="189"/>
      <c r="D1584" s="185"/>
      <c r="E1584" s="186"/>
      <c r="F1584" s="187"/>
    </row>
    <row r="1585" spans="1:6" x14ac:dyDescent="0.2">
      <c r="A1585" s="275"/>
      <c r="B1585" s="78"/>
      <c r="C1585" s="189"/>
      <c r="D1585" s="185"/>
      <c r="E1585" s="186"/>
      <c r="F1585" s="187"/>
    </row>
    <row r="1586" spans="1:6" x14ac:dyDescent="0.2">
      <c r="A1586" s="275"/>
      <c r="B1586" s="78"/>
      <c r="C1586" s="189"/>
      <c r="D1586" s="185"/>
      <c r="E1586" s="186"/>
      <c r="F1586" s="187"/>
    </row>
    <row r="1587" spans="1:6" x14ac:dyDescent="0.2">
      <c r="A1587" s="275"/>
      <c r="B1587" s="78"/>
      <c r="C1587" s="189"/>
      <c r="D1587" s="185"/>
      <c r="E1587" s="186"/>
      <c r="F1587" s="187"/>
    </row>
    <row r="1588" spans="1:6" x14ac:dyDescent="0.2">
      <c r="A1588" s="275"/>
      <c r="B1588" s="78"/>
      <c r="C1588" s="189"/>
      <c r="D1588" s="185"/>
      <c r="E1588" s="186"/>
      <c r="F1588" s="187"/>
    </row>
    <row r="1589" spans="1:6" x14ac:dyDescent="0.2">
      <c r="A1589" s="275"/>
      <c r="B1589" s="78"/>
      <c r="C1589" s="189"/>
      <c r="D1589" s="185"/>
      <c r="E1589" s="186"/>
      <c r="F1589" s="187"/>
    </row>
    <row r="1590" spans="1:6" x14ac:dyDescent="0.2">
      <c r="A1590" s="275"/>
      <c r="B1590" s="78"/>
      <c r="C1590" s="189"/>
      <c r="D1590" s="185"/>
      <c r="E1590" s="186"/>
      <c r="F1590" s="187"/>
    </row>
    <row r="1591" spans="1:6" x14ac:dyDescent="0.2">
      <c r="A1591" s="275"/>
      <c r="B1591" s="78"/>
      <c r="C1591" s="189"/>
      <c r="D1591" s="185"/>
      <c r="E1591" s="186"/>
      <c r="F1591" s="187"/>
    </row>
    <row r="1592" spans="1:6" x14ac:dyDescent="0.2">
      <c r="A1592" s="275"/>
      <c r="B1592" s="78"/>
      <c r="C1592" s="189"/>
      <c r="D1592" s="185"/>
      <c r="E1592" s="186"/>
      <c r="F1592" s="187"/>
    </row>
    <row r="1593" spans="1:6" x14ac:dyDescent="0.2">
      <c r="A1593" s="275"/>
      <c r="B1593" s="78"/>
      <c r="C1593" s="189"/>
      <c r="D1593" s="185"/>
      <c r="E1593" s="186"/>
      <c r="F1593" s="187"/>
    </row>
    <row r="1594" spans="1:6" x14ac:dyDescent="0.2">
      <c r="A1594" s="275"/>
      <c r="B1594" s="78"/>
      <c r="C1594" s="189"/>
      <c r="D1594" s="185"/>
      <c r="E1594" s="186"/>
      <c r="F1594" s="187"/>
    </row>
    <row r="1595" spans="1:6" x14ac:dyDescent="0.2">
      <c r="A1595" s="275"/>
      <c r="B1595" s="78"/>
      <c r="C1595" s="189"/>
      <c r="D1595" s="185"/>
      <c r="E1595" s="186"/>
      <c r="F1595" s="187"/>
    </row>
    <row r="1596" spans="1:6" x14ac:dyDescent="0.2">
      <c r="A1596" s="275"/>
      <c r="B1596" s="78"/>
      <c r="C1596" s="189"/>
      <c r="D1596" s="185"/>
      <c r="E1596" s="186"/>
      <c r="F1596" s="187"/>
    </row>
    <row r="1597" spans="1:6" x14ac:dyDescent="0.2">
      <c r="A1597" s="275"/>
      <c r="B1597" s="78"/>
      <c r="C1597" s="189"/>
      <c r="D1597" s="185"/>
      <c r="E1597" s="186"/>
      <c r="F1597" s="187"/>
    </row>
    <row r="1598" spans="1:6" x14ac:dyDescent="0.2">
      <c r="A1598" s="275"/>
      <c r="B1598" s="78"/>
      <c r="C1598" s="189"/>
      <c r="D1598" s="185"/>
      <c r="E1598" s="186"/>
      <c r="F1598" s="187"/>
    </row>
    <row r="1599" spans="1:6" x14ac:dyDescent="0.2">
      <c r="A1599" s="275"/>
      <c r="B1599" s="78"/>
      <c r="C1599" s="189"/>
      <c r="D1599" s="185"/>
      <c r="E1599" s="186"/>
      <c r="F1599" s="187"/>
    </row>
    <row r="1600" spans="1:6" x14ac:dyDescent="0.2">
      <c r="A1600" s="275"/>
      <c r="B1600" s="78"/>
      <c r="C1600" s="189"/>
      <c r="D1600" s="185"/>
      <c r="E1600" s="186"/>
      <c r="F1600" s="187"/>
    </row>
    <row r="1601" spans="1:6" x14ac:dyDescent="0.2">
      <c r="A1601" s="275"/>
      <c r="B1601" s="78"/>
      <c r="C1601" s="189"/>
      <c r="D1601" s="185"/>
      <c r="E1601" s="186"/>
      <c r="F1601" s="187"/>
    </row>
    <row r="1602" spans="1:6" x14ac:dyDescent="0.2">
      <c r="A1602" s="275"/>
      <c r="B1602" s="78"/>
      <c r="C1602" s="189"/>
      <c r="D1602" s="185"/>
      <c r="E1602" s="186"/>
      <c r="F1602" s="187"/>
    </row>
    <row r="1603" spans="1:6" x14ac:dyDescent="0.2">
      <c r="A1603" s="275"/>
      <c r="B1603" s="78"/>
      <c r="C1603" s="189"/>
      <c r="D1603" s="185"/>
      <c r="E1603" s="186"/>
      <c r="F1603" s="187"/>
    </row>
    <row r="1604" spans="1:6" x14ac:dyDescent="0.2">
      <c r="A1604" s="275"/>
      <c r="B1604" s="78"/>
      <c r="C1604" s="189"/>
      <c r="D1604" s="185"/>
      <c r="E1604" s="186"/>
      <c r="F1604" s="187"/>
    </row>
    <row r="1605" spans="1:6" x14ac:dyDescent="0.2">
      <c r="A1605" s="275"/>
      <c r="B1605" s="78"/>
      <c r="C1605" s="189"/>
      <c r="D1605" s="185"/>
      <c r="E1605" s="186"/>
      <c r="F1605" s="187"/>
    </row>
    <row r="1606" spans="1:6" x14ac:dyDescent="0.2">
      <c r="A1606" s="275"/>
      <c r="B1606" s="78"/>
      <c r="C1606" s="189"/>
      <c r="D1606" s="185"/>
      <c r="E1606" s="186"/>
      <c r="F1606" s="187"/>
    </row>
    <row r="1607" spans="1:6" x14ac:dyDescent="0.2">
      <c r="A1607" s="275"/>
      <c r="B1607" s="78"/>
      <c r="C1607" s="189"/>
      <c r="D1607" s="185"/>
      <c r="E1607" s="186"/>
      <c r="F1607" s="187"/>
    </row>
    <row r="1608" spans="1:6" x14ac:dyDescent="0.2">
      <c r="A1608" s="275"/>
      <c r="B1608" s="78"/>
      <c r="C1608" s="189"/>
      <c r="D1608" s="185"/>
      <c r="E1608" s="186"/>
      <c r="F1608" s="187"/>
    </row>
    <row r="1609" spans="1:6" x14ac:dyDescent="0.2">
      <c r="A1609" s="275"/>
      <c r="B1609" s="78"/>
      <c r="C1609" s="189"/>
      <c r="D1609" s="185"/>
      <c r="E1609" s="186"/>
      <c r="F1609" s="187"/>
    </row>
    <row r="1610" spans="1:6" x14ac:dyDescent="0.2">
      <c r="A1610" s="275"/>
      <c r="B1610" s="78"/>
      <c r="C1610" s="189"/>
      <c r="D1610" s="185"/>
      <c r="E1610" s="186"/>
      <c r="F1610" s="187"/>
    </row>
    <row r="1611" spans="1:6" x14ac:dyDescent="0.2">
      <c r="A1611" s="275"/>
      <c r="B1611" s="78"/>
      <c r="C1611" s="189"/>
      <c r="D1611" s="185"/>
      <c r="E1611" s="186"/>
      <c r="F1611" s="187"/>
    </row>
    <row r="1612" spans="1:6" x14ac:dyDescent="0.2">
      <c r="A1612" s="275"/>
      <c r="B1612" s="78"/>
      <c r="C1612" s="189"/>
      <c r="D1612" s="185"/>
      <c r="E1612" s="186"/>
      <c r="F1612" s="187"/>
    </row>
    <row r="1613" spans="1:6" x14ac:dyDescent="0.2">
      <c r="A1613" s="275"/>
      <c r="B1613" s="78"/>
      <c r="C1613" s="189"/>
      <c r="D1613" s="185"/>
      <c r="E1613" s="186"/>
      <c r="F1613" s="187"/>
    </row>
    <row r="1614" spans="1:6" x14ac:dyDescent="0.2">
      <c r="A1614" s="275"/>
      <c r="B1614" s="78"/>
      <c r="C1614" s="189"/>
      <c r="D1614" s="185"/>
      <c r="E1614" s="186"/>
      <c r="F1614" s="187"/>
    </row>
    <row r="1615" spans="1:6" x14ac:dyDescent="0.2">
      <c r="A1615" s="275"/>
      <c r="B1615" s="78"/>
      <c r="C1615" s="189"/>
      <c r="D1615" s="185"/>
      <c r="E1615" s="186"/>
      <c r="F1615" s="187"/>
    </row>
    <row r="1616" spans="1:6" x14ac:dyDescent="0.2">
      <c r="A1616" s="275"/>
      <c r="B1616" s="78"/>
      <c r="C1616" s="189"/>
      <c r="D1616" s="185"/>
      <c r="E1616" s="186"/>
      <c r="F1616" s="187"/>
    </row>
    <row r="1617" spans="1:6" x14ac:dyDescent="0.2">
      <c r="A1617" s="275"/>
      <c r="B1617" s="78"/>
      <c r="C1617" s="189"/>
      <c r="D1617" s="185"/>
      <c r="E1617" s="186"/>
      <c r="F1617" s="187"/>
    </row>
    <row r="1618" spans="1:6" x14ac:dyDescent="0.2">
      <c r="A1618" s="275"/>
      <c r="B1618" s="78"/>
      <c r="C1618" s="189"/>
      <c r="D1618" s="185"/>
      <c r="E1618" s="186"/>
      <c r="F1618" s="187"/>
    </row>
    <row r="1619" spans="1:6" x14ac:dyDescent="0.2">
      <c r="A1619" s="275"/>
      <c r="B1619" s="78"/>
      <c r="C1619" s="189"/>
      <c r="D1619" s="185"/>
      <c r="E1619" s="186"/>
      <c r="F1619" s="187"/>
    </row>
    <row r="1620" spans="1:6" x14ac:dyDescent="0.2">
      <c r="A1620" s="275"/>
      <c r="B1620" s="78"/>
      <c r="C1620" s="189"/>
      <c r="D1620" s="185"/>
      <c r="E1620" s="186"/>
      <c r="F1620" s="187"/>
    </row>
    <row r="1621" spans="1:6" x14ac:dyDescent="0.2">
      <c r="A1621" s="275"/>
      <c r="B1621" s="78"/>
      <c r="C1621" s="189"/>
      <c r="D1621" s="185"/>
      <c r="E1621" s="186"/>
      <c r="F1621" s="187"/>
    </row>
    <row r="1622" spans="1:6" x14ac:dyDescent="0.2">
      <c r="A1622" s="275"/>
      <c r="B1622" s="78"/>
      <c r="C1622" s="189"/>
      <c r="D1622" s="185"/>
      <c r="E1622" s="186"/>
      <c r="F1622" s="187"/>
    </row>
    <row r="1623" spans="1:6" x14ac:dyDescent="0.2">
      <c r="A1623" s="275"/>
      <c r="B1623" s="78"/>
      <c r="C1623" s="189"/>
      <c r="D1623" s="185"/>
      <c r="E1623" s="186"/>
      <c r="F1623" s="187"/>
    </row>
    <row r="1624" spans="1:6" x14ac:dyDescent="0.2">
      <c r="A1624" s="275"/>
      <c r="B1624" s="78"/>
      <c r="C1624" s="189"/>
      <c r="D1624" s="185"/>
      <c r="E1624" s="186"/>
      <c r="F1624" s="187"/>
    </row>
    <row r="1625" spans="1:6" x14ac:dyDescent="0.2">
      <c r="A1625" s="275"/>
      <c r="B1625" s="78"/>
      <c r="C1625" s="189"/>
      <c r="D1625" s="185"/>
      <c r="E1625" s="186"/>
      <c r="F1625" s="187"/>
    </row>
    <row r="1626" spans="1:6" x14ac:dyDescent="0.2">
      <c r="A1626" s="275"/>
      <c r="B1626" s="78"/>
      <c r="C1626" s="189"/>
      <c r="D1626" s="185"/>
      <c r="E1626" s="186"/>
      <c r="F1626" s="187"/>
    </row>
    <row r="1627" spans="1:6" x14ac:dyDescent="0.2">
      <c r="A1627" s="275"/>
      <c r="B1627" s="78"/>
      <c r="C1627" s="189"/>
      <c r="D1627" s="185"/>
      <c r="E1627" s="186"/>
      <c r="F1627" s="187"/>
    </row>
    <row r="1628" spans="1:6" x14ac:dyDescent="0.2">
      <c r="A1628" s="275"/>
      <c r="B1628" s="78"/>
      <c r="C1628" s="189"/>
      <c r="D1628" s="185"/>
      <c r="E1628" s="186"/>
      <c r="F1628" s="187"/>
    </row>
    <row r="1629" spans="1:6" x14ac:dyDescent="0.2">
      <c r="A1629" s="275"/>
      <c r="B1629" s="78"/>
      <c r="C1629" s="189"/>
      <c r="D1629" s="185"/>
      <c r="E1629" s="186"/>
      <c r="F1629" s="187"/>
    </row>
    <row r="1630" spans="1:6" x14ac:dyDescent="0.2">
      <c r="A1630" s="275"/>
      <c r="B1630" s="78"/>
      <c r="C1630" s="189"/>
      <c r="D1630" s="185"/>
      <c r="E1630" s="186"/>
      <c r="F1630" s="187"/>
    </row>
    <row r="1631" spans="1:6" x14ac:dyDescent="0.2">
      <c r="A1631" s="275"/>
      <c r="B1631" s="78"/>
      <c r="C1631" s="189"/>
      <c r="D1631" s="185"/>
      <c r="E1631" s="186"/>
      <c r="F1631" s="187"/>
    </row>
    <row r="1632" spans="1:6" x14ac:dyDescent="0.2">
      <c r="A1632" s="275"/>
      <c r="B1632" s="78"/>
      <c r="C1632" s="189"/>
      <c r="D1632" s="185"/>
      <c r="E1632" s="186"/>
      <c r="F1632" s="187"/>
    </row>
    <row r="1633" spans="1:6" x14ac:dyDescent="0.2">
      <c r="A1633" s="275"/>
      <c r="B1633" s="78"/>
      <c r="C1633" s="189"/>
      <c r="D1633" s="185"/>
      <c r="E1633" s="186"/>
      <c r="F1633" s="187"/>
    </row>
    <row r="1634" spans="1:6" x14ac:dyDescent="0.2">
      <c r="A1634" s="275"/>
      <c r="B1634" s="78"/>
      <c r="C1634" s="189"/>
      <c r="D1634" s="185"/>
      <c r="E1634" s="186"/>
      <c r="F1634" s="187"/>
    </row>
    <row r="1635" spans="1:6" x14ac:dyDescent="0.2">
      <c r="A1635" s="275"/>
      <c r="B1635" s="78"/>
      <c r="C1635" s="189"/>
      <c r="D1635" s="185"/>
      <c r="E1635" s="186"/>
      <c r="F1635" s="187"/>
    </row>
    <row r="1636" spans="1:6" x14ac:dyDescent="0.2">
      <c r="A1636" s="275"/>
      <c r="B1636" s="78"/>
      <c r="C1636" s="189"/>
      <c r="D1636" s="185"/>
      <c r="E1636" s="186"/>
      <c r="F1636" s="187"/>
    </row>
    <row r="1637" spans="1:6" x14ac:dyDescent="0.2">
      <c r="A1637" s="275"/>
      <c r="B1637" s="78"/>
      <c r="C1637" s="189"/>
      <c r="D1637" s="185"/>
      <c r="E1637" s="186"/>
      <c r="F1637" s="187"/>
    </row>
    <row r="1638" spans="1:6" x14ac:dyDescent="0.2">
      <c r="A1638" s="275"/>
      <c r="B1638" s="78"/>
      <c r="C1638" s="189"/>
      <c r="D1638" s="185"/>
      <c r="E1638" s="186"/>
      <c r="F1638" s="187"/>
    </row>
    <row r="1639" spans="1:6" x14ac:dyDescent="0.2">
      <c r="A1639" s="275"/>
      <c r="B1639" s="78"/>
      <c r="C1639" s="189"/>
      <c r="D1639" s="185"/>
      <c r="E1639" s="186"/>
      <c r="F1639" s="187"/>
    </row>
    <row r="1640" spans="1:6" x14ac:dyDescent="0.2">
      <c r="A1640" s="275"/>
      <c r="B1640" s="78"/>
      <c r="C1640" s="189"/>
      <c r="D1640" s="185"/>
      <c r="E1640" s="186"/>
      <c r="F1640" s="187"/>
    </row>
    <row r="1641" spans="1:6" x14ac:dyDescent="0.2">
      <c r="A1641" s="275"/>
      <c r="B1641" s="78"/>
      <c r="C1641" s="189"/>
      <c r="D1641" s="185"/>
      <c r="E1641" s="186"/>
      <c r="F1641" s="187"/>
    </row>
    <row r="1642" spans="1:6" x14ac:dyDescent="0.2">
      <c r="A1642" s="275"/>
      <c r="B1642" s="78"/>
      <c r="C1642" s="189"/>
      <c r="D1642" s="185"/>
      <c r="E1642" s="186"/>
      <c r="F1642" s="187"/>
    </row>
    <row r="1643" spans="1:6" x14ac:dyDescent="0.2">
      <c r="A1643" s="275"/>
      <c r="B1643" s="78"/>
      <c r="C1643" s="189"/>
      <c r="D1643" s="185"/>
      <c r="E1643" s="186"/>
      <c r="F1643" s="187"/>
    </row>
    <row r="1644" spans="1:6" x14ac:dyDescent="0.2">
      <c r="A1644" s="275"/>
      <c r="B1644" s="78"/>
      <c r="C1644" s="189"/>
      <c r="D1644" s="185"/>
      <c r="E1644" s="186"/>
      <c r="F1644" s="187"/>
    </row>
    <row r="1645" spans="1:6" x14ac:dyDescent="0.2">
      <c r="A1645" s="275"/>
      <c r="B1645" s="78"/>
      <c r="C1645" s="189"/>
      <c r="D1645" s="185"/>
      <c r="E1645" s="186"/>
      <c r="F1645" s="187"/>
    </row>
    <row r="1646" spans="1:6" x14ac:dyDescent="0.2">
      <c r="A1646" s="275"/>
      <c r="B1646" s="78"/>
      <c r="C1646" s="189"/>
      <c r="D1646" s="185"/>
      <c r="E1646" s="186"/>
      <c r="F1646" s="187"/>
    </row>
    <row r="1647" spans="1:6" x14ac:dyDescent="0.2">
      <c r="A1647" s="275"/>
      <c r="B1647" s="78"/>
      <c r="C1647" s="189"/>
      <c r="D1647" s="185"/>
      <c r="E1647" s="186"/>
      <c r="F1647" s="187"/>
    </row>
    <row r="1648" spans="1:6" x14ac:dyDescent="0.2">
      <c r="A1648" s="275"/>
      <c r="B1648" s="78"/>
      <c r="C1648" s="189"/>
      <c r="D1648" s="185"/>
      <c r="E1648" s="186"/>
      <c r="F1648" s="187"/>
    </row>
    <row r="1649" spans="1:6" x14ac:dyDescent="0.2">
      <c r="A1649" s="275"/>
      <c r="B1649" s="78"/>
      <c r="C1649" s="189"/>
      <c r="D1649" s="185"/>
      <c r="E1649" s="186"/>
      <c r="F1649" s="187"/>
    </row>
    <row r="1650" spans="1:6" x14ac:dyDescent="0.2">
      <c r="A1650" s="275"/>
      <c r="B1650" s="78"/>
      <c r="C1650" s="189"/>
      <c r="D1650" s="185"/>
      <c r="E1650" s="186"/>
      <c r="F1650" s="187"/>
    </row>
    <row r="1651" spans="1:6" x14ac:dyDescent="0.2">
      <c r="A1651" s="275"/>
      <c r="B1651" s="78"/>
      <c r="C1651" s="189"/>
      <c r="D1651" s="185"/>
      <c r="E1651" s="186"/>
      <c r="F1651" s="187"/>
    </row>
    <row r="1652" spans="1:6" x14ac:dyDescent="0.2">
      <c r="A1652" s="275"/>
      <c r="B1652" s="78"/>
      <c r="C1652" s="189"/>
      <c r="D1652" s="185"/>
      <c r="E1652" s="186"/>
      <c r="F1652" s="187"/>
    </row>
    <row r="1653" spans="1:6" x14ac:dyDescent="0.2">
      <c r="A1653" s="275"/>
      <c r="B1653" s="78"/>
      <c r="C1653" s="189"/>
      <c r="D1653" s="185"/>
      <c r="E1653" s="186"/>
      <c r="F1653" s="187"/>
    </row>
    <row r="1654" spans="1:6" x14ac:dyDescent="0.2">
      <c r="A1654" s="275"/>
      <c r="B1654" s="78"/>
      <c r="C1654" s="189"/>
      <c r="D1654" s="185"/>
      <c r="E1654" s="186"/>
      <c r="F1654" s="187"/>
    </row>
    <row r="1655" spans="1:6" x14ac:dyDescent="0.2">
      <c r="A1655" s="275"/>
      <c r="B1655" s="78"/>
      <c r="C1655" s="189"/>
      <c r="D1655" s="185"/>
      <c r="E1655" s="186"/>
      <c r="F1655" s="187"/>
    </row>
    <row r="1656" spans="1:6" x14ac:dyDescent="0.2">
      <c r="A1656" s="275"/>
      <c r="B1656" s="78"/>
      <c r="C1656" s="189"/>
      <c r="D1656" s="185"/>
      <c r="E1656" s="186"/>
      <c r="F1656" s="187"/>
    </row>
    <row r="1657" spans="1:6" x14ac:dyDescent="0.2">
      <c r="A1657" s="275"/>
      <c r="B1657" s="78"/>
      <c r="C1657" s="189"/>
      <c r="D1657" s="185"/>
      <c r="E1657" s="186"/>
      <c r="F1657" s="187"/>
    </row>
    <row r="1658" spans="1:6" x14ac:dyDescent="0.2">
      <c r="A1658" s="275"/>
      <c r="B1658" s="78"/>
      <c r="C1658" s="189"/>
      <c r="D1658" s="185"/>
      <c r="E1658" s="186"/>
      <c r="F1658" s="187"/>
    </row>
    <row r="1659" spans="1:6" x14ac:dyDescent="0.2">
      <c r="A1659" s="275"/>
      <c r="B1659" s="78"/>
      <c r="C1659" s="189"/>
      <c r="D1659" s="185"/>
      <c r="E1659" s="186"/>
      <c r="F1659" s="187"/>
    </row>
    <row r="1660" spans="1:6" x14ac:dyDescent="0.2">
      <c r="A1660" s="275"/>
      <c r="B1660" s="78"/>
      <c r="C1660" s="189"/>
      <c r="D1660" s="185"/>
      <c r="E1660" s="186"/>
      <c r="F1660" s="187"/>
    </row>
    <row r="1661" spans="1:6" x14ac:dyDescent="0.2">
      <c r="A1661" s="275"/>
      <c r="B1661" s="78"/>
      <c r="C1661" s="189"/>
      <c r="D1661" s="185"/>
      <c r="E1661" s="186"/>
      <c r="F1661" s="187"/>
    </row>
    <row r="1662" spans="1:6" x14ac:dyDescent="0.2">
      <c r="A1662" s="275"/>
      <c r="B1662" s="78"/>
      <c r="C1662" s="189"/>
      <c r="D1662" s="185"/>
      <c r="E1662" s="186"/>
      <c r="F1662" s="187"/>
    </row>
    <row r="1663" spans="1:6" x14ac:dyDescent="0.2">
      <c r="A1663" s="275"/>
      <c r="B1663" s="78"/>
      <c r="C1663" s="189"/>
      <c r="D1663" s="185"/>
      <c r="E1663" s="186"/>
      <c r="F1663" s="187"/>
    </row>
    <row r="1664" spans="1:6" x14ac:dyDescent="0.2">
      <c r="A1664" s="275"/>
      <c r="B1664" s="78"/>
      <c r="C1664" s="189"/>
      <c r="D1664" s="185"/>
      <c r="E1664" s="186"/>
      <c r="F1664" s="187"/>
    </row>
    <row r="1665" spans="1:6" x14ac:dyDescent="0.2">
      <c r="A1665" s="275"/>
      <c r="B1665" s="78"/>
      <c r="C1665" s="189"/>
      <c r="D1665" s="185"/>
      <c r="E1665" s="186"/>
      <c r="F1665" s="187"/>
    </row>
    <row r="1666" spans="1:6" x14ac:dyDescent="0.2">
      <c r="A1666" s="275"/>
      <c r="B1666" s="78"/>
      <c r="C1666" s="189"/>
      <c r="D1666" s="185"/>
      <c r="E1666" s="186"/>
      <c r="F1666" s="187"/>
    </row>
    <row r="1667" spans="1:6" x14ac:dyDescent="0.2">
      <c r="A1667" s="275"/>
      <c r="B1667" s="78"/>
      <c r="C1667" s="189"/>
      <c r="D1667" s="185"/>
      <c r="E1667" s="186"/>
      <c r="F1667" s="187"/>
    </row>
    <row r="1668" spans="1:6" x14ac:dyDescent="0.2">
      <c r="A1668" s="275"/>
      <c r="B1668" s="78"/>
      <c r="C1668" s="189"/>
      <c r="D1668" s="185"/>
      <c r="E1668" s="186"/>
      <c r="F1668" s="187"/>
    </row>
    <row r="1669" spans="1:6" x14ac:dyDescent="0.2">
      <c r="A1669" s="275"/>
      <c r="B1669" s="78"/>
      <c r="C1669" s="189"/>
      <c r="D1669" s="185"/>
      <c r="E1669" s="186"/>
      <c r="F1669" s="187"/>
    </row>
    <row r="1670" spans="1:6" x14ac:dyDescent="0.2">
      <c r="A1670" s="275"/>
      <c r="B1670" s="78"/>
      <c r="C1670" s="189"/>
      <c r="D1670" s="185"/>
      <c r="E1670" s="186"/>
      <c r="F1670" s="187"/>
    </row>
    <row r="1671" spans="1:6" x14ac:dyDescent="0.2">
      <c r="A1671" s="275"/>
      <c r="B1671" s="78"/>
      <c r="C1671" s="189"/>
      <c r="D1671" s="185"/>
      <c r="E1671" s="186"/>
      <c r="F1671" s="187"/>
    </row>
    <row r="1672" spans="1:6" x14ac:dyDescent="0.2">
      <c r="A1672" s="275"/>
      <c r="B1672" s="78"/>
      <c r="C1672" s="189"/>
      <c r="D1672" s="185"/>
      <c r="E1672" s="186"/>
      <c r="F1672" s="187"/>
    </row>
    <row r="1673" spans="1:6" x14ac:dyDescent="0.2">
      <c r="A1673" s="275"/>
      <c r="B1673" s="78"/>
      <c r="C1673" s="189"/>
      <c r="D1673" s="185"/>
      <c r="E1673" s="186"/>
      <c r="F1673" s="187"/>
    </row>
    <row r="1674" spans="1:6" x14ac:dyDescent="0.2">
      <c r="A1674" s="275"/>
      <c r="B1674" s="78"/>
      <c r="C1674" s="189"/>
      <c r="D1674" s="185"/>
      <c r="E1674" s="186"/>
      <c r="F1674" s="187"/>
    </row>
    <row r="1675" spans="1:6" x14ac:dyDescent="0.2">
      <c r="A1675" s="275"/>
      <c r="B1675" s="78"/>
      <c r="C1675" s="189"/>
      <c r="D1675" s="185"/>
      <c r="E1675" s="186"/>
      <c r="F1675" s="187"/>
    </row>
    <row r="1676" spans="1:6" x14ac:dyDescent="0.2">
      <c r="A1676" s="275"/>
      <c r="B1676" s="78"/>
      <c r="C1676" s="189"/>
      <c r="D1676" s="185"/>
      <c r="E1676" s="186"/>
      <c r="F1676" s="187"/>
    </row>
    <row r="1677" spans="1:6" x14ac:dyDescent="0.2">
      <c r="A1677" s="275"/>
      <c r="B1677" s="78"/>
      <c r="C1677" s="189"/>
      <c r="D1677" s="185"/>
      <c r="E1677" s="186"/>
      <c r="F1677" s="187"/>
    </row>
    <row r="1678" spans="1:6" x14ac:dyDescent="0.2">
      <c r="A1678" s="275"/>
      <c r="B1678" s="78"/>
      <c r="C1678" s="189"/>
      <c r="D1678" s="185"/>
      <c r="E1678" s="186"/>
      <c r="F1678" s="187"/>
    </row>
    <row r="1679" spans="1:6" x14ac:dyDescent="0.2">
      <c r="A1679" s="275"/>
      <c r="B1679" s="78"/>
      <c r="C1679" s="189"/>
      <c r="D1679" s="185"/>
      <c r="E1679" s="186"/>
      <c r="F1679" s="187"/>
    </row>
    <row r="1680" spans="1:6" x14ac:dyDescent="0.2">
      <c r="A1680" s="275"/>
      <c r="B1680" s="78"/>
      <c r="C1680" s="189"/>
      <c r="D1680" s="185"/>
      <c r="E1680" s="186"/>
      <c r="F1680" s="187"/>
    </row>
    <row r="1681" spans="1:6" x14ac:dyDescent="0.2">
      <c r="A1681" s="275"/>
      <c r="B1681" s="78"/>
      <c r="C1681" s="189"/>
      <c r="D1681" s="185"/>
      <c r="E1681" s="186"/>
      <c r="F1681" s="187"/>
    </row>
    <row r="1682" spans="1:6" x14ac:dyDescent="0.2">
      <c r="A1682" s="275"/>
      <c r="B1682" s="78"/>
      <c r="C1682" s="189"/>
      <c r="D1682" s="185"/>
      <c r="E1682" s="186"/>
      <c r="F1682" s="187"/>
    </row>
    <row r="1683" spans="1:6" x14ac:dyDescent="0.2">
      <c r="A1683" s="275"/>
      <c r="B1683" s="78"/>
      <c r="C1683" s="189"/>
      <c r="D1683" s="185"/>
      <c r="E1683" s="186"/>
      <c r="F1683" s="187"/>
    </row>
    <row r="1684" spans="1:6" x14ac:dyDescent="0.2">
      <c r="A1684" s="275"/>
      <c r="B1684" s="78"/>
      <c r="C1684" s="189"/>
      <c r="D1684" s="185"/>
      <c r="E1684" s="186"/>
      <c r="F1684" s="187"/>
    </row>
    <row r="1685" spans="1:6" x14ac:dyDescent="0.2">
      <c r="A1685" s="275"/>
      <c r="B1685" s="78"/>
      <c r="C1685" s="189"/>
      <c r="D1685" s="185"/>
      <c r="E1685" s="186"/>
      <c r="F1685" s="187"/>
    </row>
    <row r="1686" spans="1:6" x14ac:dyDescent="0.2">
      <c r="A1686" s="275"/>
      <c r="B1686" s="78"/>
      <c r="C1686" s="189"/>
      <c r="D1686" s="185"/>
      <c r="E1686" s="186"/>
      <c r="F1686" s="187"/>
    </row>
    <row r="1687" spans="1:6" x14ac:dyDescent="0.2">
      <c r="A1687" s="275"/>
      <c r="B1687" s="78"/>
      <c r="C1687" s="189"/>
      <c r="D1687" s="185"/>
      <c r="E1687" s="186"/>
      <c r="F1687" s="187"/>
    </row>
    <row r="1688" spans="1:6" x14ac:dyDescent="0.2">
      <c r="A1688" s="275"/>
      <c r="B1688" s="78"/>
      <c r="C1688" s="189"/>
      <c r="D1688" s="185"/>
      <c r="E1688" s="186"/>
      <c r="F1688" s="187"/>
    </row>
    <row r="1689" spans="1:6" x14ac:dyDescent="0.2">
      <c r="A1689" s="275"/>
      <c r="B1689" s="78"/>
      <c r="C1689" s="189"/>
      <c r="D1689" s="185"/>
      <c r="E1689" s="186"/>
      <c r="F1689" s="187"/>
    </row>
    <row r="1690" spans="1:6" x14ac:dyDescent="0.2">
      <c r="A1690" s="275"/>
      <c r="B1690" s="78"/>
      <c r="C1690" s="189"/>
      <c r="D1690" s="185"/>
      <c r="E1690" s="186"/>
      <c r="F1690" s="187"/>
    </row>
    <row r="1691" spans="1:6" x14ac:dyDescent="0.2">
      <c r="A1691" s="275"/>
      <c r="B1691" s="78"/>
      <c r="C1691" s="189"/>
      <c r="D1691" s="185"/>
      <c r="E1691" s="186"/>
      <c r="F1691" s="187"/>
    </row>
    <row r="1692" spans="1:6" x14ac:dyDescent="0.2">
      <c r="A1692" s="275"/>
      <c r="B1692" s="78"/>
      <c r="C1692" s="189"/>
      <c r="D1692" s="185"/>
      <c r="E1692" s="186"/>
      <c r="F1692" s="187"/>
    </row>
    <row r="1693" spans="1:6" x14ac:dyDescent="0.2">
      <c r="A1693" s="275"/>
      <c r="B1693" s="78"/>
      <c r="C1693" s="189"/>
      <c r="D1693" s="185"/>
      <c r="E1693" s="186"/>
      <c r="F1693" s="187"/>
    </row>
    <row r="1694" spans="1:6" x14ac:dyDescent="0.2">
      <c r="A1694" s="275"/>
      <c r="B1694" s="78"/>
      <c r="C1694" s="189"/>
      <c r="D1694" s="185"/>
      <c r="E1694" s="186"/>
      <c r="F1694" s="187"/>
    </row>
    <row r="1695" spans="1:6" x14ac:dyDescent="0.2">
      <c r="A1695" s="275"/>
      <c r="B1695" s="78"/>
      <c r="C1695" s="189"/>
      <c r="D1695" s="185"/>
      <c r="E1695" s="186"/>
      <c r="F1695" s="187"/>
    </row>
    <row r="1696" spans="1:6" x14ac:dyDescent="0.2">
      <c r="A1696" s="275"/>
      <c r="B1696" s="78"/>
      <c r="C1696" s="189"/>
      <c r="D1696" s="185"/>
      <c r="E1696" s="186"/>
      <c r="F1696" s="187"/>
    </row>
    <row r="1697" spans="1:6" x14ac:dyDescent="0.2">
      <c r="A1697" s="275"/>
      <c r="B1697" s="78"/>
      <c r="C1697" s="189"/>
      <c r="D1697" s="185"/>
      <c r="E1697" s="186"/>
      <c r="F1697" s="187"/>
    </row>
    <row r="1698" spans="1:6" x14ac:dyDescent="0.2">
      <c r="A1698" s="275"/>
      <c r="B1698" s="78"/>
      <c r="C1698" s="189"/>
      <c r="D1698" s="185"/>
      <c r="E1698" s="186"/>
      <c r="F1698" s="187"/>
    </row>
    <row r="1699" spans="1:6" x14ac:dyDescent="0.2">
      <c r="A1699" s="275"/>
      <c r="B1699" s="78"/>
      <c r="C1699" s="189"/>
      <c r="D1699" s="185"/>
      <c r="E1699" s="186"/>
      <c r="F1699" s="187"/>
    </row>
    <row r="1700" spans="1:6" x14ac:dyDescent="0.2">
      <c r="A1700" s="275"/>
      <c r="B1700" s="78"/>
      <c r="C1700" s="189"/>
      <c r="D1700" s="185"/>
      <c r="E1700" s="186"/>
      <c r="F1700" s="187"/>
    </row>
    <row r="1701" spans="1:6" x14ac:dyDescent="0.2">
      <c r="A1701" s="275"/>
      <c r="B1701" s="78"/>
      <c r="C1701" s="189"/>
      <c r="D1701" s="185"/>
      <c r="E1701" s="186"/>
      <c r="F1701" s="187"/>
    </row>
    <row r="1702" spans="1:6" x14ac:dyDescent="0.2">
      <c r="A1702" s="275"/>
      <c r="B1702" s="78"/>
      <c r="C1702" s="189"/>
      <c r="D1702" s="185"/>
      <c r="E1702" s="186"/>
      <c r="F1702" s="187"/>
    </row>
    <row r="1703" spans="1:6" x14ac:dyDescent="0.2">
      <c r="A1703" s="275"/>
      <c r="B1703" s="78"/>
      <c r="C1703" s="189"/>
      <c r="D1703" s="185"/>
      <c r="E1703" s="186"/>
      <c r="F1703" s="187"/>
    </row>
    <row r="1704" spans="1:6" x14ac:dyDescent="0.2">
      <c r="A1704" s="275"/>
      <c r="B1704" s="78"/>
      <c r="C1704" s="189"/>
      <c r="D1704" s="185"/>
      <c r="E1704" s="186"/>
      <c r="F1704" s="187"/>
    </row>
    <row r="1705" spans="1:6" x14ac:dyDescent="0.2">
      <c r="A1705" s="275"/>
      <c r="B1705" s="78"/>
      <c r="C1705" s="189"/>
      <c r="D1705" s="185"/>
      <c r="E1705" s="186"/>
      <c r="F1705" s="187"/>
    </row>
    <row r="1706" spans="1:6" x14ac:dyDescent="0.2">
      <c r="A1706" s="275"/>
      <c r="B1706" s="78"/>
      <c r="C1706" s="189"/>
      <c r="D1706" s="185"/>
      <c r="E1706" s="186"/>
      <c r="F1706" s="187"/>
    </row>
    <row r="1707" spans="1:6" x14ac:dyDescent="0.2">
      <c r="A1707" s="275"/>
      <c r="B1707" s="78"/>
      <c r="C1707" s="189"/>
      <c r="D1707" s="185"/>
      <c r="E1707" s="186"/>
      <c r="F1707" s="187"/>
    </row>
    <row r="1708" spans="1:6" x14ac:dyDescent="0.2">
      <c r="A1708" s="275"/>
      <c r="B1708" s="78"/>
      <c r="C1708" s="189"/>
      <c r="D1708" s="185"/>
      <c r="E1708" s="186"/>
      <c r="F1708" s="187"/>
    </row>
    <row r="1709" spans="1:6" x14ac:dyDescent="0.2">
      <c r="A1709" s="275"/>
      <c r="B1709" s="78"/>
      <c r="C1709" s="189"/>
      <c r="D1709" s="185"/>
      <c r="E1709" s="186"/>
      <c r="F1709" s="187"/>
    </row>
    <row r="1710" spans="1:6" x14ac:dyDescent="0.2">
      <c r="A1710" s="275"/>
      <c r="B1710" s="78"/>
      <c r="C1710" s="189"/>
      <c r="D1710" s="185"/>
      <c r="E1710" s="186"/>
      <c r="F1710" s="187"/>
    </row>
    <row r="1711" spans="1:6" x14ac:dyDescent="0.2">
      <c r="A1711" s="275"/>
      <c r="B1711" s="78"/>
      <c r="C1711" s="189"/>
      <c r="D1711" s="185"/>
      <c r="E1711" s="186"/>
      <c r="F1711" s="187"/>
    </row>
    <row r="1712" spans="1:6" x14ac:dyDescent="0.2">
      <c r="A1712" s="275"/>
      <c r="B1712" s="78"/>
      <c r="C1712" s="189"/>
      <c r="D1712" s="185"/>
      <c r="E1712" s="186"/>
      <c r="F1712" s="187"/>
    </row>
    <row r="1713" spans="1:6" x14ac:dyDescent="0.2">
      <c r="A1713" s="275"/>
      <c r="B1713" s="78"/>
      <c r="C1713" s="189"/>
      <c r="D1713" s="185"/>
      <c r="E1713" s="186"/>
      <c r="F1713" s="187"/>
    </row>
    <row r="1714" spans="1:6" x14ac:dyDescent="0.2">
      <c r="A1714" s="275"/>
      <c r="B1714" s="78"/>
      <c r="C1714" s="189"/>
      <c r="D1714" s="185"/>
      <c r="E1714" s="186"/>
      <c r="F1714" s="187"/>
    </row>
    <row r="1715" spans="1:6" x14ac:dyDescent="0.2">
      <c r="A1715" s="275"/>
      <c r="B1715" s="78"/>
      <c r="C1715" s="189"/>
      <c r="D1715" s="185"/>
      <c r="E1715" s="186"/>
      <c r="F1715" s="187"/>
    </row>
    <row r="1716" spans="1:6" x14ac:dyDescent="0.2">
      <c r="A1716" s="275"/>
      <c r="B1716" s="78"/>
      <c r="C1716" s="189"/>
      <c r="D1716" s="185"/>
      <c r="E1716" s="186"/>
      <c r="F1716" s="187"/>
    </row>
    <row r="1717" spans="1:6" x14ac:dyDescent="0.2">
      <c r="A1717" s="275"/>
      <c r="B1717" s="78"/>
      <c r="C1717" s="189"/>
      <c r="D1717" s="185"/>
      <c r="E1717" s="186"/>
      <c r="F1717" s="187"/>
    </row>
    <row r="1718" spans="1:6" x14ac:dyDescent="0.2">
      <c r="A1718" s="275"/>
      <c r="B1718" s="78"/>
      <c r="C1718" s="189"/>
      <c r="D1718" s="185"/>
      <c r="E1718" s="186"/>
      <c r="F1718" s="187"/>
    </row>
    <row r="1719" spans="1:6" x14ac:dyDescent="0.2">
      <c r="A1719" s="275"/>
      <c r="B1719" s="78"/>
      <c r="C1719" s="189"/>
      <c r="D1719" s="185"/>
      <c r="E1719" s="186"/>
      <c r="F1719" s="187"/>
    </row>
    <row r="1720" spans="1:6" x14ac:dyDescent="0.2">
      <c r="A1720" s="275"/>
      <c r="B1720" s="78"/>
      <c r="C1720" s="189"/>
      <c r="D1720" s="185"/>
      <c r="E1720" s="186"/>
      <c r="F1720" s="187"/>
    </row>
    <row r="1721" spans="1:6" x14ac:dyDescent="0.2">
      <c r="A1721" s="275"/>
      <c r="B1721" s="78"/>
      <c r="C1721" s="189"/>
      <c r="D1721" s="185"/>
      <c r="E1721" s="186"/>
      <c r="F1721" s="187"/>
    </row>
    <row r="1722" spans="1:6" x14ac:dyDescent="0.2">
      <c r="A1722" s="275"/>
      <c r="B1722" s="78"/>
      <c r="C1722" s="189"/>
      <c r="D1722" s="185"/>
      <c r="E1722" s="186"/>
      <c r="F1722" s="187"/>
    </row>
    <row r="1723" spans="1:6" x14ac:dyDescent="0.2">
      <c r="A1723" s="275"/>
      <c r="B1723" s="78"/>
      <c r="C1723" s="189"/>
      <c r="D1723" s="185"/>
      <c r="E1723" s="186"/>
      <c r="F1723" s="187"/>
    </row>
    <row r="1724" spans="1:6" x14ac:dyDescent="0.2">
      <c r="A1724" s="275"/>
      <c r="B1724" s="78"/>
      <c r="C1724" s="189"/>
      <c r="D1724" s="185"/>
      <c r="E1724" s="186"/>
      <c r="F1724" s="187"/>
    </row>
    <row r="1725" spans="1:6" x14ac:dyDescent="0.2">
      <c r="A1725" s="275"/>
      <c r="B1725" s="78"/>
      <c r="C1725" s="189"/>
      <c r="D1725" s="185"/>
      <c r="E1725" s="186"/>
      <c r="F1725" s="187"/>
    </row>
    <row r="1726" spans="1:6" x14ac:dyDescent="0.2">
      <c r="A1726" s="275"/>
      <c r="B1726" s="78"/>
      <c r="C1726" s="189"/>
      <c r="D1726" s="185"/>
      <c r="E1726" s="186"/>
      <c r="F1726" s="187"/>
    </row>
    <row r="1727" spans="1:6" x14ac:dyDescent="0.2">
      <c r="A1727" s="275"/>
      <c r="B1727" s="78"/>
      <c r="C1727" s="189"/>
      <c r="D1727" s="185"/>
      <c r="E1727" s="186"/>
      <c r="F1727" s="187"/>
    </row>
    <row r="1728" spans="1:6" x14ac:dyDescent="0.2">
      <c r="A1728" s="275"/>
      <c r="B1728" s="78"/>
      <c r="C1728" s="189"/>
      <c r="D1728" s="185"/>
      <c r="E1728" s="186"/>
      <c r="F1728" s="187"/>
    </row>
    <row r="1729" spans="1:6" x14ac:dyDescent="0.2">
      <c r="A1729" s="275"/>
      <c r="B1729" s="78"/>
      <c r="C1729" s="189"/>
      <c r="D1729" s="185"/>
      <c r="E1729" s="186"/>
      <c r="F1729" s="187"/>
    </row>
    <row r="1730" spans="1:6" x14ac:dyDescent="0.2">
      <c r="A1730" s="275"/>
      <c r="B1730" s="78"/>
      <c r="C1730" s="189"/>
      <c r="D1730" s="185"/>
      <c r="E1730" s="186"/>
      <c r="F1730" s="187"/>
    </row>
    <row r="1731" spans="1:6" x14ac:dyDescent="0.2">
      <c r="A1731" s="275"/>
      <c r="B1731" s="78"/>
      <c r="C1731" s="189"/>
      <c r="D1731" s="185"/>
      <c r="E1731" s="186"/>
      <c r="F1731" s="187"/>
    </row>
    <row r="1732" spans="1:6" x14ac:dyDescent="0.2">
      <c r="A1732" s="275"/>
      <c r="B1732" s="78"/>
      <c r="C1732" s="189"/>
      <c r="D1732" s="185"/>
      <c r="E1732" s="186"/>
      <c r="F1732" s="187"/>
    </row>
    <row r="1733" spans="1:6" x14ac:dyDescent="0.2">
      <c r="A1733" s="275"/>
      <c r="B1733" s="78"/>
      <c r="C1733" s="189"/>
      <c r="D1733" s="185"/>
      <c r="E1733" s="186"/>
      <c r="F1733" s="187"/>
    </row>
    <row r="1734" spans="1:6" x14ac:dyDescent="0.2">
      <c r="A1734" s="275"/>
      <c r="B1734" s="78"/>
      <c r="C1734" s="189"/>
      <c r="D1734" s="185"/>
      <c r="E1734" s="186"/>
      <c r="F1734" s="187"/>
    </row>
    <row r="1735" spans="1:6" x14ac:dyDescent="0.2">
      <c r="A1735" s="275"/>
      <c r="B1735" s="78"/>
      <c r="C1735" s="189"/>
      <c r="D1735" s="185"/>
      <c r="E1735" s="186"/>
      <c r="F1735" s="187"/>
    </row>
    <row r="1736" spans="1:6" x14ac:dyDescent="0.2">
      <c r="A1736" s="275"/>
      <c r="B1736" s="78"/>
      <c r="C1736" s="189"/>
      <c r="D1736" s="185"/>
      <c r="E1736" s="186"/>
      <c r="F1736" s="187"/>
    </row>
    <row r="1737" spans="1:6" x14ac:dyDescent="0.2">
      <c r="A1737" s="275"/>
      <c r="B1737" s="78"/>
      <c r="C1737" s="189"/>
      <c r="D1737" s="185"/>
      <c r="E1737" s="186"/>
      <c r="F1737" s="187"/>
    </row>
    <row r="1738" spans="1:6" x14ac:dyDescent="0.2">
      <c r="A1738" s="275"/>
      <c r="B1738" s="78"/>
      <c r="C1738" s="189"/>
      <c r="D1738" s="185"/>
      <c r="E1738" s="186"/>
      <c r="F1738" s="187"/>
    </row>
    <row r="1739" spans="1:6" x14ac:dyDescent="0.2">
      <c r="A1739" s="275"/>
      <c r="B1739" s="78"/>
      <c r="C1739" s="189"/>
      <c r="D1739" s="185"/>
      <c r="E1739" s="186"/>
      <c r="F1739" s="187"/>
    </row>
    <row r="1740" spans="1:6" x14ac:dyDescent="0.2">
      <c r="A1740" s="275"/>
      <c r="B1740" s="78"/>
      <c r="C1740" s="189"/>
      <c r="D1740" s="185"/>
      <c r="E1740" s="186"/>
      <c r="F1740" s="187"/>
    </row>
    <row r="1741" spans="1:6" x14ac:dyDescent="0.2">
      <c r="A1741" s="275"/>
      <c r="B1741" s="78"/>
      <c r="C1741" s="189"/>
      <c r="D1741" s="185"/>
      <c r="E1741" s="186"/>
      <c r="F1741" s="187"/>
    </row>
    <row r="1742" spans="1:6" x14ac:dyDescent="0.2">
      <c r="A1742" s="275"/>
      <c r="B1742" s="78"/>
      <c r="C1742" s="189"/>
      <c r="D1742" s="185"/>
      <c r="E1742" s="186"/>
      <c r="F1742" s="187"/>
    </row>
    <row r="1743" spans="1:6" x14ac:dyDescent="0.2">
      <c r="A1743" s="275"/>
      <c r="B1743" s="78"/>
      <c r="C1743" s="189"/>
      <c r="D1743" s="185"/>
      <c r="E1743" s="186"/>
      <c r="F1743" s="187"/>
    </row>
    <row r="1744" spans="1:6" x14ac:dyDescent="0.2">
      <c r="A1744" s="275"/>
      <c r="B1744" s="78"/>
      <c r="C1744" s="189"/>
      <c r="D1744" s="185"/>
      <c r="E1744" s="186"/>
      <c r="F1744" s="187"/>
    </row>
    <row r="1745" spans="1:6" x14ac:dyDescent="0.2">
      <c r="A1745" s="275"/>
      <c r="B1745" s="78"/>
      <c r="C1745" s="189"/>
      <c r="D1745" s="185"/>
      <c r="E1745" s="186"/>
      <c r="F1745" s="187"/>
    </row>
    <row r="1746" spans="1:6" x14ac:dyDescent="0.2">
      <c r="A1746" s="275"/>
      <c r="B1746" s="78"/>
      <c r="C1746" s="189"/>
      <c r="D1746" s="185"/>
      <c r="E1746" s="186"/>
      <c r="F1746" s="187"/>
    </row>
    <row r="1747" spans="1:6" x14ac:dyDescent="0.2">
      <c r="A1747" s="275"/>
      <c r="B1747" s="78"/>
      <c r="C1747" s="189"/>
      <c r="D1747" s="185"/>
      <c r="E1747" s="186"/>
      <c r="F1747" s="187"/>
    </row>
    <row r="1748" spans="1:6" x14ac:dyDescent="0.2">
      <c r="A1748" s="275"/>
      <c r="B1748" s="78"/>
      <c r="C1748" s="189"/>
      <c r="D1748" s="185"/>
      <c r="E1748" s="186"/>
      <c r="F1748" s="187"/>
    </row>
    <row r="1749" spans="1:6" x14ac:dyDescent="0.2">
      <c r="A1749" s="275"/>
      <c r="B1749" s="78"/>
      <c r="C1749" s="189"/>
      <c r="D1749" s="185"/>
      <c r="E1749" s="186"/>
      <c r="F1749" s="187"/>
    </row>
    <row r="1750" spans="1:6" x14ac:dyDescent="0.2">
      <c r="A1750" s="275"/>
      <c r="B1750" s="78"/>
      <c r="C1750" s="189"/>
      <c r="D1750" s="185"/>
      <c r="E1750" s="186"/>
      <c r="F1750" s="187"/>
    </row>
    <row r="1751" spans="1:6" x14ac:dyDescent="0.2">
      <c r="A1751" s="275"/>
      <c r="B1751" s="78"/>
      <c r="C1751" s="189"/>
      <c r="D1751" s="185"/>
      <c r="E1751" s="186"/>
      <c r="F1751" s="187"/>
    </row>
    <row r="1752" spans="1:6" x14ac:dyDescent="0.2">
      <c r="A1752" s="275"/>
      <c r="B1752" s="78"/>
      <c r="C1752" s="189"/>
      <c r="D1752" s="185"/>
      <c r="E1752" s="186"/>
      <c r="F1752" s="187"/>
    </row>
    <row r="1753" spans="1:6" x14ac:dyDescent="0.2">
      <c r="A1753" s="275"/>
      <c r="B1753" s="78"/>
      <c r="C1753" s="189"/>
      <c r="D1753" s="185"/>
      <c r="E1753" s="186"/>
      <c r="F1753" s="187"/>
    </row>
    <row r="1754" spans="1:6" x14ac:dyDescent="0.2">
      <c r="A1754" s="275"/>
      <c r="B1754" s="78"/>
      <c r="C1754" s="189"/>
      <c r="D1754" s="185"/>
      <c r="E1754" s="186"/>
      <c r="F1754" s="187"/>
    </row>
    <row r="1755" spans="1:6" x14ac:dyDescent="0.2">
      <c r="A1755" s="275"/>
      <c r="B1755" s="78"/>
      <c r="C1755" s="189"/>
      <c r="D1755" s="185"/>
      <c r="E1755" s="186"/>
      <c r="F1755" s="187"/>
    </row>
    <row r="1756" spans="1:6" x14ac:dyDescent="0.2">
      <c r="A1756" s="275"/>
      <c r="B1756" s="78"/>
      <c r="C1756" s="189"/>
      <c r="D1756" s="185"/>
      <c r="E1756" s="186"/>
      <c r="F1756" s="187"/>
    </row>
    <row r="1757" spans="1:6" x14ac:dyDescent="0.2">
      <c r="A1757" s="275"/>
      <c r="B1757" s="78"/>
      <c r="C1757" s="189"/>
      <c r="D1757" s="185"/>
      <c r="E1757" s="186"/>
      <c r="F1757" s="187"/>
    </row>
    <row r="1758" spans="1:6" x14ac:dyDescent="0.2">
      <c r="A1758" s="275"/>
      <c r="B1758" s="78"/>
      <c r="C1758" s="189"/>
      <c r="D1758" s="185"/>
      <c r="E1758" s="186"/>
      <c r="F1758" s="187"/>
    </row>
    <row r="1759" spans="1:6" x14ac:dyDescent="0.2">
      <c r="A1759" s="275"/>
      <c r="B1759" s="78"/>
      <c r="C1759" s="189"/>
      <c r="D1759" s="185"/>
      <c r="E1759" s="186"/>
      <c r="F1759" s="187"/>
    </row>
    <row r="1760" spans="1:6" x14ac:dyDescent="0.2">
      <c r="A1760" s="275"/>
      <c r="B1760" s="78"/>
      <c r="C1760" s="189"/>
      <c r="D1760" s="185"/>
      <c r="E1760" s="186"/>
      <c r="F1760" s="187"/>
    </row>
    <row r="1761" spans="1:6" x14ac:dyDescent="0.2">
      <c r="A1761" s="275"/>
      <c r="B1761" s="78"/>
      <c r="C1761" s="189"/>
      <c r="D1761" s="185"/>
      <c r="E1761" s="186"/>
      <c r="F1761" s="187"/>
    </row>
    <row r="1762" spans="1:6" x14ac:dyDescent="0.2">
      <c r="A1762" s="275"/>
      <c r="B1762" s="78"/>
      <c r="C1762" s="189"/>
      <c r="D1762" s="185"/>
      <c r="E1762" s="186"/>
      <c r="F1762" s="187"/>
    </row>
    <row r="1763" spans="1:6" x14ac:dyDescent="0.2">
      <c r="A1763" s="275"/>
      <c r="B1763" s="78"/>
      <c r="C1763" s="189"/>
      <c r="D1763" s="185"/>
      <c r="E1763" s="186"/>
      <c r="F1763" s="187"/>
    </row>
    <row r="1764" spans="1:6" x14ac:dyDescent="0.2">
      <c r="A1764" s="275"/>
      <c r="B1764" s="78"/>
      <c r="C1764" s="189"/>
      <c r="D1764" s="185"/>
      <c r="E1764" s="186"/>
      <c r="F1764" s="187"/>
    </row>
    <row r="1765" spans="1:6" x14ac:dyDescent="0.2">
      <c r="A1765" s="275"/>
      <c r="B1765" s="78"/>
      <c r="C1765" s="189"/>
      <c r="D1765" s="185"/>
      <c r="E1765" s="186"/>
      <c r="F1765" s="187"/>
    </row>
    <row r="1766" spans="1:6" x14ac:dyDescent="0.2">
      <c r="A1766" s="275"/>
      <c r="B1766" s="78"/>
      <c r="C1766" s="189"/>
      <c r="D1766" s="185"/>
      <c r="E1766" s="186"/>
      <c r="F1766" s="187"/>
    </row>
    <row r="1767" spans="1:6" x14ac:dyDescent="0.2">
      <c r="A1767" s="275"/>
      <c r="B1767" s="78"/>
      <c r="C1767" s="189"/>
      <c r="D1767" s="185"/>
      <c r="E1767" s="186"/>
      <c r="F1767" s="187"/>
    </row>
    <row r="1768" spans="1:6" x14ac:dyDescent="0.2">
      <c r="A1768" s="275"/>
      <c r="B1768" s="78"/>
      <c r="C1768" s="189"/>
      <c r="D1768" s="185"/>
      <c r="E1768" s="186"/>
      <c r="F1768" s="187"/>
    </row>
    <row r="1769" spans="1:6" x14ac:dyDescent="0.2">
      <c r="A1769" s="275"/>
      <c r="B1769" s="78"/>
      <c r="C1769" s="189"/>
      <c r="D1769" s="185"/>
      <c r="E1769" s="186"/>
      <c r="F1769" s="187"/>
    </row>
    <row r="1770" spans="1:6" x14ac:dyDescent="0.2">
      <c r="A1770" s="275"/>
      <c r="B1770" s="78"/>
      <c r="C1770" s="189"/>
      <c r="D1770" s="185"/>
      <c r="E1770" s="186"/>
      <c r="F1770" s="187"/>
    </row>
    <row r="1771" spans="1:6" x14ac:dyDescent="0.2">
      <c r="A1771" s="275"/>
      <c r="B1771" s="78"/>
      <c r="C1771" s="189"/>
      <c r="D1771" s="185"/>
      <c r="E1771" s="186"/>
      <c r="F1771" s="187"/>
    </row>
    <row r="1772" spans="1:6" x14ac:dyDescent="0.2">
      <c r="A1772" s="275"/>
      <c r="B1772" s="78"/>
      <c r="C1772" s="189"/>
      <c r="D1772" s="185"/>
      <c r="E1772" s="186"/>
      <c r="F1772" s="187"/>
    </row>
    <row r="1773" spans="1:6" x14ac:dyDescent="0.2">
      <c r="A1773" s="275"/>
      <c r="B1773" s="78"/>
      <c r="C1773" s="189"/>
      <c r="D1773" s="185"/>
      <c r="E1773" s="186"/>
      <c r="F1773" s="187"/>
    </row>
    <row r="1774" spans="1:6" x14ac:dyDescent="0.2">
      <c r="A1774" s="275"/>
      <c r="B1774" s="78"/>
      <c r="C1774" s="189"/>
      <c r="D1774" s="185"/>
      <c r="E1774" s="186"/>
      <c r="F1774" s="187"/>
    </row>
    <row r="1775" spans="1:6" x14ac:dyDescent="0.2">
      <c r="A1775" s="275"/>
      <c r="B1775" s="78"/>
      <c r="C1775" s="189"/>
      <c r="D1775" s="185"/>
      <c r="E1775" s="186"/>
      <c r="F1775" s="187"/>
    </row>
    <row r="1776" spans="1:6" x14ac:dyDescent="0.2">
      <c r="A1776" s="275"/>
      <c r="B1776" s="78"/>
      <c r="C1776" s="189"/>
      <c r="D1776" s="185"/>
      <c r="E1776" s="186"/>
      <c r="F1776" s="187"/>
    </row>
    <row r="1777" spans="1:6" x14ac:dyDescent="0.2">
      <c r="A1777" s="275"/>
      <c r="B1777" s="78"/>
      <c r="C1777" s="189"/>
      <c r="D1777" s="185"/>
      <c r="E1777" s="186"/>
      <c r="F1777" s="187"/>
    </row>
    <row r="1778" spans="1:6" x14ac:dyDescent="0.2">
      <c r="A1778" s="275"/>
      <c r="B1778" s="78"/>
      <c r="C1778" s="189"/>
      <c r="D1778" s="185"/>
      <c r="E1778" s="186"/>
      <c r="F1778" s="187"/>
    </row>
    <row r="1779" spans="1:6" x14ac:dyDescent="0.2">
      <c r="A1779" s="275"/>
      <c r="B1779" s="78"/>
      <c r="C1779" s="189"/>
      <c r="D1779" s="185"/>
      <c r="E1779" s="186"/>
      <c r="F1779" s="187"/>
    </row>
    <row r="1780" spans="1:6" x14ac:dyDescent="0.2">
      <c r="A1780" s="275"/>
      <c r="B1780" s="78"/>
      <c r="C1780" s="189"/>
      <c r="D1780" s="185"/>
      <c r="E1780" s="186"/>
      <c r="F1780" s="187"/>
    </row>
    <row r="1781" spans="1:6" x14ac:dyDescent="0.2">
      <c r="A1781" s="275"/>
      <c r="B1781" s="78"/>
      <c r="C1781" s="189"/>
      <c r="D1781" s="185"/>
      <c r="E1781" s="186"/>
      <c r="F1781" s="187"/>
    </row>
    <row r="1782" spans="1:6" x14ac:dyDescent="0.2">
      <c r="A1782" s="275"/>
      <c r="B1782" s="78"/>
      <c r="C1782" s="189"/>
      <c r="D1782" s="185"/>
      <c r="E1782" s="186"/>
      <c r="F1782" s="187"/>
    </row>
    <row r="1783" spans="1:6" x14ac:dyDescent="0.2">
      <c r="A1783" s="275"/>
      <c r="B1783" s="78"/>
      <c r="C1783" s="189"/>
      <c r="D1783" s="185"/>
      <c r="E1783" s="186"/>
      <c r="F1783" s="187"/>
    </row>
    <row r="1784" spans="1:6" x14ac:dyDescent="0.2">
      <c r="A1784" s="275"/>
      <c r="B1784" s="78"/>
      <c r="C1784" s="189"/>
      <c r="D1784" s="185"/>
      <c r="E1784" s="186"/>
      <c r="F1784" s="187"/>
    </row>
    <row r="1785" spans="1:6" x14ac:dyDescent="0.2">
      <c r="A1785" s="275"/>
      <c r="B1785" s="78"/>
      <c r="C1785" s="189"/>
      <c r="D1785" s="185"/>
      <c r="E1785" s="186"/>
      <c r="F1785" s="187"/>
    </row>
    <row r="1786" spans="1:6" x14ac:dyDescent="0.2">
      <c r="A1786" s="275"/>
      <c r="B1786" s="78"/>
      <c r="C1786" s="189"/>
      <c r="D1786" s="185"/>
      <c r="E1786" s="186"/>
      <c r="F1786" s="187"/>
    </row>
    <row r="1787" spans="1:6" x14ac:dyDescent="0.2">
      <c r="A1787" s="275"/>
      <c r="B1787" s="78"/>
      <c r="C1787" s="189"/>
      <c r="D1787" s="185"/>
      <c r="E1787" s="186"/>
      <c r="F1787" s="187"/>
    </row>
    <row r="1788" spans="1:6" x14ac:dyDescent="0.2">
      <c r="A1788" s="275"/>
      <c r="B1788" s="78"/>
      <c r="C1788" s="189"/>
      <c r="D1788" s="185"/>
      <c r="E1788" s="186"/>
      <c r="F1788" s="187"/>
    </row>
    <row r="1789" spans="1:6" x14ac:dyDescent="0.2">
      <c r="A1789" s="275"/>
      <c r="B1789" s="78"/>
      <c r="C1789" s="189"/>
      <c r="D1789" s="185"/>
      <c r="E1789" s="186"/>
      <c r="F1789" s="187"/>
    </row>
    <row r="1790" spans="1:6" x14ac:dyDescent="0.2">
      <c r="A1790" s="275"/>
      <c r="B1790" s="78"/>
      <c r="C1790" s="189"/>
      <c r="D1790" s="185"/>
      <c r="E1790" s="186"/>
      <c r="F1790" s="187"/>
    </row>
    <row r="1791" spans="1:6" x14ac:dyDescent="0.2">
      <c r="A1791" s="275"/>
      <c r="B1791" s="78"/>
      <c r="C1791" s="189"/>
      <c r="D1791" s="185"/>
      <c r="E1791" s="186"/>
      <c r="F1791" s="187"/>
    </row>
    <row r="1792" spans="1:6" x14ac:dyDescent="0.2">
      <c r="A1792" s="275"/>
      <c r="B1792" s="78"/>
      <c r="C1792" s="189"/>
      <c r="D1792" s="185"/>
      <c r="E1792" s="186"/>
      <c r="F1792" s="187"/>
    </row>
    <row r="1793" spans="1:6" x14ac:dyDescent="0.2">
      <c r="A1793" s="275"/>
      <c r="B1793" s="78"/>
      <c r="C1793" s="189"/>
      <c r="D1793" s="185"/>
      <c r="E1793" s="186"/>
      <c r="F1793" s="187"/>
    </row>
    <row r="1794" spans="1:6" x14ac:dyDescent="0.2">
      <c r="A1794" s="275"/>
      <c r="B1794" s="78"/>
      <c r="C1794" s="189"/>
      <c r="D1794" s="185"/>
      <c r="E1794" s="186"/>
      <c r="F1794" s="187"/>
    </row>
    <row r="1795" spans="1:6" x14ac:dyDescent="0.2">
      <c r="A1795" s="275"/>
      <c r="B1795" s="78"/>
      <c r="C1795" s="189"/>
      <c r="D1795" s="185"/>
      <c r="E1795" s="186"/>
      <c r="F1795" s="187"/>
    </row>
    <row r="1796" spans="1:6" x14ac:dyDescent="0.2">
      <c r="A1796" s="275"/>
      <c r="B1796" s="78"/>
      <c r="C1796" s="189"/>
      <c r="D1796" s="185"/>
      <c r="E1796" s="186"/>
      <c r="F1796" s="187"/>
    </row>
    <row r="1797" spans="1:6" x14ac:dyDescent="0.2">
      <c r="A1797" s="275"/>
      <c r="B1797" s="78"/>
      <c r="C1797" s="189"/>
      <c r="D1797" s="185"/>
      <c r="E1797" s="186"/>
      <c r="F1797" s="187"/>
    </row>
    <row r="1798" spans="1:6" x14ac:dyDescent="0.2">
      <c r="A1798" s="275"/>
      <c r="B1798" s="78"/>
      <c r="C1798" s="189"/>
      <c r="D1798" s="185"/>
      <c r="E1798" s="186"/>
      <c r="F1798" s="187"/>
    </row>
    <row r="1799" spans="1:6" x14ac:dyDescent="0.2">
      <c r="A1799" s="275"/>
      <c r="B1799" s="78"/>
      <c r="C1799" s="189"/>
      <c r="D1799" s="185"/>
      <c r="E1799" s="186"/>
      <c r="F1799" s="187"/>
    </row>
    <row r="1800" spans="1:6" x14ac:dyDescent="0.2">
      <c r="A1800" s="275"/>
      <c r="B1800" s="78"/>
      <c r="C1800" s="189"/>
      <c r="D1800" s="185"/>
      <c r="E1800" s="186"/>
      <c r="F1800" s="187"/>
    </row>
    <row r="1801" spans="1:6" x14ac:dyDescent="0.2">
      <c r="A1801" s="275"/>
      <c r="B1801" s="78"/>
      <c r="C1801" s="189"/>
      <c r="D1801" s="185"/>
      <c r="E1801" s="186"/>
      <c r="F1801" s="187"/>
    </row>
    <row r="1802" spans="1:6" x14ac:dyDescent="0.2">
      <c r="A1802" s="275"/>
      <c r="B1802" s="78"/>
      <c r="C1802" s="189"/>
      <c r="D1802" s="185"/>
      <c r="E1802" s="186"/>
      <c r="F1802" s="187"/>
    </row>
    <row r="1803" spans="1:6" x14ac:dyDescent="0.2">
      <c r="A1803" s="275"/>
      <c r="B1803" s="78"/>
      <c r="C1803" s="189"/>
      <c r="D1803" s="185"/>
      <c r="E1803" s="186"/>
      <c r="F1803" s="187"/>
    </row>
    <row r="1804" spans="1:6" x14ac:dyDescent="0.2">
      <c r="A1804" s="275"/>
      <c r="B1804" s="78"/>
      <c r="C1804" s="189"/>
      <c r="D1804" s="185"/>
      <c r="E1804" s="186"/>
      <c r="F1804" s="187"/>
    </row>
    <row r="1805" spans="1:6" x14ac:dyDescent="0.2">
      <c r="A1805" s="275"/>
      <c r="B1805" s="78"/>
      <c r="C1805" s="189"/>
      <c r="D1805" s="185"/>
      <c r="E1805" s="186"/>
      <c r="F1805" s="187"/>
    </row>
    <row r="1806" spans="1:6" x14ac:dyDescent="0.2">
      <c r="A1806" s="275"/>
      <c r="B1806" s="78"/>
      <c r="C1806" s="189"/>
      <c r="D1806" s="185"/>
      <c r="E1806" s="186"/>
      <c r="F1806" s="187"/>
    </row>
    <row r="1807" spans="1:6" x14ac:dyDescent="0.2">
      <c r="A1807" s="275"/>
      <c r="B1807" s="78"/>
      <c r="C1807" s="189"/>
      <c r="D1807" s="185"/>
      <c r="E1807" s="186"/>
      <c r="F1807" s="187"/>
    </row>
    <row r="1808" spans="1:6" x14ac:dyDescent="0.2">
      <c r="A1808" s="275"/>
      <c r="B1808" s="78"/>
      <c r="C1808" s="189"/>
      <c r="D1808" s="185"/>
      <c r="E1808" s="186"/>
      <c r="F1808" s="187"/>
    </row>
    <row r="1809" spans="1:6" x14ac:dyDescent="0.2">
      <c r="A1809" s="275"/>
      <c r="B1809" s="78"/>
      <c r="C1809" s="189"/>
      <c r="D1809" s="185"/>
      <c r="E1809" s="186"/>
      <c r="F1809" s="187"/>
    </row>
    <row r="1810" spans="1:6" x14ac:dyDescent="0.2">
      <c r="A1810" s="275"/>
      <c r="B1810" s="78"/>
      <c r="C1810" s="189"/>
      <c r="D1810" s="185"/>
      <c r="E1810" s="186"/>
      <c r="F1810" s="187"/>
    </row>
    <row r="1811" spans="1:6" x14ac:dyDescent="0.2">
      <c r="A1811" s="275"/>
      <c r="B1811" s="78"/>
      <c r="C1811" s="189"/>
      <c r="D1811" s="185"/>
      <c r="E1811" s="186"/>
      <c r="F1811" s="187"/>
    </row>
    <row r="1812" spans="1:6" x14ac:dyDescent="0.2">
      <c r="A1812" s="275"/>
      <c r="B1812" s="78"/>
      <c r="C1812" s="189"/>
      <c r="D1812" s="185"/>
      <c r="E1812" s="186"/>
      <c r="F1812" s="187"/>
    </row>
    <row r="1813" spans="1:6" x14ac:dyDescent="0.2">
      <c r="A1813" s="275"/>
      <c r="B1813" s="78"/>
      <c r="C1813" s="189"/>
      <c r="D1813" s="185"/>
      <c r="E1813" s="186"/>
      <c r="F1813" s="187"/>
    </row>
    <row r="1814" spans="1:6" x14ac:dyDescent="0.2">
      <c r="A1814" s="275"/>
      <c r="B1814" s="78"/>
      <c r="C1814" s="189"/>
      <c r="D1814" s="185"/>
      <c r="E1814" s="186"/>
      <c r="F1814" s="187"/>
    </row>
    <row r="1815" spans="1:6" x14ac:dyDescent="0.2">
      <c r="A1815" s="275"/>
      <c r="B1815" s="78"/>
      <c r="C1815" s="189"/>
      <c r="D1815" s="185"/>
      <c r="E1815" s="186"/>
      <c r="F1815" s="187"/>
    </row>
    <row r="1816" spans="1:6" x14ac:dyDescent="0.2">
      <c r="A1816" s="275"/>
      <c r="B1816" s="78"/>
      <c r="C1816" s="189"/>
      <c r="D1816" s="185"/>
      <c r="E1816" s="186"/>
      <c r="F1816" s="187"/>
    </row>
    <row r="1817" spans="1:6" x14ac:dyDescent="0.2">
      <c r="A1817" s="275"/>
      <c r="B1817" s="78"/>
      <c r="C1817" s="189"/>
      <c r="D1817" s="185"/>
      <c r="E1817" s="186"/>
      <c r="F1817" s="187"/>
    </row>
    <row r="1818" spans="1:6" x14ac:dyDescent="0.2">
      <c r="A1818" s="275"/>
      <c r="B1818" s="78"/>
      <c r="C1818" s="189"/>
      <c r="D1818" s="185"/>
      <c r="E1818" s="186"/>
      <c r="F1818" s="187"/>
    </row>
    <row r="1819" spans="1:6" x14ac:dyDescent="0.2">
      <c r="A1819" s="275"/>
      <c r="B1819" s="78"/>
      <c r="C1819" s="189"/>
      <c r="D1819" s="185"/>
      <c r="E1819" s="186"/>
      <c r="F1819" s="187"/>
    </row>
    <row r="1820" spans="1:6" x14ac:dyDescent="0.2">
      <c r="A1820" s="275"/>
      <c r="B1820" s="78"/>
      <c r="C1820" s="189"/>
      <c r="D1820" s="185"/>
      <c r="E1820" s="186"/>
      <c r="F1820" s="187"/>
    </row>
    <row r="1821" spans="1:6" x14ac:dyDescent="0.2">
      <c r="A1821" s="275"/>
      <c r="B1821" s="78"/>
      <c r="C1821" s="189"/>
      <c r="D1821" s="185"/>
      <c r="E1821" s="186"/>
      <c r="F1821" s="187"/>
    </row>
    <row r="1822" spans="1:6" x14ac:dyDescent="0.2">
      <c r="A1822" s="275"/>
      <c r="B1822" s="78"/>
      <c r="C1822" s="189"/>
      <c r="D1822" s="185"/>
      <c r="E1822" s="186"/>
      <c r="F1822" s="187"/>
    </row>
    <row r="1823" spans="1:6" x14ac:dyDescent="0.2">
      <c r="A1823" s="275"/>
      <c r="B1823" s="78"/>
      <c r="C1823" s="189"/>
      <c r="D1823" s="185"/>
      <c r="E1823" s="186"/>
      <c r="F1823" s="187"/>
    </row>
    <row r="1824" spans="1:6" x14ac:dyDescent="0.2">
      <c r="A1824" s="275"/>
      <c r="B1824" s="78"/>
      <c r="C1824" s="189"/>
      <c r="D1824" s="185"/>
      <c r="E1824" s="186"/>
      <c r="F1824" s="187"/>
    </row>
    <row r="1825" spans="1:6" x14ac:dyDescent="0.2">
      <c r="A1825" s="275"/>
      <c r="B1825" s="78"/>
      <c r="C1825" s="189"/>
      <c r="D1825" s="185"/>
      <c r="E1825" s="186"/>
      <c r="F1825" s="187"/>
    </row>
    <row r="1826" spans="1:6" x14ac:dyDescent="0.2">
      <c r="A1826" s="275"/>
      <c r="B1826" s="78"/>
      <c r="C1826" s="189"/>
      <c r="D1826" s="185"/>
      <c r="E1826" s="186"/>
      <c r="F1826" s="187"/>
    </row>
    <row r="1827" spans="1:6" x14ac:dyDescent="0.2">
      <c r="A1827" s="275"/>
      <c r="B1827" s="78"/>
      <c r="C1827" s="189"/>
      <c r="D1827" s="185"/>
      <c r="E1827" s="186"/>
      <c r="F1827" s="187"/>
    </row>
    <row r="1828" spans="1:6" x14ac:dyDescent="0.2">
      <c r="A1828" s="275"/>
      <c r="B1828" s="78"/>
      <c r="C1828" s="189"/>
      <c r="D1828" s="185"/>
      <c r="E1828" s="186"/>
      <c r="F1828" s="187"/>
    </row>
    <row r="1829" spans="1:6" x14ac:dyDescent="0.2">
      <c r="A1829" s="275"/>
      <c r="B1829" s="78"/>
      <c r="C1829" s="189"/>
      <c r="D1829" s="185"/>
      <c r="E1829" s="186"/>
      <c r="F1829" s="187"/>
    </row>
    <row r="1830" spans="1:6" x14ac:dyDescent="0.2">
      <c r="A1830" s="275"/>
      <c r="B1830" s="78"/>
      <c r="C1830" s="189"/>
      <c r="D1830" s="185"/>
      <c r="E1830" s="186"/>
      <c r="F1830" s="187"/>
    </row>
    <row r="1831" spans="1:6" x14ac:dyDescent="0.2">
      <c r="A1831" s="275"/>
      <c r="B1831" s="78"/>
      <c r="C1831" s="189"/>
      <c r="D1831" s="185"/>
      <c r="E1831" s="186"/>
      <c r="F1831" s="187"/>
    </row>
    <row r="1832" spans="1:6" x14ac:dyDescent="0.2">
      <c r="A1832" s="275"/>
      <c r="B1832" s="78"/>
      <c r="C1832" s="189"/>
      <c r="D1832" s="185"/>
      <c r="E1832" s="186"/>
      <c r="F1832" s="187"/>
    </row>
    <row r="1833" spans="1:6" x14ac:dyDescent="0.2">
      <c r="A1833" s="275"/>
      <c r="B1833" s="78"/>
      <c r="C1833" s="189"/>
      <c r="D1833" s="185"/>
      <c r="E1833" s="186"/>
      <c r="F1833" s="187"/>
    </row>
    <row r="1834" spans="1:6" x14ac:dyDescent="0.2">
      <c r="A1834" s="275"/>
      <c r="B1834" s="78"/>
      <c r="C1834" s="189"/>
      <c r="D1834" s="185"/>
      <c r="E1834" s="186"/>
      <c r="F1834" s="187"/>
    </row>
    <row r="1835" spans="1:6" x14ac:dyDescent="0.2">
      <c r="A1835" s="275"/>
      <c r="B1835" s="78"/>
      <c r="C1835" s="189"/>
      <c r="D1835" s="185"/>
      <c r="E1835" s="186"/>
      <c r="F1835" s="187"/>
    </row>
    <row r="1836" spans="1:6" x14ac:dyDescent="0.2">
      <c r="A1836" s="275"/>
      <c r="B1836" s="78"/>
      <c r="C1836" s="189"/>
      <c r="D1836" s="185"/>
      <c r="E1836" s="186"/>
      <c r="F1836" s="187"/>
    </row>
    <row r="1837" spans="1:6" x14ac:dyDescent="0.2">
      <c r="A1837" s="275"/>
      <c r="B1837" s="78"/>
      <c r="C1837" s="189"/>
      <c r="D1837" s="185"/>
      <c r="E1837" s="186"/>
      <c r="F1837" s="187"/>
    </row>
    <row r="1838" spans="1:6" x14ac:dyDescent="0.2">
      <c r="A1838" s="275"/>
      <c r="B1838" s="78"/>
      <c r="C1838" s="189"/>
      <c r="D1838" s="185"/>
      <c r="E1838" s="186"/>
      <c r="F1838" s="187"/>
    </row>
    <row r="1839" spans="1:6" x14ac:dyDescent="0.2">
      <c r="A1839" s="275"/>
      <c r="B1839" s="78"/>
      <c r="C1839" s="189"/>
      <c r="D1839" s="185"/>
      <c r="E1839" s="186"/>
      <c r="F1839" s="187"/>
    </row>
    <row r="1840" spans="1:6" x14ac:dyDescent="0.2">
      <c r="A1840" s="275"/>
      <c r="B1840" s="78"/>
      <c r="C1840" s="189"/>
      <c r="D1840" s="185"/>
      <c r="E1840" s="186"/>
      <c r="F1840" s="187"/>
    </row>
    <row r="1841" spans="1:6" x14ac:dyDescent="0.2">
      <c r="A1841" s="275"/>
      <c r="B1841" s="78"/>
      <c r="C1841" s="189"/>
      <c r="D1841" s="185"/>
      <c r="E1841" s="186"/>
      <c r="F1841" s="187"/>
    </row>
    <row r="1842" spans="1:6" x14ac:dyDescent="0.2">
      <c r="A1842" s="275"/>
      <c r="B1842" s="78"/>
      <c r="C1842" s="189"/>
      <c r="D1842" s="185"/>
      <c r="E1842" s="186"/>
      <c r="F1842" s="187"/>
    </row>
    <row r="1843" spans="1:6" x14ac:dyDescent="0.2">
      <c r="A1843" s="275"/>
      <c r="B1843" s="78"/>
      <c r="C1843" s="189"/>
      <c r="D1843" s="185"/>
      <c r="E1843" s="186"/>
      <c r="F1843" s="187"/>
    </row>
    <row r="1844" spans="1:6" x14ac:dyDescent="0.2">
      <c r="A1844" s="275"/>
      <c r="B1844" s="78"/>
      <c r="C1844" s="189"/>
      <c r="D1844" s="185"/>
      <c r="E1844" s="186"/>
      <c r="F1844" s="187"/>
    </row>
    <row r="1845" spans="1:6" x14ac:dyDescent="0.2">
      <c r="A1845" s="275"/>
      <c r="B1845" s="78"/>
      <c r="C1845" s="189"/>
      <c r="D1845" s="185"/>
      <c r="E1845" s="186"/>
      <c r="F1845" s="187"/>
    </row>
    <row r="1846" spans="1:6" x14ac:dyDescent="0.2">
      <c r="A1846" s="275"/>
      <c r="B1846" s="78"/>
      <c r="C1846" s="189"/>
      <c r="D1846" s="185"/>
      <c r="E1846" s="186"/>
      <c r="F1846" s="187"/>
    </row>
    <row r="1847" spans="1:6" x14ac:dyDescent="0.2">
      <c r="A1847" s="275"/>
      <c r="B1847" s="78"/>
      <c r="C1847" s="189"/>
      <c r="D1847" s="185"/>
      <c r="E1847" s="186"/>
      <c r="F1847" s="187"/>
    </row>
    <row r="1848" spans="1:6" x14ac:dyDescent="0.2">
      <c r="A1848" s="275"/>
      <c r="B1848" s="78"/>
      <c r="C1848" s="189"/>
      <c r="D1848" s="185"/>
      <c r="E1848" s="186"/>
      <c r="F1848" s="187"/>
    </row>
    <row r="1849" spans="1:6" x14ac:dyDescent="0.2">
      <c r="A1849" s="275"/>
      <c r="B1849" s="78"/>
      <c r="C1849" s="189"/>
      <c r="D1849" s="185"/>
      <c r="E1849" s="186"/>
      <c r="F1849" s="187"/>
    </row>
    <row r="1850" spans="1:6" x14ac:dyDescent="0.2">
      <c r="A1850" s="275"/>
      <c r="B1850" s="78"/>
      <c r="C1850" s="189"/>
      <c r="D1850" s="185"/>
      <c r="E1850" s="186"/>
      <c r="F1850" s="187"/>
    </row>
    <row r="1851" spans="1:6" x14ac:dyDescent="0.2">
      <c r="A1851" s="275"/>
      <c r="B1851" s="78"/>
      <c r="C1851" s="189"/>
      <c r="D1851" s="185"/>
      <c r="E1851" s="186"/>
      <c r="F1851" s="187"/>
    </row>
    <row r="1852" spans="1:6" x14ac:dyDescent="0.2">
      <c r="A1852" s="275"/>
      <c r="B1852" s="78"/>
      <c r="C1852" s="189"/>
      <c r="D1852" s="185"/>
      <c r="E1852" s="186"/>
      <c r="F1852" s="187"/>
    </row>
    <row r="1853" spans="1:6" x14ac:dyDescent="0.2">
      <c r="A1853" s="275"/>
      <c r="B1853" s="78"/>
      <c r="C1853" s="189"/>
      <c r="D1853" s="185"/>
      <c r="E1853" s="186"/>
      <c r="F1853" s="187"/>
    </row>
    <row r="1854" spans="1:6" x14ac:dyDescent="0.2">
      <c r="A1854" s="275"/>
      <c r="B1854" s="78"/>
      <c r="C1854" s="189"/>
      <c r="D1854" s="185"/>
      <c r="E1854" s="186"/>
      <c r="F1854" s="187"/>
    </row>
    <row r="1855" spans="1:6" x14ac:dyDescent="0.2">
      <c r="A1855" s="275"/>
      <c r="B1855" s="78"/>
      <c r="C1855" s="189"/>
      <c r="D1855" s="185"/>
      <c r="E1855" s="186"/>
      <c r="F1855" s="187"/>
    </row>
    <row r="1856" spans="1:6" x14ac:dyDescent="0.2">
      <c r="A1856" s="275"/>
      <c r="B1856" s="78"/>
      <c r="C1856" s="189"/>
      <c r="D1856" s="185"/>
      <c r="E1856" s="186"/>
      <c r="F1856" s="187"/>
    </row>
    <row r="1857" spans="1:6" x14ac:dyDescent="0.2">
      <c r="A1857" s="275"/>
      <c r="B1857" s="78"/>
      <c r="C1857" s="189"/>
      <c r="D1857" s="185"/>
      <c r="E1857" s="186"/>
      <c r="F1857" s="187"/>
    </row>
    <row r="1858" spans="1:6" x14ac:dyDescent="0.2">
      <c r="A1858" s="275"/>
      <c r="B1858" s="78"/>
      <c r="C1858" s="189"/>
      <c r="D1858" s="185"/>
      <c r="E1858" s="186"/>
      <c r="F1858" s="187"/>
    </row>
    <row r="1859" spans="1:6" x14ac:dyDescent="0.2">
      <c r="A1859" s="275"/>
      <c r="B1859" s="78"/>
      <c r="C1859" s="189"/>
      <c r="D1859" s="185"/>
      <c r="E1859" s="186"/>
      <c r="F1859" s="187"/>
    </row>
    <row r="1860" spans="1:6" x14ac:dyDescent="0.2">
      <c r="A1860" s="275"/>
      <c r="B1860" s="78"/>
      <c r="C1860" s="189"/>
      <c r="D1860" s="185"/>
      <c r="E1860" s="186"/>
      <c r="F1860" s="187"/>
    </row>
    <row r="1861" spans="1:6" x14ac:dyDescent="0.2">
      <c r="A1861" s="275"/>
      <c r="B1861" s="78"/>
      <c r="C1861" s="189"/>
      <c r="D1861" s="185"/>
      <c r="E1861" s="186"/>
      <c r="F1861" s="187"/>
    </row>
    <row r="1862" spans="1:6" x14ac:dyDescent="0.2">
      <c r="A1862" s="275"/>
      <c r="B1862" s="78"/>
      <c r="C1862" s="189"/>
      <c r="D1862" s="185"/>
      <c r="E1862" s="186"/>
      <c r="F1862" s="187"/>
    </row>
    <row r="1863" spans="1:6" x14ac:dyDescent="0.2">
      <c r="A1863" s="275"/>
      <c r="B1863" s="78"/>
      <c r="C1863" s="189"/>
      <c r="D1863" s="185"/>
      <c r="E1863" s="186"/>
      <c r="F1863" s="187"/>
    </row>
    <row r="1864" spans="1:6" x14ac:dyDescent="0.2">
      <c r="A1864" s="275"/>
      <c r="B1864" s="78"/>
      <c r="C1864" s="189"/>
      <c r="D1864" s="185"/>
      <c r="E1864" s="186"/>
      <c r="F1864" s="187"/>
    </row>
    <row r="1865" spans="1:6" x14ac:dyDescent="0.2">
      <c r="A1865" s="275"/>
      <c r="B1865" s="78"/>
      <c r="C1865" s="189"/>
      <c r="D1865" s="185"/>
      <c r="E1865" s="186"/>
      <c r="F1865" s="187"/>
    </row>
    <row r="1866" spans="1:6" x14ac:dyDescent="0.2">
      <c r="A1866" s="275"/>
      <c r="B1866" s="78"/>
      <c r="C1866" s="189"/>
      <c r="D1866" s="185"/>
      <c r="E1866" s="186"/>
      <c r="F1866" s="187"/>
    </row>
    <row r="1867" spans="1:6" x14ac:dyDescent="0.2">
      <c r="A1867" s="275"/>
      <c r="B1867" s="78"/>
      <c r="C1867" s="189"/>
      <c r="D1867" s="185"/>
      <c r="E1867" s="186"/>
      <c r="F1867" s="187"/>
    </row>
    <row r="1868" spans="1:6" x14ac:dyDescent="0.2">
      <c r="A1868" s="275"/>
      <c r="B1868" s="78"/>
      <c r="C1868" s="189"/>
      <c r="D1868" s="185"/>
      <c r="E1868" s="186"/>
      <c r="F1868" s="187"/>
    </row>
    <row r="1869" spans="1:6" x14ac:dyDescent="0.2">
      <c r="A1869" s="275"/>
      <c r="B1869" s="78"/>
      <c r="C1869" s="189"/>
      <c r="D1869" s="185"/>
      <c r="E1869" s="186"/>
      <c r="F1869" s="187"/>
    </row>
    <row r="1870" spans="1:6" x14ac:dyDescent="0.2">
      <c r="A1870" s="275"/>
      <c r="B1870" s="78"/>
      <c r="C1870" s="189"/>
      <c r="D1870" s="185"/>
      <c r="E1870" s="186"/>
      <c r="F1870" s="187"/>
    </row>
    <row r="1871" spans="1:6" x14ac:dyDescent="0.2">
      <c r="A1871" s="275"/>
      <c r="B1871" s="78"/>
      <c r="C1871" s="189"/>
      <c r="D1871" s="185"/>
      <c r="E1871" s="186"/>
      <c r="F1871" s="187"/>
    </row>
    <row r="1872" spans="1:6" x14ac:dyDescent="0.2">
      <c r="A1872" s="275"/>
      <c r="B1872" s="78"/>
      <c r="C1872" s="189"/>
      <c r="D1872" s="185"/>
      <c r="E1872" s="186"/>
      <c r="F1872" s="187"/>
    </row>
    <row r="1873" spans="1:6" x14ac:dyDescent="0.2">
      <c r="A1873" s="275"/>
      <c r="B1873" s="78"/>
      <c r="C1873" s="189"/>
      <c r="D1873" s="185"/>
      <c r="E1873" s="186"/>
      <c r="F1873" s="187"/>
    </row>
    <row r="1874" spans="1:6" x14ac:dyDescent="0.2">
      <c r="A1874" s="275"/>
      <c r="B1874" s="78"/>
      <c r="C1874" s="189"/>
      <c r="D1874" s="185"/>
      <c r="E1874" s="186"/>
      <c r="F1874" s="187"/>
    </row>
    <row r="1875" spans="1:6" x14ac:dyDescent="0.2">
      <c r="A1875" s="275"/>
      <c r="B1875" s="78"/>
      <c r="C1875" s="189"/>
      <c r="D1875" s="185"/>
      <c r="E1875" s="186"/>
      <c r="F1875" s="187"/>
    </row>
    <row r="1876" spans="1:6" x14ac:dyDescent="0.2">
      <c r="A1876" s="275"/>
      <c r="B1876" s="78"/>
      <c r="C1876" s="189"/>
      <c r="D1876" s="185"/>
      <c r="E1876" s="186"/>
      <c r="F1876" s="187"/>
    </row>
    <row r="1877" spans="1:6" x14ac:dyDescent="0.2">
      <c r="A1877" s="275"/>
      <c r="B1877" s="78"/>
      <c r="C1877" s="189"/>
      <c r="D1877" s="185"/>
      <c r="E1877" s="186"/>
      <c r="F1877" s="187"/>
    </row>
    <row r="1878" spans="1:6" x14ac:dyDescent="0.2">
      <c r="A1878" s="275"/>
      <c r="B1878" s="78"/>
      <c r="C1878" s="189"/>
      <c r="D1878" s="185"/>
      <c r="E1878" s="186"/>
      <c r="F1878" s="187"/>
    </row>
  </sheetData>
  <sheetProtection algorithmName="SHA-512" hashValue="k2NkVzWvtqDzbI37ZDJcXq1i9F9TWdFCGoO2IueL2EggaldaO9BNVlAO4k75BtdkIE28GDqW5usPjOpGYEZ2mA==" saltValue="bwsjr+SB4pPA4AEcrkUtoQ==" spinCount="100000" sheet="1" objects="1" scenarios="1"/>
  <mergeCells count="2">
    <mergeCell ref="B1:F1"/>
    <mergeCell ref="C54:E54"/>
  </mergeCells>
  <dataValidations count="1">
    <dataValidation type="custom" showErrorMessage="1" errorTitle="Nepravilen vnos cene" error="Cena mora biti nenegativno število z največ dvema decimalkama!" sqref="E15:E16 E32:E33 E35:E38 E18:E28 E10:E13 E30 E40:E51 E6:E8 E53">
      <formula1>AND(ISNUMBER(E6),E6&gt;=0,ROUND(E6*100,6)-INT(E6*100)=0,NOT(ISBLANK(E6)))</formula1>
    </dataValidation>
  </dataValidations>
  <printOptions horizontalCentered="1"/>
  <pageMargins left="0.78740157480314965" right="0.39370078740157483" top="0.39370078740157483" bottom="0.98425196850393704" header="0.19685039370078741" footer="0.19685039370078741"/>
  <pageSetup paperSize="9" scale="89" fitToHeight="0" orientation="landscape" r:id="rId1"/>
  <headerFooter>
    <oddHeader>&amp;LRTP 110/20 kV Izola&amp;R&amp;G</oddHeader>
    <oddFooter>&amp;LDZR: Ponudbeni predračun
Datoteka: 4407.6G01.PP.rev1.xlsx&amp;R Stran: &amp;P od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G1851"/>
  <sheetViews>
    <sheetView view="pageBreakPreview" topLeftCell="A13" zoomScaleNormal="100" zoomScaleSheetLayoutView="100" workbookViewId="0">
      <selection activeCell="E13" sqref="E13"/>
    </sheetView>
  </sheetViews>
  <sheetFormatPr defaultColWidth="6.7109375" defaultRowHeight="12.75" x14ac:dyDescent="0.2"/>
  <cols>
    <col min="1" max="1" width="7.85546875" style="190" customWidth="1"/>
    <col min="2" max="2" width="99.140625" style="179" customWidth="1"/>
    <col min="3" max="3" width="9" style="191" customWidth="1"/>
    <col min="4" max="4" width="11.42578125" style="192" customWidth="1"/>
    <col min="5" max="5" width="12.7109375" style="193" customWidth="1"/>
    <col min="6" max="6" width="13.5703125" style="194" customWidth="1"/>
    <col min="7" max="16384" width="6.7109375" style="78"/>
  </cols>
  <sheetData>
    <row r="1" spans="1:6" ht="15.95" customHeight="1" thickBot="1" x14ac:dyDescent="0.3">
      <c r="A1" s="7"/>
      <c r="B1" s="329"/>
      <c r="C1" s="329"/>
      <c r="D1" s="329"/>
      <c r="E1" s="329"/>
      <c r="F1" s="329"/>
    </row>
    <row r="2" spans="1:6" ht="32.450000000000003" customHeight="1" x14ac:dyDescent="0.2">
      <c r="A2" s="1" t="s">
        <v>1</v>
      </c>
      <c r="B2" s="2" t="s">
        <v>1741</v>
      </c>
      <c r="C2" s="3" t="s">
        <v>1742</v>
      </c>
      <c r="D2" s="4" t="s">
        <v>1743</v>
      </c>
      <c r="E2" s="5" t="s">
        <v>1744</v>
      </c>
      <c r="F2" s="6" t="s">
        <v>1745</v>
      </c>
    </row>
    <row r="3" spans="1:6" ht="15" x14ac:dyDescent="0.2">
      <c r="A3" s="21" t="s">
        <v>2110</v>
      </c>
      <c r="B3" s="30" t="s">
        <v>2111</v>
      </c>
      <c r="C3" s="23"/>
      <c r="D3" s="24"/>
      <c r="E3" s="25"/>
      <c r="F3" s="26"/>
    </row>
    <row r="4" spans="1:6" ht="42.75" x14ac:dyDescent="0.2">
      <c r="A4" s="21"/>
      <c r="B4" s="17" t="s">
        <v>1747</v>
      </c>
      <c r="C4" s="23"/>
      <c r="D4" s="24"/>
      <c r="E4" s="25"/>
      <c r="F4" s="26"/>
    </row>
    <row r="5" spans="1:6" ht="57" x14ac:dyDescent="0.2">
      <c r="A5" s="21"/>
      <c r="B5" s="17" t="str">
        <f>'2.2'!B5</f>
        <v xml:space="preserve">Vsi odpadki, ki bodo nastali pri izvedbi, bodo naloženi na prevozno sredstvo in odpeljani na stalno gradbeno deponijo nenevarnih odpadkov uradnega zbiralca odpadkov. Upoštevati vsa potrebna dela in stroške v zvezi z deponiranjem. Vsi odpadki, ki bodo ponovno uporabljeni pri izvedbi, bodo naloženi na prevozno sredstvo in pripeljani na gradbišče. </v>
      </c>
      <c r="C5" s="23"/>
      <c r="D5" s="24"/>
      <c r="E5" s="25"/>
      <c r="F5" s="26"/>
    </row>
    <row r="6" spans="1:6" ht="15" x14ac:dyDescent="0.2">
      <c r="A6" s="21"/>
      <c r="B6" s="17"/>
      <c r="C6" s="23"/>
      <c r="D6" s="24"/>
      <c r="E6" s="25"/>
      <c r="F6" s="26"/>
    </row>
    <row r="7" spans="1:6" ht="15" x14ac:dyDescent="0.2">
      <c r="A7" s="29"/>
      <c r="B7" s="17" t="s">
        <v>2112</v>
      </c>
      <c r="C7" s="15"/>
      <c r="D7" s="16"/>
      <c r="E7" s="25"/>
      <c r="F7" s="26"/>
    </row>
    <row r="8" spans="1:6" ht="57" x14ac:dyDescent="0.2">
      <c r="A8" s="29" t="s">
        <v>2113</v>
      </c>
      <c r="B8" s="17" t="s">
        <v>2114</v>
      </c>
      <c r="C8" s="15" t="s">
        <v>1756</v>
      </c>
      <c r="D8" s="39">
        <f>(2.5*5+85*0.8*0.5)*1.2</f>
        <v>55.8</v>
      </c>
      <c r="E8" s="31">
        <v>0</v>
      </c>
      <c r="F8" s="28">
        <f>ROUND(D8*E8,2)</f>
        <v>0</v>
      </c>
    </row>
    <row r="9" spans="1:6" ht="71.25" x14ac:dyDescent="0.2">
      <c r="A9" s="29" t="s">
        <v>2115</v>
      </c>
      <c r="B9" s="17" t="s">
        <v>2063</v>
      </c>
      <c r="C9" s="15" t="s">
        <v>1756</v>
      </c>
      <c r="D9" s="16">
        <f>D8*0.3</f>
        <v>16.739999999999998</v>
      </c>
      <c r="E9" s="31">
        <v>0</v>
      </c>
      <c r="F9" s="28">
        <f>ROUND(D9*E9,2)</f>
        <v>0</v>
      </c>
    </row>
    <row r="10" spans="1:6" ht="28.5" x14ac:dyDescent="0.2">
      <c r="A10" s="29" t="s">
        <v>2116</v>
      </c>
      <c r="B10" s="17" t="s">
        <v>2117</v>
      </c>
      <c r="C10" s="15" t="s">
        <v>1756</v>
      </c>
      <c r="D10" s="16">
        <f>D8-D9</f>
        <v>39.06</v>
      </c>
      <c r="E10" s="31">
        <v>0</v>
      </c>
      <c r="F10" s="28">
        <f>ROUND(D10*E10,2)</f>
        <v>0</v>
      </c>
    </row>
    <row r="11" spans="1:6" ht="33" customHeight="1" x14ac:dyDescent="0.2">
      <c r="A11" s="29" t="s">
        <v>2118</v>
      </c>
      <c r="B11" s="17" t="s">
        <v>2119</v>
      </c>
      <c r="C11" s="15" t="s">
        <v>1780</v>
      </c>
      <c r="D11" s="16">
        <f>5*1.2+0.4*85</f>
        <v>40</v>
      </c>
      <c r="E11" s="31">
        <v>0</v>
      </c>
      <c r="F11" s="28">
        <f>ROUND(D11*E11,2)</f>
        <v>0</v>
      </c>
    </row>
    <row r="12" spans="1:6" ht="57" x14ac:dyDescent="0.2">
      <c r="A12" s="29" t="s">
        <v>2120</v>
      </c>
      <c r="B12" s="17" t="s">
        <v>1987</v>
      </c>
      <c r="C12" s="15" t="s">
        <v>1780</v>
      </c>
      <c r="D12" s="16">
        <f>5*6*1.2</f>
        <v>36</v>
      </c>
      <c r="E12" s="31">
        <v>0</v>
      </c>
      <c r="F12" s="28">
        <f>ROUND(D12*E12,2)</f>
        <v>0</v>
      </c>
    </row>
    <row r="13" spans="1:6" ht="99.75" x14ac:dyDescent="0.2">
      <c r="A13" s="29" t="s">
        <v>2121</v>
      </c>
      <c r="B13" s="17" t="s">
        <v>2122</v>
      </c>
      <c r="C13" s="15"/>
      <c r="D13" s="16"/>
      <c r="E13" s="25"/>
      <c r="F13" s="26"/>
    </row>
    <row r="14" spans="1:6" ht="42.75" x14ac:dyDescent="0.2">
      <c r="A14" s="29" t="s">
        <v>1761</v>
      </c>
      <c r="B14" s="17" t="s">
        <v>2123</v>
      </c>
      <c r="C14" s="15" t="s">
        <v>1756</v>
      </c>
      <c r="D14" s="39">
        <f>D8*0.5</f>
        <v>27.9</v>
      </c>
      <c r="E14" s="31">
        <v>0</v>
      </c>
      <c r="F14" s="28">
        <f>ROUND(D14*E14,2)</f>
        <v>0</v>
      </c>
    </row>
    <row r="15" spans="1:6" ht="28.5" x14ac:dyDescent="0.2">
      <c r="A15" s="29" t="s">
        <v>1774</v>
      </c>
      <c r="B15" s="17" t="s">
        <v>2124</v>
      </c>
      <c r="C15" s="15" t="s">
        <v>1756</v>
      </c>
      <c r="D15" s="16">
        <f>D8*0.2</f>
        <v>11.16</v>
      </c>
      <c r="E15" s="31">
        <v>0</v>
      </c>
      <c r="F15" s="28">
        <f>ROUND(D15*E15,2)</f>
        <v>0</v>
      </c>
    </row>
    <row r="16" spans="1:6" ht="15" x14ac:dyDescent="0.2">
      <c r="A16" s="29" t="s">
        <v>2125</v>
      </c>
      <c r="B16" s="17" t="s">
        <v>2126</v>
      </c>
      <c r="C16" s="15"/>
      <c r="D16" s="16"/>
      <c r="E16" s="25"/>
      <c r="F16" s="26"/>
    </row>
    <row r="17" spans="1:7" ht="14.25" x14ac:dyDescent="0.2">
      <c r="A17" s="29" t="s">
        <v>1761</v>
      </c>
      <c r="B17" s="17" t="s">
        <v>2127</v>
      </c>
      <c r="C17" s="15" t="s">
        <v>1756</v>
      </c>
      <c r="D17" s="16">
        <f>1*1*0.2*5</f>
        <v>1</v>
      </c>
      <c r="E17" s="31">
        <v>0</v>
      </c>
      <c r="F17" s="28">
        <f>ROUND(D17*E17,2)</f>
        <v>0</v>
      </c>
    </row>
    <row r="18" spans="1:7" ht="28.5" x14ac:dyDescent="0.2">
      <c r="A18" s="29" t="s">
        <v>1774</v>
      </c>
      <c r="B18" s="17" t="s">
        <v>2128</v>
      </c>
      <c r="C18" s="15" t="s">
        <v>1756</v>
      </c>
      <c r="D18" s="16">
        <f>1*1*1.25*5</f>
        <v>6.25</v>
      </c>
      <c r="E18" s="31">
        <v>0</v>
      </c>
      <c r="F18" s="28">
        <f t="shared" ref="F18:F26" si="0">ROUND(D18*E18,2)</f>
        <v>0</v>
      </c>
    </row>
    <row r="19" spans="1:7" ht="14.25" x14ac:dyDescent="0.2">
      <c r="A19" s="29" t="s">
        <v>1873</v>
      </c>
      <c r="B19" s="17" t="s">
        <v>2129</v>
      </c>
      <c r="C19" s="15" t="s">
        <v>1773</v>
      </c>
      <c r="D19" s="16">
        <f>50*5</f>
        <v>250</v>
      </c>
      <c r="E19" s="31">
        <v>0</v>
      </c>
      <c r="F19" s="28">
        <f t="shared" si="0"/>
        <v>0</v>
      </c>
    </row>
    <row r="20" spans="1:7" ht="14.25" x14ac:dyDescent="0.2">
      <c r="A20" s="29" t="s">
        <v>1875</v>
      </c>
      <c r="B20" s="17" t="s">
        <v>2130</v>
      </c>
      <c r="C20" s="15" t="s">
        <v>1773</v>
      </c>
      <c r="D20" s="16">
        <f>D19*0.3</f>
        <v>75</v>
      </c>
      <c r="E20" s="31">
        <v>0</v>
      </c>
      <c r="F20" s="28">
        <f t="shared" si="0"/>
        <v>0</v>
      </c>
    </row>
    <row r="21" spans="1:7" ht="28.5" x14ac:dyDescent="0.2">
      <c r="A21" s="29" t="s">
        <v>2131</v>
      </c>
      <c r="B21" s="17" t="s">
        <v>2132</v>
      </c>
      <c r="C21" s="15" t="s">
        <v>1780</v>
      </c>
      <c r="D21" s="16">
        <f>4*1*1.25*5*1.2</f>
        <v>30</v>
      </c>
      <c r="E21" s="31">
        <v>0</v>
      </c>
      <c r="F21" s="28">
        <f t="shared" si="0"/>
        <v>0</v>
      </c>
    </row>
    <row r="22" spans="1:7" ht="14.25" x14ac:dyDescent="0.2">
      <c r="A22" s="29" t="s">
        <v>2133</v>
      </c>
      <c r="B22" s="17" t="s">
        <v>2134</v>
      </c>
      <c r="C22" s="15" t="s">
        <v>1780</v>
      </c>
      <c r="D22" s="39">
        <f>1*5</f>
        <v>5</v>
      </c>
      <c r="E22" s="31">
        <v>0</v>
      </c>
      <c r="F22" s="28">
        <f t="shared" si="0"/>
        <v>0</v>
      </c>
    </row>
    <row r="23" spans="1:7" ht="14.25" x14ac:dyDescent="0.2">
      <c r="A23" s="29" t="s">
        <v>2135</v>
      </c>
      <c r="B23" s="17" t="s">
        <v>2136</v>
      </c>
      <c r="C23" s="15" t="s">
        <v>1826</v>
      </c>
      <c r="D23" s="16">
        <v>5</v>
      </c>
      <c r="E23" s="31">
        <v>0</v>
      </c>
      <c r="F23" s="28">
        <f>ROUND(D23*E23,2)</f>
        <v>0</v>
      </c>
    </row>
    <row r="24" spans="1:7" ht="85.5" x14ac:dyDescent="0.2">
      <c r="A24" s="29" t="s">
        <v>2137</v>
      </c>
      <c r="B24" s="17" t="s">
        <v>2138</v>
      </c>
      <c r="C24" s="15" t="s">
        <v>1800</v>
      </c>
      <c r="D24" s="16">
        <f>90*1.2</f>
        <v>108</v>
      </c>
      <c r="E24" s="31">
        <v>0</v>
      </c>
      <c r="F24" s="28">
        <f t="shared" si="0"/>
        <v>0</v>
      </c>
    </row>
    <row r="25" spans="1:7" ht="28.5" x14ac:dyDescent="0.2">
      <c r="A25" s="29" t="s">
        <v>2139</v>
      </c>
      <c r="B25" s="17" t="s">
        <v>2140</v>
      </c>
      <c r="C25" s="15" t="s">
        <v>1826</v>
      </c>
      <c r="D25" s="16">
        <f>3*5</f>
        <v>15</v>
      </c>
      <c r="E25" s="31">
        <v>0</v>
      </c>
      <c r="F25" s="28">
        <f t="shared" si="0"/>
        <v>0</v>
      </c>
    </row>
    <row r="26" spans="1:7" ht="57.75" thickBot="1" x14ac:dyDescent="0.25">
      <c r="A26" s="29" t="s">
        <v>2141</v>
      </c>
      <c r="B26" s="17" t="s">
        <v>2142</v>
      </c>
      <c r="C26" s="15" t="s">
        <v>1826</v>
      </c>
      <c r="D26" s="16">
        <v>5</v>
      </c>
      <c r="E26" s="31">
        <v>0</v>
      </c>
      <c r="F26" s="28">
        <f t="shared" si="0"/>
        <v>0</v>
      </c>
    </row>
    <row r="27" spans="1:7" ht="36.75" customHeight="1" thickBot="1" x14ac:dyDescent="0.3">
      <c r="A27" s="264"/>
      <c r="B27" s="269"/>
      <c r="C27" s="336" t="s">
        <v>2143</v>
      </c>
      <c r="D27" s="337"/>
      <c r="E27" s="338"/>
      <c r="F27" s="18">
        <f>SUM(F8:F26)</f>
        <v>0</v>
      </c>
      <c r="G27" s="8"/>
    </row>
    <row r="28" spans="1:7" ht="18" x14ac:dyDescent="0.25">
      <c r="A28" s="182"/>
      <c r="B28" s="183"/>
      <c r="C28" s="184"/>
      <c r="D28" s="185"/>
      <c r="E28" s="186"/>
      <c r="F28" s="187"/>
      <c r="G28" s="8"/>
    </row>
    <row r="29" spans="1:7" ht="18" x14ac:dyDescent="0.25">
      <c r="A29" s="182"/>
      <c r="B29" s="183"/>
      <c r="C29" s="184"/>
      <c r="D29" s="185"/>
      <c r="E29" s="186"/>
      <c r="F29" s="187"/>
      <c r="G29" s="8"/>
    </row>
    <row r="30" spans="1:7" ht="18" x14ac:dyDescent="0.25">
      <c r="A30" s="182"/>
      <c r="B30" s="183"/>
      <c r="C30" s="184"/>
      <c r="D30" s="185"/>
      <c r="E30" s="186"/>
      <c r="F30" s="187"/>
      <c r="G30" s="8"/>
    </row>
    <row r="31" spans="1:7" x14ac:dyDescent="0.2">
      <c r="A31" s="275"/>
      <c r="B31" s="78"/>
      <c r="C31" s="189"/>
      <c r="D31" s="185"/>
      <c r="E31" s="186"/>
      <c r="F31" s="187"/>
    </row>
    <row r="32" spans="1:7" x14ac:dyDescent="0.2">
      <c r="A32" s="275"/>
      <c r="B32" s="78"/>
      <c r="C32" s="189"/>
      <c r="D32" s="185"/>
      <c r="E32" s="186"/>
      <c r="F32" s="187"/>
    </row>
    <row r="33" spans="1:6" x14ac:dyDescent="0.2">
      <c r="A33" s="275"/>
      <c r="B33" s="78"/>
      <c r="C33" s="189"/>
      <c r="D33" s="185"/>
      <c r="E33" s="186"/>
      <c r="F33" s="187"/>
    </row>
    <row r="34" spans="1:6" x14ac:dyDescent="0.2">
      <c r="A34" s="275"/>
      <c r="B34" s="78"/>
      <c r="C34" s="189"/>
      <c r="D34" s="185"/>
      <c r="E34" s="186"/>
      <c r="F34" s="187"/>
    </row>
    <row r="35" spans="1:6" x14ac:dyDescent="0.2">
      <c r="A35" s="275"/>
      <c r="B35" s="78"/>
      <c r="C35" s="189"/>
      <c r="D35" s="185"/>
      <c r="E35" s="186"/>
      <c r="F35" s="187"/>
    </row>
    <row r="36" spans="1:6" x14ac:dyDescent="0.2">
      <c r="A36" s="275"/>
      <c r="B36" s="78"/>
      <c r="C36" s="189"/>
      <c r="D36" s="185"/>
      <c r="E36" s="186"/>
      <c r="F36" s="187"/>
    </row>
    <row r="37" spans="1:6" x14ac:dyDescent="0.2">
      <c r="A37" s="275"/>
      <c r="B37" s="78"/>
      <c r="C37" s="189"/>
      <c r="D37" s="185"/>
      <c r="E37" s="186"/>
      <c r="F37" s="187"/>
    </row>
    <row r="38" spans="1:6" x14ac:dyDescent="0.2">
      <c r="A38" s="275"/>
      <c r="B38" s="78"/>
      <c r="C38" s="189"/>
      <c r="D38" s="185"/>
      <c r="E38" s="186"/>
      <c r="F38" s="187"/>
    </row>
    <row r="39" spans="1:6" x14ac:dyDescent="0.2">
      <c r="A39" s="275"/>
      <c r="B39" s="78"/>
      <c r="C39" s="189"/>
      <c r="D39" s="185"/>
      <c r="E39" s="186"/>
      <c r="F39" s="187"/>
    </row>
    <row r="40" spans="1:6" x14ac:dyDescent="0.2">
      <c r="A40" s="275"/>
      <c r="B40" s="78"/>
      <c r="C40" s="189"/>
      <c r="D40" s="185"/>
      <c r="E40" s="186"/>
      <c r="F40" s="187"/>
    </row>
    <row r="41" spans="1:6" x14ac:dyDescent="0.2">
      <c r="A41" s="275"/>
      <c r="B41" s="78"/>
      <c r="C41" s="189"/>
      <c r="D41" s="185"/>
      <c r="E41" s="186"/>
      <c r="F41" s="187"/>
    </row>
    <row r="42" spans="1:6" x14ac:dyDescent="0.2">
      <c r="A42" s="275"/>
      <c r="B42" s="78"/>
      <c r="C42" s="189"/>
      <c r="D42" s="185"/>
      <c r="E42" s="186"/>
      <c r="F42" s="187"/>
    </row>
    <row r="43" spans="1:6" x14ac:dyDescent="0.2">
      <c r="A43" s="275"/>
      <c r="B43" s="78"/>
      <c r="C43" s="189"/>
      <c r="D43" s="185"/>
      <c r="E43" s="186"/>
      <c r="F43" s="187"/>
    </row>
    <row r="44" spans="1:6" x14ac:dyDescent="0.2">
      <c r="A44" s="275"/>
      <c r="B44" s="78"/>
      <c r="C44" s="189"/>
      <c r="D44" s="185"/>
      <c r="E44" s="186"/>
      <c r="F44" s="187"/>
    </row>
    <row r="45" spans="1:6" x14ac:dyDescent="0.2">
      <c r="A45" s="275"/>
      <c r="B45" s="78"/>
      <c r="C45" s="189"/>
      <c r="D45" s="185"/>
      <c r="E45" s="186"/>
      <c r="F45" s="187"/>
    </row>
    <row r="46" spans="1:6" x14ac:dyDescent="0.2">
      <c r="A46" s="275"/>
      <c r="B46" s="78"/>
      <c r="C46" s="189"/>
      <c r="D46" s="185"/>
      <c r="E46" s="186"/>
      <c r="F46" s="187"/>
    </row>
    <row r="47" spans="1:6" x14ac:dyDescent="0.2">
      <c r="A47" s="275"/>
      <c r="B47" s="78"/>
      <c r="C47" s="189"/>
      <c r="D47" s="185"/>
      <c r="E47" s="186"/>
      <c r="F47" s="187"/>
    </row>
    <row r="48" spans="1:6" x14ac:dyDescent="0.2">
      <c r="A48" s="275"/>
      <c r="B48" s="78"/>
      <c r="C48" s="189"/>
      <c r="D48" s="185"/>
      <c r="E48" s="186"/>
      <c r="F48" s="187"/>
    </row>
    <row r="49" spans="1:6" x14ac:dyDescent="0.2">
      <c r="A49" s="275"/>
      <c r="B49" s="78"/>
      <c r="C49" s="189"/>
      <c r="D49" s="185"/>
      <c r="E49" s="186"/>
      <c r="F49" s="187"/>
    </row>
    <row r="50" spans="1:6" x14ac:dyDescent="0.2">
      <c r="A50" s="275"/>
      <c r="B50" s="78"/>
      <c r="C50" s="189"/>
      <c r="D50" s="185"/>
      <c r="E50" s="186"/>
      <c r="F50" s="187"/>
    </row>
    <row r="51" spans="1:6" x14ac:dyDescent="0.2">
      <c r="A51" s="275"/>
      <c r="B51" s="78"/>
      <c r="C51" s="189"/>
      <c r="D51" s="185"/>
      <c r="E51" s="186"/>
      <c r="F51" s="187"/>
    </row>
    <row r="52" spans="1:6" x14ac:dyDescent="0.2">
      <c r="A52" s="275"/>
      <c r="B52" s="78"/>
      <c r="C52" s="189"/>
      <c r="D52" s="185"/>
      <c r="E52" s="186"/>
      <c r="F52" s="187"/>
    </row>
    <row r="53" spans="1:6" x14ac:dyDescent="0.2">
      <c r="A53" s="275"/>
      <c r="B53" s="78"/>
      <c r="C53" s="189"/>
      <c r="D53" s="185"/>
      <c r="E53" s="186"/>
      <c r="F53" s="187"/>
    </row>
    <row r="54" spans="1:6" x14ac:dyDescent="0.2">
      <c r="A54" s="275"/>
      <c r="B54" s="78"/>
      <c r="C54" s="189"/>
      <c r="D54" s="185"/>
      <c r="E54" s="186"/>
      <c r="F54" s="187"/>
    </row>
    <row r="55" spans="1:6" x14ac:dyDescent="0.2">
      <c r="A55" s="275"/>
      <c r="B55" s="78"/>
      <c r="C55" s="189"/>
      <c r="D55" s="185"/>
      <c r="E55" s="186"/>
      <c r="F55" s="187"/>
    </row>
    <row r="56" spans="1:6" x14ac:dyDescent="0.2">
      <c r="A56" s="275"/>
      <c r="B56" s="78"/>
      <c r="C56" s="189"/>
      <c r="D56" s="185"/>
      <c r="E56" s="186"/>
      <c r="F56" s="187"/>
    </row>
    <row r="57" spans="1:6" x14ac:dyDescent="0.2">
      <c r="A57" s="275"/>
      <c r="B57" s="78"/>
      <c r="C57" s="189"/>
      <c r="D57" s="185"/>
      <c r="E57" s="186"/>
      <c r="F57" s="187"/>
    </row>
    <row r="58" spans="1:6" x14ac:dyDescent="0.2">
      <c r="A58" s="275"/>
      <c r="B58" s="78"/>
      <c r="C58" s="189"/>
      <c r="D58" s="185"/>
      <c r="E58" s="186"/>
      <c r="F58" s="187"/>
    </row>
    <row r="59" spans="1:6" x14ac:dyDescent="0.2">
      <c r="A59" s="275"/>
      <c r="B59" s="78"/>
      <c r="C59" s="189"/>
      <c r="D59" s="185"/>
      <c r="E59" s="186"/>
      <c r="F59" s="187"/>
    </row>
    <row r="60" spans="1:6" x14ac:dyDescent="0.2">
      <c r="A60" s="275"/>
      <c r="B60" s="78"/>
      <c r="C60" s="189"/>
      <c r="D60" s="185"/>
      <c r="E60" s="186"/>
      <c r="F60" s="187"/>
    </row>
    <row r="61" spans="1:6" x14ac:dyDescent="0.2">
      <c r="A61" s="275"/>
      <c r="B61" s="78"/>
      <c r="C61" s="189"/>
      <c r="D61" s="185"/>
      <c r="E61" s="186"/>
      <c r="F61" s="187"/>
    </row>
    <row r="62" spans="1:6" x14ac:dyDescent="0.2">
      <c r="A62" s="275"/>
      <c r="B62" s="78"/>
      <c r="C62" s="189"/>
      <c r="D62" s="185"/>
      <c r="E62" s="186"/>
      <c r="F62" s="187"/>
    </row>
    <row r="63" spans="1:6" x14ac:dyDescent="0.2">
      <c r="A63" s="275"/>
      <c r="B63" s="78"/>
      <c r="C63" s="189"/>
      <c r="D63" s="185"/>
      <c r="E63" s="186"/>
      <c r="F63" s="187"/>
    </row>
    <row r="64" spans="1:6" x14ac:dyDescent="0.2">
      <c r="A64" s="275"/>
      <c r="B64" s="78"/>
      <c r="C64" s="189"/>
      <c r="D64" s="185"/>
      <c r="E64" s="186"/>
      <c r="F64" s="187"/>
    </row>
    <row r="65" spans="1:6" x14ac:dyDescent="0.2">
      <c r="A65" s="275"/>
      <c r="B65" s="78"/>
      <c r="C65" s="189"/>
      <c r="D65" s="185"/>
      <c r="E65" s="186"/>
      <c r="F65" s="187"/>
    </row>
    <row r="66" spans="1:6" x14ac:dyDescent="0.2">
      <c r="A66" s="275"/>
      <c r="B66" s="78"/>
      <c r="C66" s="189"/>
      <c r="D66" s="185"/>
      <c r="E66" s="186"/>
      <c r="F66" s="187"/>
    </row>
    <row r="67" spans="1:6" x14ac:dyDescent="0.2">
      <c r="A67" s="275"/>
      <c r="B67" s="78"/>
      <c r="C67" s="189"/>
      <c r="D67" s="185"/>
      <c r="E67" s="186"/>
      <c r="F67" s="187"/>
    </row>
    <row r="68" spans="1:6" x14ac:dyDescent="0.2">
      <c r="A68" s="275"/>
      <c r="B68" s="78"/>
      <c r="C68" s="189"/>
      <c r="D68" s="185"/>
      <c r="E68" s="186"/>
      <c r="F68" s="187"/>
    </row>
    <row r="69" spans="1:6" x14ac:dyDescent="0.2">
      <c r="A69" s="275"/>
      <c r="B69" s="78"/>
      <c r="C69" s="189"/>
      <c r="D69" s="185"/>
      <c r="E69" s="186"/>
      <c r="F69" s="187"/>
    </row>
    <row r="70" spans="1:6" x14ac:dyDescent="0.2">
      <c r="A70" s="275"/>
      <c r="B70" s="78"/>
      <c r="C70" s="189"/>
      <c r="D70" s="185"/>
      <c r="E70" s="186"/>
      <c r="F70" s="187"/>
    </row>
    <row r="71" spans="1:6" x14ac:dyDescent="0.2">
      <c r="A71" s="275"/>
      <c r="B71" s="78"/>
      <c r="C71" s="189"/>
      <c r="D71" s="185"/>
      <c r="E71" s="186"/>
      <c r="F71" s="187"/>
    </row>
    <row r="72" spans="1:6" x14ac:dyDescent="0.2">
      <c r="A72" s="275"/>
      <c r="B72" s="78"/>
      <c r="C72" s="189"/>
      <c r="D72" s="185"/>
      <c r="E72" s="186"/>
      <c r="F72" s="187"/>
    </row>
    <row r="73" spans="1:6" x14ac:dyDescent="0.2">
      <c r="A73" s="275"/>
      <c r="B73" s="78"/>
      <c r="C73" s="189"/>
      <c r="D73" s="185"/>
      <c r="E73" s="186"/>
      <c r="F73" s="187"/>
    </row>
    <row r="74" spans="1:6" x14ac:dyDescent="0.2">
      <c r="A74" s="275"/>
      <c r="B74" s="78"/>
      <c r="C74" s="189"/>
      <c r="D74" s="185"/>
      <c r="E74" s="186"/>
      <c r="F74" s="187"/>
    </row>
    <row r="75" spans="1:6" x14ac:dyDescent="0.2">
      <c r="A75" s="275"/>
      <c r="B75" s="78"/>
      <c r="C75" s="189"/>
      <c r="D75" s="185"/>
      <c r="E75" s="186"/>
      <c r="F75" s="187"/>
    </row>
    <row r="76" spans="1:6" x14ac:dyDescent="0.2">
      <c r="A76" s="275"/>
      <c r="B76" s="78"/>
      <c r="C76" s="189"/>
      <c r="D76" s="185"/>
      <c r="E76" s="186"/>
      <c r="F76" s="187"/>
    </row>
    <row r="77" spans="1:6" x14ac:dyDescent="0.2">
      <c r="A77" s="275"/>
      <c r="B77" s="78"/>
      <c r="C77" s="189"/>
      <c r="D77" s="185"/>
      <c r="E77" s="186"/>
      <c r="F77" s="187"/>
    </row>
    <row r="78" spans="1:6" x14ac:dyDescent="0.2">
      <c r="A78" s="275"/>
      <c r="B78" s="78"/>
      <c r="C78" s="189"/>
      <c r="D78" s="185"/>
      <c r="E78" s="186"/>
      <c r="F78" s="187"/>
    </row>
    <row r="79" spans="1:6" x14ac:dyDescent="0.2">
      <c r="A79" s="275"/>
      <c r="B79" s="78"/>
      <c r="C79" s="189"/>
      <c r="D79" s="185"/>
      <c r="E79" s="186"/>
      <c r="F79" s="187"/>
    </row>
    <row r="80" spans="1:6" x14ac:dyDescent="0.2">
      <c r="A80" s="275"/>
      <c r="B80" s="78"/>
      <c r="C80" s="189"/>
      <c r="D80" s="185"/>
      <c r="E80" s="186"/>
      <c r="F80" s="187"/>
    </row>
    <row r="81" spans="1:6" x14ac:dyDescent="0.2">
      <c r="A81" s="275"/>
      <c r="B81" s="78"/>
      <c r="C81" s="189"/>
      <c r="D81" s="185"/>
      <c r="E81" s="186"/>
      <c r="F81" s="187"/>
    </row>
    <row r="82" spans="1:6" x14ac:dyDescent="0.2">
      <c r="A82" s="275"/>
      <c r="B82" s="78"/>
      <c r="C82" s="189"/>
      <c r="D82" s="185"/>
      <c r="E82" s="186"/>
      <c r="F82" s="187"/>
    </row>
    <row r="83" spans="1:6" x14ac:dyDescent="0.2">
      <c r="A83" s="275"/>
      <c r="B83" s="78"/>
      <c r="C83" s="189"/>
      <c r="D83" s="185"/>
      <c r="E83" s="186"/>
      <c r="F83" s="187"/>
    </row>
    <row r="84" spans="1:6" x14ac:dyDescent="0.2">
      <c r="A84" s="275"/>
      <c r="B84" s="78"/>
      <c r="C84" s="189"/>
      <c r="D84" s="185"/>
      <c r="E84" s="186"/>
      <c r="F84" s="187"/>
    </row>
    <row r="85" spans="1:6" x14ac:dyDescent="0.2">
      <c r="A85" s="275"/>
      <c r="B85" s="78"/>
      <c r="C85" s="189"/>
      <c r="D85" s="185"/>
      <c r="E85" s="186"/>
      <c r="F85" s="187"/>
    </row>
    <row r="86" spans="1:6" x14ac:dyDescent="0.2">
      <c r="A86" s="275"/>
      <c r="B86" s="78"/>
      <c r="C86" s="189"/>
      <c r="D86" s="185"/>
      <c r="E86" s="186"/>
      <c r="F86" s="187"/>
    </row>
    <row r="87" spans="1:6" x14ac:dyDescent="0.2">
      <c r="A87" s="275"/>
      <c r="B87" s="78"/>
      <c r="C87" s="189"/>
      <c r="D87" s="185"/>
      <c r="E87" s="186"/>
      <c r="F87" s="187"/>
    </row>
    <row r="88" spans="1:6" x14ac:dyDescent="0.2">
      <c r="A88" s="275"/>
      <c r="B88" s="78"/>
      <c r="C88" s="189"/>
      <c r="D88" s="185"/>
      <c r="E88" s="186"/>
      <c r="F88" s="187"/>
    </row>
    <row r="89" spans="1:6" x14ac:dyDescent="0.2">
      <c r="A89" s="275"/>
      <c r="B89" s="78"/>
      <c r="C89" s="189"/>
      <c r="D89" s="185"/>
      <c r="E89" s="186"/>
      <c r="F89" s="187"/>
    </row>
    <row r="90" spans="1:6" x14ac:dyDescent="0.2">
      <c r="A90" s="275"/>
      <c r="B90" s="78"/>
      <c r="C90" s="189"/>
      <c r="D90" s="185"/>
      <c r="E90" s="186"/>
      <c r="F90" s="187"/>
    </row>
    <row r="91" spans="1:6" x14ac:dyDescent="0.2">
      <c r="A91" s="275"/>
      <c r="B91" s="78"/>
      <c r="C91" s="189"/>
      <c r="D91" s="185"/>
      <c r="E91" s="186"/>
      <c r="F91" s="187"/>
    </row>
    <row r="92" spans="1:6" x14ac:dyDescent="0.2">
      <c r="A92" s="275"/>
      <c r="B92" s="78"/>
      <c r="C92" s="189"/>
      <c r="D92" s="185"/>
      <c r="E92" s="186"/>
      <c r="F92" s="187"/>
    </row>
    <row r="93" spans="1:6" x14ac:dyDescent="0.2">
      <c r="A93" s="275"/>
      <c r="B93" s="78"/>
      <c r="C93" s="189"/>
      <c r="D93" s="185"/>
      <c r="E93" s="186"/>
      <c r="F93" s="187"/>
    </row>
    <row r="94" spans="1:6" x14ac:dyDescent="0.2">
      <c r="A94" s="275"/>
      <c r="B94" s="78"/>
      <c r="C94" s="189"/>
      <c r="D94" s="185"/>
      <c r="E94" s="186"/>
      <c r="F94" s="187"/>
    </row>
    <row r="95" spans="1:6" x14ac:dyDescent="0.2">
      <c r="A95" s="275"/>
      <c r="B95" s="78"/>
      <c r="C95" s="189"/>
      <c r="D95" s="185"/>
      <c r="E95" s="186"/>
      <c r="F95" s="187"/>
    </row>
    <row r="96" spans="1:6" x14ac:dyDescent="0.2">
      <c r="A96" s="275"/>
      <c r="B96" s="78"/>
      <c r="C96" s="189"/>
      <c r="D96" s="185"/>
      <c r="E96" s="186"/>
      <c r="F96" s="187"/>
    </row>
    <row r="97" spans="1:6" x14ac:dyDescent="0.2">
      <c r="A97" s="275"/>
      <c r="B97" s="78"/>
      <c r="C97" s="189"/>
      <c r="D97" s="185"/>
      <c r="E97" s="186"/>
      <c r="F97" s="187"/>
    </row>
    <row r="98" spans="1:6" x14ac:dyDescent="0.2">
      <c r="A98" s="275"/>
      <c r="B98" s="78"/>
      <c r="C98" s="189"/>
      <c r="D98" s="185"/>
      <c r="E98" s="186"/>
      <c r="F98" s="187"/>
    </row>
    <row r="99" spans="1:6" x14ac:dyDescent="0.2">
      <c r="A99" s="275"/>
      <c r="B99" s="78"/>
      <c r="C99" s="189"/>
      <c r="D99" s="185"/>
      <c r="E99" s="186"/>
      <c r="F99" s="187"/>
    </row>
    <row r="100" spans="1:6" x14ac:dyDescent="0.2">
      <c r="A100" s="275"/>
      <c r="B100" s="78"/>
      <c r="C100" s="189"/>
      <c r="D100" s="185"/>
      <c r="E100" s="186"/>
      <c r="F100" s="187"/>
    </row>
    <row r="101" spans="1:6" x14ac:dyDescent="0.2">
      <c r="A101" s="275"/>
      <c r="B101" s="78"/>
      <c r="C101" s="189"/>
      <c r="D101" s="185"/>
      <c r="E101" s="186"/>
      <c r="F101" s="187"/>
    </row>
    <row r="102" spans="1:6" x14ac:dyDescent="0.2">
      <c r="A102" s="275"/>
      <c r="B102" s="78"/>
      <c r="C102" s="189"/>
      <c r="D102" s="185"/>
      <c r="E102" s="186"/>
      <c r="F102" s="187"/>
    </row>
    <row r="103" spans="1:6" x14ac:dyDescent="0.2">
      <c r="A103" s="275"/>
      <c r="B103" s="78"/>
      <c r="C103" s="189"/>
      <c r="D103" s="185"/>
      <c r="E103" s="186"/>
      <c r="F103" s="187"/>
    </row>
    <row r="104" spans="1:6" x14ac:dyDescent="0.2">
      <c r="A104" s="275"/>
      <c r="B104" s="78"/>
      <c r="C104" s="189"/>
      <c r="D104" s="185"/>
      <c r="E104" s="186"/>
      <c r="F104" s="187"/>
    </row>
    <row r="105" spans="1:6" x14ac:dyDescent="0.2">
      <c r="A105" s="275"/>
      <c r="B105" s="78"/>
      <c r="C105" s="189"/>
      <c r="D105" s="185"/>
      <c r="E105" s="186"/>
      <c r="F105" s="187"/>
    </row>
    <row r="106" spans="1:6" x14ac:dyDescent="0.2">
      <c r="A106" s="275"/>
      <c r="B106" s="78"/>
      <c r="C106" s="189"/>
      <c r="D106" s="185"/>
      <c r="E106" s="186"/>
      <c r="F106" s="187"/>
    </row>
    <row r="107" spans="1:6" x14ac:dyDescent="0.2">
      <c r="A107" s="275"/>
      <c r="B107" s="78"/>
      <c r="C107" s="189"/>
      <c r="D107" s="185"/>
      <c r="E107" s="186"/>
      <c r="F107" s="187"/>
    </row>
    <row r="108" spans="1:6" x14ac:dyDescent="0.2">
      <c r="A108" s="275"/>
      <c r="B108" s="78"/>
      <c r="C108" s="189"/>
      <c r="D108" s="185"/>
      <c r="E108" s="186"/>
      <c r="F108" s="187"/>
    </row>
    <row r="109" spans="1:6" x14ac:dyDescent="0.2">
      <c r="A109" s="275"/>
      <c r="B109" s="78"/>
      <c r="C109" s="189"/>
      <c r="D109" s="185"/>
      <c r="E109" s="186"/>
      <c r="F109" s="187"/>
    </row>
    <row r="110" spans="1:6" x14ac:dyDescent="0.2">
      <c r="A110" s="275"/>
      <c r="B110" s="78"/>
      <c r="C110" s="189"/>
      <c r="D110" s="185"/>
      <c r="E110" s="186"/>
      <c r="F110" s="187"/>
    </row>
    <row r="111" spans="1:6" x14ac:dyDescent="0.2">
      <c r="A111" s="275"/>
      <c r="B111" s="78"/>
      <c r="C111" s="189"/>
      <c r="D111" s="185"/>
      <c r="E111" s="186"/>
      <c r="F111" s="187"/>
    </row>
    <row r="112" spans="1:6" x14ac:dyDescent="0.2">
      <c r="A112" s="275"/>
      <c r="B112" s="78"/>
      <c r="C112" s="189"/>
      <c r="D112" s="185"/>
      <c r="E112" s="186"/>
      <c r="F112" s="187"/>
    </row>
    <row r="113" spans="1:6" x14ac:dyDescent="0.2">
      <c r="A113" s="275"/>
      <c r="B113" s="78"/>
      <c r="C113" s="189"/>
      <c r="D113" s="185"/>
      <c r="E113" s="186"/>
      <c r="F113" s="187"/>
    </row>
    <row r="114" spans="1:6" x14ac:dyDescent="0.2">
      <c r="A114" s="275"/>
      <c r="B114" s="78"/>
      <c r="C114" s="189"/>
      <c r="D114" s="185"/>
      <c r="E114" s="186"/>
      <c r="F114" s="187"/>
    </row>
    <row r="115" spans="1:6" x14ac:dyDescent="0.2">
      <c r="A115" s="275"/>
      <c r="B115" s="78"/>
      <c r="C115" s="189"/>
      <c r="D115" s="185"/>
      <c r="E115" s="186"/>
      <c r="F115" s="187"/>
    </row>
    <row r="116" spans="1:6" x14ac:dyDescent="0.2">
      <c r="A116" s="275"/>
      <c r="B116" s="78"/>
      <c r="C116" s="189"/>
      <c r="D116" s="185"/>
      <c r="E116" s="186"/>
      <c r="F116" s="187"/>
    </row>
    <row r="117" spans="1:6" x14ac:dyDescent="0.2">
      <c r="A117" s="275"/>
      <c r="B117" s="78"/>
      <c r="C117" s="189"/>
      <c r="D117" s="185"/>
      <c r="E117" s="186"/>
      <c r="F117" s="187"/>
    </row>
    <row r="118" spans="1:6" x14ac:dyDescent="0.2">
      <c r="A118" s="275"/>
      <c r="B118" s="78"/>
      <c r="C118" s="189"/>
      <c r="D118" s="185"/>
      <c r="E118" s="186"/>
      <c r="F118" s="187"/>
    </row>
    <row r="119" spans="1:6" x14ac:dyDescent="0.2">
      <c r="A119" s="275"/>
      <c r="B119" s="78"/>
      <c r="C119" s="189"/>
      <c r="D119" s="185"/>
      <c r="E119" s="186"/>
      <c r="F119" s="187"/>
    </row>
    <row r="120" spans="1:6" x14ac:dyDescent="0.2">
      <c r="A120" s="275"/>
      <c r="B120" s="78"/>
      <c r="C120" s="189"/>
      <c r="D120" s="185"/>
      <c r="E120" s="186"/>
      <c r="F120" s="187"/>
    </row>
    <row r="121" spans="1:6" x14ac:dyDescent="0.2">
      <c r="A121" s="275"/>
      <c r="B121" s="78"/>
      <c r="C121" s="189"/>
      <c r="D121" s="185"/>
      <c r="E121" s="186"/>
      <c r="F121" s="187"/>
    </row>
    <row r="122" spans="1:6" x14ac:dyDescent="0.2">
      <c r="A122" s="275"/>
      <c r="B122" s="78"/>
      <c r="C122" s="189"/>
      <c r="D122" s="185"/>
      <c r="E122" s="186"/>
      <c r="F122" s="187"/>
    </row>
    <row r="123" spans="1:6" x14ac:dyDescent="0.2">
      <c r="A123" s="275"/>
      <c r="B123" s="78"/>
      <c r="C123" s="189"/>
      <c r="D123" s="185"/>
      <c r="E123" s="186"/>
      <c r="F123" s="187"/>
    </row>
    <row r="124" spans="1:6" x14ac:dyDescent="0.2">
      <c r="A124" s="275"/>
      <c r="B124" s="78"/>
      <c r="C124" s="189"/>
      <c r="D124" s="185"/>
      <c r="E124" s="186"/>
      <c r="F124" s="187"/>
    </row>
    <row r="125" spans="1:6" x14ac:dyDescent="0.2">
      <c r="A125" s="275"/>
      <c r="B125" s="78"/>
      <c r="C125" s="189"/>
      <c r="D125" s="185"/>
      <c r="E125" s="186"/>
      <c r="F125" s="187"/>
    </row>
    <row r="126" spans="1:6" x14ac:dyDescent="0.2">
      <c r="A126" s="275"/>
      <c r="B126" s="78"/>
      <c r="C126" s="189"/>
      <c r="D126" s="185"/>
      <c r="E126" s="186"/>
      <c r="F126" s="187"/>
    </row>
    <row r="127" spans="1:6" x14ac:dyDescent="0.2">
      <c r="A127" s="275"/>
      <c r="B127" s="78"/>
      <c r="C127" s="189"/>
      <c r="D127" s="185"/>
      <c r="E127" s="186"/>
      <c r="F127" s="187"/>
    </row>
    <row r="128" spans="1:6" x14ac:dyDescent="0.2">
      <c r="A128" s="275"/>
      <c r="B128" s="78"/>
      <c r="C128" s="189"/>
      <c r="D128" s="185"/>
      <c r="E128" s="186"/>
      <c r="F128" s="187"/>
    </row>
    <row r="129" spans="1:6" x14ac:dyDescent="0.2">
      <c r="A129" s="275"/>
      <c r="B129" s="78"/>
      <c r="C129" s="189"/>
      <c r="D129" s="185"/>
      <c r="E129" s="186"/>
      <c r="F129" s="187"/>
    </row>
    <row r="130" spans="1:6" x14ac:dyDescent="0.2">
      <c r="A130" s="275"/>
      <c r="B130" s="78"/>
      <c r="C130" s="189"/>
      <c r="D130" s="185"/>
      <c r="E130" s="186"/>
      <c r="F130" s="187"/>
    </row>
    <row r="131" spans="1:6" x14ac:dyDescent="0.2">
      <c r="A131" s="275"/>
      <c r="B131" s="78"/>
      <c r="C131" s="189"/>
      <c r="D131" s="185"/>
      <c r="E131" s="186"/>
      <c r="F131" s="187"/>
    </row>
    <row r="132" spans="1:6" x14ac:dyDescent="0.2">
      <c r="A132" s="275"/>
      <c r="B132" s="78"/>
      <c r="C132" s="189"/>
      <c r="D132" s="185"/>
      <c r="E132" s="186"/>
      <c r="F132" s="187"/>
    </row>
    <row r="133" spans="1:6" x14ac:dyDescent="0.2">
      <c r="A133" s="275"/>
      <c r="B133" s="78"/>
      <c r="C133" s="189"/>
      <c r="D133" s="185"/>
      <c r="E133" s="186"/>
      <c r="F133" s="187"/>
    </row>
    <row r="134" spans="1:6" x14ac:dyDescent="0.2">
      <c r="A134" s="275"/>
      <c r="B134" s="78"/>
      <c r="C134" s="189"/>
      <c r="D134" s="185"/>
      <c r="E134" s="186"/>
      <c r="F134" s="187"/>
    </row>
    <row r="135" spans="1:6" x14ac:dyDescent="0.2">
      <c r="A135" s="275"/>
      <c r="B135" s="78"/>
      <c r="C135" s="189"/>
      <c r="D135" s="185"/>
      <c r="E135" s="186"/>
      <c r="F135" s="187"/>
    </row>
    <row r="136" spans="1:6" x14ac:dyDescent="0.2">
      <c r="A136" s="275"/>
      <c r="B136" s="78"/>
      <c r="C136" s="189"/>
      <c r="D136" s="185"/>
      <c r="E136" s="186"/>
      <c r="F136" s="187"/>
    </row>
    <row r="137" spans="1:6" x14ac:dyDescent="0.2">
      <c r="A137" s="275"/>
      <c r="B137" s="78"/>
      <c r="C137" s="189"/>
      <c r="D137" s="185"/>
      <c r="E137" s="186"/>
      <c r="F137" s="187"/>
    </row>
    <row r="138" spans="1:6" x14ac:dyDescent="0.2">
      <c r="A138" s="275"/>
      <c r="B138" s="78"/>
      <c r="C138" s="189"/>
      <c r="D138" s="185"/>
      <c r="E138" s="186"/>
      <c r="F138" s="187"/>
    </row>
    <row r="139" spans="1:6" x14ac:dyDescent="0.2">
      <c r="A139" s="275"/>
      <c r="B139" s="78"/>
      <c r="C139" s="189"/>
      <c r="D139" s="185"/>
      <c r="E139" s="186"/>
      <c r="F139" s="187"/>
    </row>
    <row r="140" spans="1:6" x14ac:dyDescent="0.2">
      <c r="A140" s="275"/>
      <c r="B140" s="78"/>
      <c r="C140" s="189"/>
      <c r="D140" s="185"/>
      <c r="E140" s="186"/>
      <c r="F140" s="187"/>
    </row>
    <row r="141" spans="1:6" x14ac:dyDescent="0.2">
      <c r="A141" s="275"/>
      <c r="B141" s="78"/>
      <c r="C141" s="189"/>
      <c r="D141" s="185"/>
      <c r="E141" s="186"/>
      <c r="F141" s="187"/>
    </row>
    <row r="142" spans="1:6" x14ac:dyDescent="0.2">
      <c r="A142" s="275"/>
      <c r="B142" s="78"/>
      <c r="C142" s="189"/>
      <c r="D142" s="185"/>
      <c r="E142" s="186"/>
      <c r="F142" s="187"/>
    </row>
    <row r="143" spans="1:6" x14ac:dyDescent="0.2">
      <c r="A143" s="275"/>
      <c r="B143" s="78"/>
      <c r="C143" s="189"/>
      <c r="D143" s="185"/>
      <c r="E143" s="186"/>
      <c r="F143" s="187"/>
    </row>
    <row r="144" spans="1:6" x14ac:dyDescent="0.2">
      <c r="A144" s="275"/>
      <c r="B144" s="78"/>
      <c r="C144" s="189"/>
      <c r="D144" s="185"/>
      <c r="E144" s="186"/>
      <c r="F144" s="187"/>
    </row>
    <row r="145" spans="1:6" x14ac:dyDescent="0.2">
      <c r="A145" s="275"/>
      <c r="B145" s="78"/>
      <c r="C145" s="189"/>
      <c r="D145" s="185"/>
      <c r="E145" s="186"/>
      <c r="F145" s="187"/>
    </row>
    <row r="146" spans="1:6" x14ac:dyDescent="0.2">
      <c r="A146" s="275"/>
      <c r="B146" s="78"/>
      <c r="C146" s="189"/>
      <c r="D146" s="185"/>
      <c r="E146" s="186"/>
      <c r="F146" s="187"/>
    </row>
    <row r="147" spans="1:6" x14ac:dyDescent="0.2">
      <c r="A147" s="275"/>
      <c r="B147" s="78"/>
      <c r="C147" s="189"/>
      <c r="D147" s="185"/>
      <c r="E147" s="186"/>
      <c r="F147" s="187"/>
    </row>
    <row r="148" spans="1:6" x14ac:dyDescent="0.2">
      <c r="A148" s="275"/>
      <c r="B148" s="78"/>
      <c r="C148" s="189"/>
      <c r="D148" s="185"/>
      <c r="E148" s="186"/>
      <c r="F148" s="187"/>
    </row>
    <row r="149" spans="1:6" x14ac:dyDescent="0.2">
      <c r="A149" s="275"/>
      <c r="B149" s="78"/>
      <c r="C149" s="189"/>
      <c r="D149" s="185"/>
      <c r="E149" s="186"/>
      <c r="F149" s="187"/>
    </row>
    <row r="150" spans="1:6" x14ac:dyDescent="0.2">
      <c r="A150" s="275"/>
      <c r="B150" s="78"/>
      <c r="C150" s="189"/>
      <c r="D150" s="185"/>
      <c r="E150" s="186"/>
      <c r="F150" s="187"/>
    </row>
    <row r="151" spans="1:6" x14ac:dyDescent="0.2">
      <c r="A151" s="275"/>
      <c r="B151" s="78"/>
      <c r="C151" s="189"/>
      <c r="D151" s="185"/>
      <c r="E151" s="186"/>
      <c r="F151" s="187"/>
    </row>
    <row r="152" spans="1:6" x14ac:dyDescent="0.2">
      <c r="A152" s="275"/>
      <c r="B152" s="78"/>
      <c r="C152" s="189"/>
      <c r="D152" s="185"/>
      <c r="E152" s="186"/>
      <c r="F152" s="187"/>
    </row>
    <row r="153" spans="1:6" x14ac:dyDescent="0.2">
      <c r="A153" s="275"/>
      <c r="B153" s="78"/>
      <c r="C153" s="189"/>
      <c r="D153" s="185"/>
      <c r="E153" s="186"/>
      <c r="F153" s="187"/>
    </row>
    <row r="154" spans="1:6" x14ac:dyDescent="0.2">
      <c r="A154" s="275"/>
      <c r="B154" s="78"/>
      <c r="C154" s="189"/>
      <c r="D154" s="185"/>
      <c r="E154" s="186"/>
      <c r="F154" s="187"/>
    </row>
    <row r="155" spans="1:6" x14ac:dyDescent="0.2">
      <c r="A155" s="275"/>
      <c r="B155" s="78"/>
      <c r="C155" s="189"/>
      <c r="D155" s="185"/>
      <c r="E155" s="186"/>
      <c r="F155" s="187"/>
    </row>
    <row r="156" spans="1:6" x14ac:dyDescent="0.2">
      <c r="A156" s="275"/>
      <c r="B156" s="78"/>
      <c r="C156" s="189"/>
      <c r="D156" s="185"/>
      <c r="E156" s="186"/>
      <c r="F156" s="187"/>
    </row>
    <row r="157" spans="1:6" x14ac:dyDescent="0.2">
      <c r="A157" s="275"/>
      <c r="B157" s="78"/>
      <c r="C157" s="189"/>
      <c r="D157" s="185"/>
      <c r="E157" s="186"/>
      <c r="F157" s="187"/>
    </row>
    <row r="158" spans="1:6" x14ac:dyDescent="0.2">
      <c r="A158" s="275"/>
      <c r="B158" s="78"/>
      <c r="C158" s="189"/>
      <c r="D158" s="185"/>
      <c r="E158" s="186"/>
      <c r="F158" s="187"/>
    </row>
    <row r="159" spans="1:6" x14ac:dyDescent="0.2">
      <c r="A159" s="275"/>
      <c r="B159" s="78"/>
      <c r="C159" s="189"/>
      <c r="D159" s="185"/>
      <c r="E159" s="186"/>
      <c r="F159" s="187"/>
    </row>
    <row r="160" spans="1:6" x14ac:dyDescent="0.2">
      <c r="A160" s="275"/>
      <c r="B160" s="78"/>
      <c r="C160" s="189"/>
      <c r="D160" s="185"/>
      <c r="E160" s="186"/>
      <c r="F160" s="187"/>
    </row>
    <row r="161" spans="1:6" x14ac:dyDescent="0.2">
      <c r="A161" s="275"/>
      <c r="B161" s="78"/>
      <c r="C161" s="189"/>
      <c r="D161" s="185"/>
      <c r="E161" s="186"/>
      <c r="F161" s="187"/>
    </row>
    <row r="162" spans="1:6" x14ac:dyDescent="0.2">
      <c r="A162" s="275"/>
      <c r="B162" s="78"/>
      <c r="C162" s="189"/>
      <c r="D162" s="185"/>
      <c r="E162" s="186"/>
      <c r="F162" s="187"/>
    </row>
    <row r="163" spans="1:6" x14ac:dyDescent="0.2">
      <c r="A163" s="275"/>
      <c r="B163" s="78"/>
      <c r="C163" s="189"/>
      <c r="D163" s="185"/>
      <c r="E163" s="186"/>
      <c r="F163" s="187"/>
    </row>
    <row r="164" spans="1:6" x14ac:dyDescent="0.2">
      <c r="A164" s="275"/>
      <c r="B164" s="78"/>
      <c r="C164" s="189"/>
      <c r="D164" s="185"/>
      <c r="E164" s="186"/>
      <c r="F164" s="187"/>
    </row>
    <row r="165" spans="1:6" x14ac:dyDescent="0.2">
      <c r="A165" s="275"/>
      <c r="B165" s="78"/>
      <c r="C165" s="189"/>
      <c r="D165" s="185"/>
      <c r="E165" s="186"/>
      <c r="F165" s="187"/>
    </row>
    <row r="166" spans="1:6" x14ac:dyDescent="0.2">
      <c r="A166" s="275"/>
      <c r="B166" s="78"/>
      <c r="C166" s="189"/>
      <c r="D166" s="185"/>
      <c r="E166" s="186"/>
      <c r="F166" s="187"/>
    </row>
    <row r="167" spans="1:6" x14ac:dyDescent="0.2">
      <c r="A167" s="275"/>
      <c r="B167" s="78"/>
      <c r="C167" s="189"/>
      <c r="D167" s="185"/>
      <c r="E167" s="186"/>
      <c r="F167" s="187"/>
    </row>
    <row r="168" spans="1:6" x14ac:dyDescent="0.2">
      <c r="A168" s="275"/>
      <c r="B168" s="78"/>
      <c r="C168" s="189"/>
      <c r="D168" s="185"/>
      <c r="E168" s="186"/>
      <c r="F168" s="187"/>
    </row>
    <row r="169" spans="1:6" x14ac:dyDescent="0.2">
      <c r="A169" s="275"/>
      <c r="B169" s="78"/>
      <c r="C169" s="189"/>
      <c r="D169" s="185"/>
      <c r="E169" s="186"/>
      <c r="F169" s="187"/>
    </row>
    <row r="170" spans="1:6" x14ac:dyDescent="0.2">
      <c r="A170" s="275"/>
      <c r="B170" s="78"/>
      <c r="C170" s="189"/>
      <c r="D170" s="185"/>
      <c r="E170" s="186"/>
      <c r="F170" s="187"/>
    </row>
    <row r="171" spans="1:6" x14ac:dyDescent="0.2">
      <c r="A171" s="275"/>
      <c r="B171" s="78"/>
      <c r="C171" s="189"/>
      <c r="D171" s="185"/>
      <c r="E171" s="186"/>
      <c r="F171" s="187"/>
    </row>
    <row r="172" spans="1:6" x14ac:dyDescent="0.2">
      <c r="A172" s="275"/>
      <c r="B172" s="78"/>
      <c r="C172" s="189"/>
      <c r="D172" s="185"/>
      <c r="E172" s="186"/>
      <c r="F172" s="187"/>
    </row>
    <row r="173" spans="1:6" x14ac:dyDescent="0.2">
      <c r="A173" s="275"/>
      <c r="B173" s="78"/>
      <c r="C173" s="189"/>
      <c r="D173" s="185"/>
      <c r="E173" s="186"/>
      <c r="F173" s="187"/>
    </row>
    <row r="174" spans="1:6" x14ac:dyDescent="0.2">
      <c r="A174" s="275"/>
      <c r="B174" s="78"/>
      <c r="C174" s="189"/>
      <c r="D174" s="185"/>
      <c r="E174" s="186"/>
      <c r="F174" s="187"/>
    </row>
    <row r="175" spans="1:6" x14ac:dyDescent="0.2">
      <c r="A175" s="275"/>
      <c r="B175" s="78"/>
      <c r="C175" s="189"/>
      <c r="D175" s="185"/>
      <c r="E175" s="186"/>
      <c r="F175" s="187"/>
    </row>
    <row r="176" spans="1:6" x14ac:dyDescent="0.2">
      <c r="A176" s="275"/>
      <c r="B176" s="78"/>
      <c r="C176" s="189"/>
      <c r="D176" s="185"/>
      <c r="E176" s="186"/>
      <c r="F176" s="187"/>
    </row>
    <row r="177" spans="1:6" x14ac:dyDescent="0.2">
      <c r="A177" s="275"/>
      <c r="B177" s="78"/>
      <c r="C177" s="189"/>
      <c r="D177" s="185"/>
      <c r="E177" s="186"/>
      <c r="F177" s="187"/>
    </row>
    <row r="178" spans="1:6" x14ac:dyDescent="0.2">
      <c r="A178" s="275"/>
      <c r="B178" s="78"/>
      <c r="C178" s="189"/>
      <c r="D178" s="185"/>
      <c r="E178" s="186"/>
      <c r="F178" s="187"/>
    </row>
    <row r="179" spans="1:6" x14ac:dyDescent="0.2">
      <c r="A179" s="275"/>
      <c r="B179" s="78"/>
      <c r="C179" s="189"/>
      <c r="D179" s="185"/>
      <c r="E179" s="186"/>
      <c r="F179" s="187"/>
    </row>
    <row r="180" spans="1:6" x14ac:dyDescent="0.2">
      <c r="A180" s="275"/>
      <c r="B180" s="78"/>
      <c r="C180" s="189"/>
      <c r="D180" s="185"/>
      <c r="E180" s="186"/>
      <c r="F180" s="187"/>
    </row>
    <row r="181" spans="1:6" x14ac:dyDescent="0.2">
      <c r="A181" s="275"/>
      <c r="B181" s="78"/>
      <c r="C181" s="189"/>
      <c r="D181" s="185"/>
      <c r="E181" s="186"/>
      <c r="F181" s="187"/>
    </row>
    <row r="182" spans="1:6" x14ac:dyDescent="0.2">
      <c r="A182" s="275"/>
      <c r="B182" s="78"/>
      <c r="C182" s="189"/>
      <c r="D182" s="185"/>
      <c r="E182" s="186"/>
      <c r="F182" s="187"/>
    </row>
    <row r="183" spans="1:6" x14ac:dyDescent="0.2">
      <c r="A183" s="275"/>
      <c r="B183" s="78"/>
      <c r="C183" s="189"/>
      <c r="D183" s="185"/>
      <c r="E183" s="186"/>
      <c r="F183" s="187"/>
    </row>
    <row r="184" spans="1:6" x14ac:dyDescent="0.2">
      <c r="A184" s="275"/>
      <c r="B184" s="78"/>
      <c r="C184" s="189"/>
      <c r="D184" s="185"/>
      <c r="E184" s="186"/>
      <c r="F184" s="187"/>
    </row>
    <row r="185" spans="1:6" x14ac:dyDescent="0.2">
      <c r="A185" s="275"/>
      <c r="B185" s="78"/>
      <c r="C185" s="189"/>
      <c r="D185" s="185"/>
      <c r="E185" s="186"/>
      <c r="F185" s="187"/>
    </row>
    <row r="186" spans="1:6" x14ac:dyDescent="0.2">
      <c r="A186" s="275"/>
      <c r="B186" s="78"/>
      <c r="C186" s="189"/>
      <c r="D186" s="185"/>
      <c r="E186" s="186"/>
      <c r="F186" s="187"/>
    </row>
    <row r="187" spans="1:6" x14ac:dyDescent="0.2">
      <c r="A187" s="275"/>
      <c r="B187" s="78"/>
      <c r="C187" s="189"/>
      <c r="D187" s="185"/>
      <c r="E187" s="186"/>
      <c r="F187" s="187"/>
    </row>
    <row r="188" spans="1:6" x14ac:dyDescent="0.2">
      <c r="A188" s="275"/>
      <c r="B188" s="78"/>
      <c r="C188" s="189"/>
      <c r="D188" s="185"/>
      <c r="E188" s="186"/>
      <c r="F188" s="187"/>
    </row>
    <row r="189" spans="1:6" x14ac:dyDescent="0.2">
      <c r="A189" s="275"/>
      <c r="B189" s="78"/>
      <c r="C189" s="189"/>
      <c r="D189" s="185"/>
      <c r="E189" s="186"/>
      <c r="F189" s="187"/>
    </row>
    <row r="190" spans="1:6" x14ac:dyDescent="0.2">
      <c r="A190" s="275"/>
      <c r="B190" s="78"/>
      <c r="C190" s="189"/>
      <c r="D190" s="185"/>
      <c r="E190" s="186"/>
      <c r="F190" s="187"/>
    </row>
    <row r="191" spans="1:6" x14ac:dyDescent="0.2">
      <c r="A191" s="275"/>
      <c r="B191" s="78"/>
      <c r="C191" s="189"/>
      <c r="D191" s="185"/>
      <c r="E191" s="186"/>
      <c r="F191" s="187"/>
    </row>
    <row r="192" spans="1:6" x14ac:dyDescent="0.2">
      <c r="A192" s="275"/>
      <c r="B192" s="78"/>
      <c r="C192" s="189"/>
      <c r="D192" s="185"/>
      <c r="E192" s="186"/>
      <c r="F192" s="187"/>
    </row>
    <row r="193" spans="1:6" x14ac:dyDescent="0.2">
      <c r="A193" s="275"/>
      <c r="B193" s="78"/>
      <c r="C193" s="189"/>
      <c r="D193" s="185"/>
      <c r="E193" s="186"/>
      <c r="F193" s="187"/>
    </row>
    <row r="194" spans="1:6" x14ac:dyDescent="0.2">
      <c r="A194" s="275"/>
      <c r="B194" s="78"/>
      <c r="C194" s="189"/>
      <c r="D194" s="185"/>
      <c r="E194" s="186"/>
      <c r="F194" s="187"/>
    </row>
    <row r="195" spans="1:6" x14ac:dyDescent="0.2">
      <c r="A195" s="275"/>
      <c r="B195" s="78"/>
      <c r="C195" s="189"/>
      <c r="D195" s="185"/>
      <c r="E195" s="186"/>
      <c r="F195" s="187"/>
    </row>
    <row r="196" spans="1:6" x14ac:dyDescent="0.2">
      <c r="A196" s="275"/>
      <c r="B196" s="78"/>
      <c r="C196" s="189"/>
      <c r="D196" s="185"/>
      <c r="E196" s="186"/>
      <c r="F196" s="187"/>
    </row>
    <row r="197" spans="1:6" x14ac:dyDescent="0.2">
      <c r="A197" s="275"/>
      <c r="B197" s="78"/>
      <c r="C197" s="189"/>
      <c r="D197" s="185"/>
      <c r="E197" s="186"/>
      <c r="F197" s="187"/>
    </row>
    <row r="198" spans="1:6" x14ac:dyDescent="0.2">
      <c r="A198" s="275"/>
      <c r="B198" s="78"/>
      <c r="C198" s="189"/>
      <c r="D198" s="185"/>
      <c r="E198" s="186"/>
      <c r="F198" s="187"/>
    </row>
    <row r="199" spans="1:6" x14ac:dyDescent="0.2">
      <c r="A199" s="275"/>
      <c r="B199" s="78"/>
      <c r="C199" s="189"/>
      <c r="D199" s="185"/>
      <c r="E199" s="186"/>
      <c r="F199" s="187"/>
    </row>
    <row r="200" spans="1:6" x14ac:dyDescent="0.2">
      <c r="A200" s="275"/>
      <c r="B200" s="78"/>
      <c r="C200" s="189"/>
      <c r="D200" s="185"/>
      <c r="E200" s="186"/>
      <c r="F200" s="187"/>
    </row>
    <row r="201" spans="1:6" x14ac:dyDescent="0.2">
      <c r="A201" s="275"/>
      <c r="B201" s="78"/>
      <c r="C201" s="189"/>
      <c r="D201" s="185"/>
      <c r="E201" s="186"/>
      <c r="F201" s="187"/>
    </row>
    <row r="202" spans="1:6" x14ac:dyDescent="0.2">
      <c r="A202" s="275"/>
      <c r="B202" s="78"/>
      <c r="C202" s="189"/>
      <c r="D202" s="185"/>
      <c r="E202" s="186"/>
      <c r="F202" s="187"/>
    </row>
    <row r="203" spans="1:6" x14ac:dyDescent="0.2">
      <c r="A203" s="275"/>
      <c r="B203" s="78"/>
      <c r="C203" s="189"/>
      <c r="D203" s="185"/>
      <c r="E203" s="186"/>
      <c r="F203" s="187"/>
    </row>
    <row r="204" spans="1:6" x14ac:dyDescent="0.2">
      <c r="A204" s="275"/>
      <c r="B204" s="78"/>
      <c r="C204" s="189"/>
      <c r="D204" s="185"/>
      <c r="E204" s="186"/>
      <c r="F204" s="187"/>
    </row>
    <row r="205" spans="1:6" x14ac:dyDescent="0.2">
      <c r="A205" s="275"/>
      <c r="B205" s="78"/>
      <c r="C205" s="189"/>
      <c r="D205" s="185"/>
      <c r="E205" s="186"/>
      <c r="F205" s="187"/>
    </row>
    <row r="206" spans="1:6" x14ac:dyDescent="0.2">
      <c r="A206" s="275"/>
      <c r="B206" s="78"/>
      <c r="C206" s="189"/>
      <c r="D206" s="185"/>
      <c r="E206" s="186"/>
      <c r="F206" s="187"/>
    </row>
    <row r="207" spans="1:6" x14ac:dyDescent="0.2">
      <c r="A207" s="275"/>
      <c r="B207" s="78"/>
      <c r="C207" s="189"/>
      <c r="D207" s="185"/>
      <c r="E207" s="186"/>
      <c r="F207" s="187"/>
    </row>
    <row r="208" spans="1:6" x14ac:dyDescent="0.2">
      <c r="A208" s="275"/>
      <c r="B208" s="78"/>
      <c r="C208" s="189"/>
      <c r="D208" s="185"/>
      <c r="E208" s="186"/>
      <c r="F208" s="187"/>
    </row>
    <row r="209" spans="1:6" x14ac:dyDescent="0.2">
      <c r="A209" s="275"/>
      <c r="B209" s="78"/>
      <c r="C209" s="189"/>
      <c r="D209" s="185"/>
      <c r="E209" s="186"/>
      <c r="F209" s="187"/>
    </row>
    <row r="210" spans="1:6" x14ac:dyDescent="0.2">
      <c r="A210" s="275"/>
      <c r="B210" s="78"/>
      <c r="C210" s="189"/>
      <c r="D210" s="185"/>
      <c r="E210" s="186"/>
      <c r="F210" s="187"/>
    </row>
    <row r="211" spans="1:6" x14ac:dyDescent="0.2">
      <c r="A211" s="275"/>
      <c r="B211" s="78"/>
      <c r="C211" s="189"/>
      <c r="D211" s="185"/>
      <c r="E211" s="186"/>
      <c r="F211" s="187"/>
    </row>
    <row r="212" spans="1:6" x14ac:dyDescent="0.2">
      <c r="A212" s="275"/>
      <c r="B212" s="78"/>
      <c r="C212" s="189"/>
      <c r="D212" s="185"/>
      <c r="E212" s="186"/>
      <c r="F212" s="187"/>
    </row>
    <row r="213" spans="1:6" x14ac:dyDescent="0.2">
      <c r="A213" s="275"/>
      <c r="B213" s="78"/>
      <c r="C213" s="189"/>
      <c r="D213" s="185"/>
      <c r="E213" s="186"/>
      <c r="F213" s="187"/>
    </row>
    <row r="214" spans="1:6" x14ac:dyDescent="0.2">
      <c r="A214" s="275"/>
      <c r="B214" s="78"/>
      <c r="C214" s="189"/>
      <c r="D214" s="185"/>
      <c r="E214" s="186"/>
      <c r="F214" s="187"/>
    </row>
    <row r="215" spans="1:6" x14ac:dyDescent="0.2">
      <c r="A215" s="275"/>
      <c r="B215" s="78"/>
      <c r="C215" s="189"/>
      <c r="D215" s="185"/>
      <c r="E215" s="186"/>
      <c r="F215" s="187"/>
    </row>
    <row r="216" spans="1:6" x14ac:dyDescent="0.2">
      <c r="A216" s="275"/>
      <c r="B216" s="78"/>
      <c r="C216" s="189"/>
      <c r="D216" s="185"/>
      <c r="E216" s="186"/>
      <c r="F216" s="187"/>
    </row>
    <row r="217" spans="1:6" x14ac:dyDescent="0.2">
      <c r="A217" s="275"/>
      <c r="B217" s="78"/>
      <c r="C217" s="189"/>
      <c r="D217" s="185"/>
      <c r="E217" s="186"/>
      <c r="F217" s="187"/>
    </row>
    <row r="218" spans="1:6" x14ac:dyDescent="0.2">
      <c r="A218" s="275"/>
      <c r="B218" s="78"/>
      <c r="C218" s="189"/>
      <c r="D218" s="185"/>
      <c r="E218" s="186"/>
      <c r="F218" s="187"/>
    </row>
    <row r="219" spans="1:6" x14ac:dyDescent="0.2">
      <c r="A219" s="275"/>
      <c r="B219" s="78"/>
      <c r="C219" s="189"/>
      <c r="D219" s="185"/>
      <c r="E219" s="186"/>
      <c r="F219" s="187"/>
    </row>
    <row r="220" spans="1:6" x14ac:dyDescent="0.2">
      <c r="A220" s="275"/>
      <c r="B220" s="78"/>
      <c r="C220" s="189"/>
      <c r="D220" s="185"/>
      <c r="E220" s="186"/>
      <c r="F220" s="187"/>
    </row>
    <row r="221" spans="1:6" x14ac:dyDescent="0.2">
      <c r="A221" s="275"/>
      <c r="B221" s="78"/>
      <c r="C221" s="189"/>
      <c r="D221" s="185"/>
      <c r="E221" s="186"/>
      <c r="F221" s="187"/>
    </row>
    <row r="222" spans="1:6" x14ac:dyDescent="0.2">
      <c r="A222" s="275"/>
      <c r="B222" s="78"/>
      <c r="C222" s="189"/>
      <c r="D222" s="185"/>
      <c r="E222" s="186"/>
      <c r="F222" s="187"/>
    </row>
    <row r="223" spans="1:6" x14ac:dyDescent="0.2">
      <c r="A223" s="275"/>
      <c r="B223" s="78"/>
      <c r="C223" s="189"/>
      <c r="D223" s="185"/>
      <c r="E223" s="186"/>
      <c r="F223" s="187"/>
    </row>
    <row r="224" spans="1:6" x14ac:dyDescent="0.2">
      <c r="A224" s="275"/>
      <c r="B224" s="78"/>
      <c r="C224" s="189"/>
      <c r="D224" s="185"/>
      <c r="E224" s="186"/>
      <c r="F224" s="187"/>
    </row>
    <row r="225" spans="1:6" x14ac:dyDescent="0.2">
      <c r="A225" s="275"/>
      <c r="B225" s="78"/>
      <c r="C225" s="189"/>
      <c r="D225" s="185"/>
      <c r="E225" s="186"/>
      <c r="F225" s="187"/>
    </row>
    <row r="226" spans="1:6" x14ac:dyDescent="0.2">
      <c r="A226" s="275"/>
      <c r="B226" s="78"/>
      <c r="C226" s="189"/>
      <c r="D226" s="185"/>
      <c r="E226" s="186"/>
      <c r="F226" s="187"/>
    </row>
    <row r="227" spans="1:6" x14ac:dyDescent="0.2">
      <c r="A227" s="275"/>
      <c r="B227" s="78"/>
      <c r="C227" s="189"/>
      <c r="D227" s="185"/>
      <c r="E227" s="186"/>
      <c r="F227" s="187"/>
    </row>
    <row r="228" spans="1:6" x14ac:dyDescent="0.2">
      <c r="A228" s="275"/>
      <c r="B228" s="78"/>
      <c r="C228" s="189"/>
      <c r="D228" s="185"/>
      <c r="E228" s="186"/>
      <c r="F228" s="187"/>
    </row>
    <row r="229" spans="1:6" x14ac:dyDescent="0.2">
      <c r="A229" s="275"/>
      <c r="B229" s="78"/>
      <c r="C229" s="189"/>
      <c r="D229" s="185"/>
      <c r="E229" s="186"/>
      <c r="F229" s="187"/>
    </row>
    <row r="230" spans="1:6" x14ac:dyDescent="0.2">
      <c r="A230" s="275"/>
      <c r="B230" s="78"/>
      <c r="C230" s="189"/>
      <c r="D230" s="185"/>
      <c r="E230" s="186"/>
      <c r="F230" s="187"/>
    </row>
    <row r="231" spans="1:6" x14ac:dyDescent="0.2">
      <c r="A231" s="275"/>
      <c r="B231" s="78"/>
      <c r="C231" s="189"/>
      <c r="D231" s="185"/>
      <c r="E231" s="186"/>
      <c r="F231" s="187"/>
    </row>
    <row r="232" spans="1:6" x14ac:dyDescent="0.2">
      <c r="A232" s="275"/>
      <c r="B232" s="78"/>
      <c r="C232" s="189"/>
      <c r="D232" s="185"/>
      <c r="E232" s="186"/>
      <c r="F232" s="187"/>
    </row>
    <row r="233" spans="1:6" x14ac:dyDescent="0.2">
      <c r="A233" s="275"/>
      <c r="B233" s="78"/>
      <c r="C233" s="189"/>
      <c r="D233" s="185"/>
      <c r="E233" s="186"/>
      <c r="F233" s="187"/>
    </row>
    <row r="234" spans="1:6" x14ac:dyDescent="0.2">
      <c r="A234" s="275"/>
      <c r="B234" s="78"/>
      <c r="C234" s="189"/>
      <c r="D234" s="185"/>
      <c r="E234" s="186"/>
      <c r="F234" s="187"/>
    </row>
    <row r="235" spans="1:6" x14ac:dyDescent="0.2">
      <c r="A235" s="275"/>
      <c r="B235" s="78"/>
      <c r="C235" s="189"/>
      <c r="D235" s="185"/>
      <c r="E235" s="186"/>
      <c r="F235" s="187"/>
    </row>
    <row r="236" spans="1:6" x14ac:dyDescent="0.2">
      <c r="A236" s="275"/>
      <c r="B236" s="78"/>
      <c r="C236" s="189"/>
      <c r="D236" s="185"/>
      <c r="E236" s="186"/>
      <c r="F236" s="187"/>
    </row>
    <row r="237" spans="1:6" x14ac:dyDescent="0.2">
      <c r="A237" s="275"/>
      <c r="B237" s="78"/>
      <c r="C237" s="189"/>
      <c r="D237" s="185"/>
      <c r="E237" s="186"/>
      <c r="F237" s="187"/>
    </row>
    <row r="238" spans="1:6" x14ac:dyDescent="0.2">
      <c r="A238" s="275"/>
      <c r="B238" s="78"/>
      <c r="C238" s="189"/>
      <c r="D238" s="185"/>
      <c r="E238" s="186"/>
      <c r="F238" s="187"/>
    </row>
    <row r="239" spans="1:6" x14ac:dyDescent="0.2">
      <c r="A239" s="275"/>
      <c r="B239" s="78"/>
      <c r="C239" s="189"/>
      <c r="D239" s="185"/>
      <c r="E239" s="186"/>
      <c r="F239" s="187"/>
    </row>
    <row r="240" spans="1:6" x14ac:dyDescent="0.2">
      <c r="A240" s="275"/>
      <c r="B240" s="78"/>
      <c r="C240" s="189"/>
      <c r="D240" s="185"/>
      <c r="E240" s="186"/>
      <c r="F240" s="187"/>
    </row>
    <row r="241" spans="1:6" x14ac:dyDescent="0.2">
      <c r="A241" s="275"/>
      <c r="B241" s="78"/>
      <c r="C241" s="189"/>
      <c r="D241" s="185"/>
      <c r="E241" s="186"/>
      <c r="F241" s="187"/>
    </row>
    <row r="242" spans="1:6" x14ac:dyDescent="0.2">
      <c r="A242" s="275"/>
      <c r="B242" s="78"/>
      <c r="C242" s="189"/>
      <c r="D242" s="185"/>
      <c r="E242" s="186"/>
      <c r="F242" s="187"/>
    </row>
    <row r="243" spans="1:6" x14ac:dyDescent="0.2">
      <c r="A243" s="275"/>
      <c r="B243" s="78"/>
      <c r="C243" s="189"/>
      <c r="D243" s="185"/>
      <c r="E243" s="186"/>
      <c r="F243" s="187"/>
    </row>
    <row r="244" spans="1:6" x14ac:dyDescent="0.2">
      <c r="A244" s="275"/>
      <c r="B244" s="78"/>
      <c r="C244" s="189"/>
      <c r="D244" s="185"/>
      <c r="E244" s="186"/>
      <c r="F244" s="187"/>
    </row>
    <row r="245" spans="1:6" x14ac:dyDescent="0.2">
      <c r="A245" s="275"/>
      <c r="B245" s="78"/>
      <c r="C245" s="189"/>
      <c r="D245" s="185"/>
      <c r="E245" s="186"/>
      <c r="F245" s="187"/>
    </row>
    <row r="246" spans="1:6" x14ac:dyDescent="0.2">
      <c r="A246" s="275"/>
      <c r="B246" s="78"/>
      <c r="C246" s="189"/>
      <c r="D246" s="185"/>
      <c r="E246" s="186"/>
      <c r="F246" s="187"/>
    </row>
    <row r="247" spans="1:6" x14ac:dyDescent="0.2">
      <c r="A247" s="275"/>
      <c r="B247" s="78"/>
      <c r="C247" s="189"/>
      <c r="D247" s="185"/>
      <c r="E247" s="186"/>
      <c r="F247" s="187"/>
    </row>
    <row r="248" spans="1:6" x14ac:dyDescent="0.2">
      <c r="A248" s="275"/>
      <c r="B248" s="78"/>
      <c r="C248" s="189"/>
      <c r="D248" s="185"/>
      <c r="E248" s="186"/>
      <c r="F248" s="187"/>
    </row>
    <row r="249" spans="1:6" x14ac:dyDescent="0.2">
      <c r="A249" s="275"/>
      <c r="B249" s="78"/>
      <c r="C249" s="189"/>
      <c r="D249" s="185"/>
      <c r="E249" s="186"/>
      <c r="F249" s="187"/>
    </row>
    <row r="250" spans="1:6" x14ac:dyDescent="0.2">
      <c r="A250" s="275"/>
      <c r="B250" s="78"/>
      <c r="C250" s="189"/>
      <c r="D250" s="185"/>
      <c r="E250" s="186"/>
      <c r="F250" s="187"/>
    </row>
    <row r="251" spans="1:6" x14ac:dyDescent="0.2">
      <c r="A251" s="275"/>
      <c r="B251" s="78"/>
      <c r="C251" s="189"/>
      <c r="D251" s="185"/>
      <c r="E251" s="186"/>
      <c r="F251" s="187"/>
    </row>
    <row r="252" spans="1:6" x14ac:dyDescent="0.2">
      <c r="A252" s="275"/>
      <c r="B252" s="78"/>
      <c r="C252" s="189"/>
      <c r="D252" s="185"/>
      <c r="E252" s="186"/>
      <c r="F252" s="187"/>
    </row>
    <row r="253" spans="1:6" x14ac:dyDescent="0.2">
      <c r="A253" s="275"/>
      <c r="B253" s="78"/>
      <c r="C253" s="189"/>
      <c r="D253" s="185"/>
      <c r="E253" s="186"/>
      <c r="F253" s="187"/>
    </row>
    <row r="254" spans="1:6" x14ac:dyDescent="0.2">
      <c r="A254" s="275"/>
      <c r="B254" s="78"/>
      <c r="C254" s="189"/>
      <c r="D254" s="185"/>
      <c r="E254" s="186"/>
      <c r="F254" s="187"/>
    </row>
    <row r="255" spans="1:6" x14ac:dyDescent="0.2">
      <c r="A255" s="275"/>
      <c r="B255" s="78"/>
      <c r="C255" s="189"/>
      <c r="D255" s="185"/>
      <c r="E255" s="186"/>
      <c r="F255" s="187"/>
    </row>
    <row r="256" spans="1:6" x14ac:dyDescent="0.2">
      <c r="A256" s="275"/>
      <c r="B256" s="78"/>
      <c r="C256" s="189"/>
      <c r="D256" s="185"/>
      <c r="E256" s="186"/>
      <c r="F256" s="187"/>
    </row>
    <row r="257" spans="1:6" x14ac:dyDescent="0.2">
      <c r="A257" s="275"/>
      <c r="B257" s="78"/>
      <c r="C257" s="189"/>
      <c r="D257" s="185"/>
      <c r="E257" s="186"/>
      <c r="F257" s="187"/>
    </row>
    <row r="258" spans="1:6" x14ac:dyDescent="0.2">
      <c r="A258" s="275"/>
      <c r="B258" s="78"/>
      <c r="C258" s="189"/>
      <c r="D258" s="185"/>
      <c r="E258" s="186"/>
      <c r="F258" s="187"/>
    </row>
    <row r="259" spans="1:6" x14ac:dyDescent="0.2">
      <c r="A259" s="275"/>
      <c r="B259" s="78"/>
      <c r="C259" s="189"/>
      <c r="D259" s="185"/>
      <c r="E259" s="186"/>
      <c r="F259" s="187"/>
    </row>
    <row r="260" spans="1:6" x14ac:dyDescent="0.2">
      <c r="A260" s="275"/>
      <c r="B260" s="78"/>
      <c r="C260" s="189"/>
      <c r="D260" s="185"/>
      <c r="E260" s="186"/>
      <c r="F260" s="187"/>
    </row>
    <row r="261" spans="1:6" x14ac:dyDescent="0.2">
      <c r="A261" s="275"/>
      <c r="B261" s="78"/>
      <c r="C261" s="189"/>
      <c r="D261" s="185"/>
      <c r="E261" s="186"/>
      <c r="F261" s="187"/>
    </row>
    <row r="262" spans="1:6" x14ac:dyDescent="0.2">
      <c r="A262" s="275"/>
      <c r="B262" s="78"/>
      <c r="C262" s="189"/>
      <c r="D262" s="185"/>
      <c r="E262" s="186"/>
      <c r="F262" s="187"/>
    </row>
    <row r="263" spans="1:6" x14ac:dyDescent="0.2">
      <c r="A263" s="275"/>
      <c r="B263" s="78"/>
      <c r="C263" s="189"/>
      <c r="D263" s="185"/>
      <c r="E263" s="186"/>
      <c r="F263" s="187"/>
    </row>
    <row r="264" spans="1:6" x14ac:dyDescent="0.2">
      <c r="A264" s="275"/>
      <c r="B264" s="78"/>
      <c r="C264" s="189"/>
      <c r="D264" s="185"/>
      <c r="E264" s="186"/>
      <c r="F264" s="187"/>
    </row>
    <row r="265" spans="1:6" x14ac:dyDescent="0.2">
      <c r="A265" s="275"/>
      <c r="B265" s="78"/>
      <c r="C265" s="189"/>
      <c r="D265" s="185"/>
      <c r="E265" s="186"/>
      <c r="F265" s="187"/>
    </row>
    <row r="266" spans="1:6" x14ac:dyDescent="0.2">
      <c r="A266" s="275"/>
      <c r="B266" s="78"/>
      <c r="C266" s="189"/>
      <c r="D266" s="185"/>
      <c r="E266" s="186"/>
      <c r="F266" s="187"/>
    </row>
    <row r="267" spans="1:6" x14ac:dyDescent="0.2">
      <c r="A267" s="275"/>
      <c r="B267" s="78"/>
      <c r="C267" s="189"/>
      <c r="D267" s="185"/>
      <c r="E267" s="186"/>
      <c r="F267" s="187"/>
    </row>
    <row r="268" spans="1:6" x14ac:dyDescent="0.2">
      <c r="A268" s="275"/>
      <c r="B268" s="78"/>
      <c r="C268" s="189"/>
      <c r="D268" s="185"/>
      <c r="E268" s="186"/>
      <c r="F268" s="187"/>
    </row>
    <row r="269" spans="1:6" x14ac:dyDescent="0.2">
      <c r="A269" s="275"/>
      <c r="B269" s="78"/>
      <c r="C269" s="189"/>
      <c r="D269" s="185"/>
      <c r="E269" s="186"/>
      <c r="F269" s="187"/>
    </row>
    <row r="270" spans="1:6" x14ac:dyDescent="0.2">
      <c r="A270" s="275"/>
      <c r="B270" s="78"/>
      <c r="C270" s="189"/>
      <c r="D270" s="185"/>
      <c r="E270" s="186"/>
      <c r="F270" s="187"/>
    </row>
    <row r="271" spans="1:6" x14ac:dyDescent="0.2">
      <c r="A271" s="275"/>
      <c r="B271" s="78"/>
      <c r="C271" s="189"/>
      <c r="D271" s="185"/>
      <c r="E271" s="186"/>
      <c r="F271" s="187"/>
    </row>
    <row r="272" spans="1:6" x14ac:dyDescent="0.2">
      <c r="A272" s="275"/>
      <c r="B272" s="78"/>
      <c r="C272" s="189"/>
      <c r="D272" s="185"/>
      <c r="E272" s="186"/>
      <c r="F272" s="187"/>
    </row>
    <row r="273" spans="1:6" x14ac:dyDescent="0.2">
      <c r="A273" s="275"/>
      <c r="B273" s="78"/>
      <c r="C273" s="189"/>
      <c r="D273" s="185"/>
      <c r="E273" s="186"/>
      <c r="F273" s="187"/>
    </row>
    <row r="274" spans="1:6" x14ac:dyDescent="0.2">
      <c r="A274" s="275"/>
      <c r="B274" s="78"/>
      <c r="C274" s="189"/>
      <c r="D274" s="185"/>
      <c r="E274" s="186"/>
      <c r="F274" s="187"/>
    </row>
    <row r="275" spans="1:6" x14ac:dyDescent="0.2">
      <c r="A275" s="275"/>
      <c r="B275" s="78"/>
      <c r="C275" s="189"/>
      <c r="D275" s="185"/>
      <c r="E275" s="186"/>
      <c r="F275" s="187"/>
    </row>
    <row r="276" spans="1:6" x14ac:dyDescent="0.2">
      <c r="A276" s="275"/>
      <c r="B276" s="78"/>
      <c r="C276" s="189"/>
      <c r="D276" s="185"/>
      <c r="E276" s="186"/>
      <c r="F276" s="187"/>
    </row>
    <row r="277" spans="1:6" x14ac:dyDescent="0.2">
      <c r="A277" s="275"/>
      <c r="B277" s="78"/>
      <c r="C277" s="189"/>
      <c r="D277" s="185"/>
      <c r="E277" s="186"/>
      <c r="F277" s="187"/>
    </row>
    <row r="278" spans="1:6" x14ac:dyDescent="0.2">
      <c r="A278" s="275"/>
      <c r="B278" s="78"/>
      <c r="C278" s="189"/>
      <c r="D278" s="185"/>
      <c r="E278" s="186"/>
      <c r="F278" s="187"/>
    </row>
    <row r="279" spans="1:6" x14ac:dyDescent="0.2">
      <c r="A279" s="275"/>
      <c r="B279" s="78"/>
      <c r="C279" s="189"/>
      <c r="D279" s="185"/>
      <c r="E279" s="186"/>
      <c r="F279" s="187"/>
    </row>
    <row r="280" spans="1:6" x14ac:dyDescent="0.2">
      <c r="A280" s="275"/>
      <c r="B280" s="78"/>
      <c r="C280" s="189"/>
      <c r="D280" s="185"/>
      <c r="E280" s="186"/>
      <c r="F280" s="187"/>
    </row>
    <row r="281" spans="1:6" x14ac:dyDescent="0.2">
      <c r="A281" s="275"/>
      <c r="B281" s="78"/>
      <c r="C281" s="189"/>
      <c r="D281" s="185"/>
      <c r="E281" s="186"/>
      <c r="F281" s="187"/>
    </row>
    <row r="282" spans="1:6" x14ac:dyDescent="0.2">
      <c r="A282" s="275"/>
      <c r="B282" s="78"/>
      <c r="C282" s="189"/>
      <c r="D282" s="185"/>
      <c r="E282" s="186"/>
      <c r="F282" s="187"/>
    </row>
    <row r="283" spans="1:6" x14ac:dyDescent="0.2">
      <c r="A283" s="275"/>
      <c r="B283" s="78"/>
      <c r="C283" s="189"/>
      <c r="D283" s="185"/>
      <c r="E283" s="186"/>
      <c r="F283" s="187"/>
    </row>
    <row r="284" spans="1:6" x14ac:dyDescent="0.2">
      <c r="A284" s="275"/>
      <c r="B284" s="78"/>
      <c r="C284" s="189"/>
      <c r="D284" s="185"/>
      <c r="E284" s="186"/>
      <c r="F284" s="187"/>
    </row>
    <row r="285" spans="1:6" x14ac:dyDescent="0.2">
      <c r="A285" s="275"/>
      <c r="B285" s="78"/>
      <c r="C285" s="189"/>
      <c r="D285" s="185"/>
      <c r="E285" s="186"/>
      <c r="F285" s="187"/>
    </row>
    <row r="286" spans="1:6" x14ac:dyDescent="0.2">
      <c r="A286" s="275"/>
      <c r="B286" s="78"/>
      <c r="C286" s="189"/>
      <c r="D286" s="185"/>
      <c r="E286" s="186"/>
      <c r="F286" s="187"/>
    </row>
    <row r="287" spans="1:6" x14ac:dyDescent="0.2">
      <c r="A287" s="275"/>
      <c r="B287" s="78"/>
      <c r="C287" s="189"/>
      <c r="D287" s="185"/>
      <c r="E287" s="186"/>
      <c r="F287" s="187"/>
    </row>
    <row r="288" spans="1:6" x14ac:dyDescent="0.2">
      <c r="A288" s="275"/>
      <c r="B288" s="78"/>
      <c r="C288" s="189"/>
      <c r="D288" s="185"/>
      <c r="E288" s="186"/>
      <c r="F288" s="187"/>
    </row>
    <row r="289" spans="1:6" x14ac:dyDescent="0.2">
      <c r="A289" s="275"/>
      <c r="B289" s="78"/>
      <c r="C289" s="189"/>
      <c r="D289" s="185"/>
      <c r="E289" s="186"/>
      <c r="F289" s="187"/>
    </row>
    <row r="290" spans="1:6" x14ac:dyDescent="0.2">
      <c r="A290" s="275"/>
      <c r="B290" s="78"/>
      <c r="C290" s="189"/>
      <c r="D290" s="185"/>
      <c r="E290" s="186"/>
      <c r="F290" s="187"/>
    </row>
    <row r="291" spans="1:6" x14ac:dyDescent="0.2">
      <c r="A291" s="275"/>
      <c r="B291" s="78"/>
      <c r="C291" s="189"/>
      <c r="D291" s="185"/>
      <c r="E291" s="186"/>
      <c r="F291" s="187"/>
    </row>
    <row r="292" spans="1:6" x14ac:dyDescent="0.2">
      <c r="A292" s="275"/>
      <c r="B292" s="78"/>
      <c r="C292" s="189"/>
      <c r="D292" s="185"/>
      <c r="E292" s="186"/>
      <c r="F292" s="187"/>
    </row>
    <row r="293" spans="1:6" x14ac:dyDescent="0.2">
      <c r="A293" s="275"/>
      <c r="B293" s="78"/>
      <c r="C293" s="189"/>
      <c r="D293" s="185"/>
      <c r="E293" s="186"/>
      <c r="F293" s="187"/>
    </row>
    <row r="294" spans="1:6" x14ac:dyDescent="0.2">
      <c r="A294" s="275"/>
      <c r="B294" s="78"/>
      <c r="C294" s="189"/>
      <c r="D294" s="185"/>
      <c r="E294" s="186"/>
      <c r="F294" s="187"/>
    </row>
    <row r="295" spans="1:6" x14ac:dyDescent="0.2">
      <c r="A295" s="275"/>
      <c r="B295" s="78"/>
      <c r="C295" s="189"/>
      <c r="D295" s="185"/>
      <c r="E295" s="186"/>
      <c r="F295" s="187"/>
    </row>
    <row r="296" spans="1:6" x14ac:dyDescent="0.2">
      <c r="A296" s="275"/>
      <c r="B296" s="78"/>
      <c r="C296" s="189"/>
      <c r="D296" s="185"/>
      <c r="E296" s="186"/>
      <c r="F296" s="187"/>
    </row>
    <row r="297" spans="1:6" x14ac:dyDescent="0.2">
      <c r="A297" s="275"/>
      <c r="B297" s="78"/>
      <c r="C297" s="189"/>
      <c r="D297" s="185"/>
      <c r="E297" s="186"/>
      <c r="F297" s="187"/>
    </row>
    <row r="298" spans="1:6" x14ac:dyDescent="0.2">
      <c r="A298" s="275"/>
      <c r="B298" s="78"/>
      <c r="C298" s="189"/>
      <c r="D298" s="185"/>
      <c r="E298" s="186"/>
      <c r="F298" s="187"/>
    </row>
    <row r="299" spans="1:6" x14ac:dyDescent="0.2">
      <c r="A299" s="275"/>
      <c r="B299" s="78"/>
      <c r="C299" s="189"/>
      <c r="D299" s="185"/>
      <c r="E299" s="186"/>
      <c r="F299" s="187"/>
    </row>
    <row r="300" spans="1:6" x14ac:dyDescent="0.2">
      <c r="A300" s="275"/>
      <c r="B300" s="78"/>
      <c r="C300" s="189"/>
      <c r="D300" s="185"/>
      <c r="E300" s="186"/>
      <c r="F300" s="187"/>
    </row>
    <row r="301" spans="1:6" x14ac:dyDescent="0.2">
      <c r="A301" s="275"/>
      <c r="B301" s="78"/>
      <c r="C301" s="189"/>
      <c r="D301" s="185"/>
      <c r="E301" s="186"/>
      <c r="F301" s="187"/>
    </row>
    <row r="302" spans="1:6" x14ac:dyDescent="0.2">
      <c r="A302" s="275"/>
      <c r="B302" s="78"/>
      <c r="C302" s="189"/>
      <c r="D302" s="185"/>
      <c r="E302" s="186"/>
      <c r="F302" s="187"/>
    </row>
    <row r="303" spans="1:6" x14ac:dyDescent="0.2">
      <c r="A303" s="275"/>
      <c r="B303" s="78"/>
      <c r="C303" s="189"/>
      <c r="D303" s="185"/>
      <c r="E303" s="186"/>
      <c r="F303" s="187"/>
    </row>
    <row r="304" spans="1:6" x14ac:dyDescent="0.2">
      <c r="A304" s="275"/>
      <c r="B304" s="78"/>
      <c r="C304" s="189"/>
      <c r="D304" s="185"/>
      <c r="E304" s="186"/>
      <c r="F304" s="187"/>
    </row>
    <row r="305" spans="1:6" x14ac:dyDescent="0.2">
      <c r="A305" s="275"/>
      <c r="B305" s="78"/>
      <c r="C305" s="189"/>
      <c r="D305" s="185"/>
      <c r="E305" s="186"/>
      <c r="F305" s="187"/>
    </row>
    <row r="306" spans="1:6" x14ac:dyDescent="0.2">
      <c r="A306" s="275"/>
      <c r="B306" s="78"/>
      <c r="C306" s="189"/>
      <c r="D306" s="185"/>
      <c r="E306" s="186"/>
      <c r="F306" s="187"/>
    </row>
    <row r="307" spans="1:6" x14ac:dyDescent="0.2">
      <c r="A307" s="275"/>
      <c r="B307" s="78"/>
      <c r="C307" s="189"/>
      <c r="D307" s="185"/>
      <c r="E307" s="186"/>
      <c r="F307" s="187"/>
    </row>
    <row r="308" spans="1:6" x14ac:dyDescent="0.2">
      <c r="A308" s="275"/>
      <c r="B308" s="78"/>
      <c r="C308" s="189"/>
      <c r="D308" s="185"/>
      <c r="E308" s="186"/>
      <c r="F308" s="187"/>
    </row>
    <row r="309" spans="1:6" x14ac:dyDescent="0.2">
      <c r="A309" s="275"/>
      <c r="B309" s="78"/>
      <c r="C309" s="189"/>
      <c r="D309" s="185"/>
      <c r="E309" s="186"/>
      <c r="F309" s="187"/>
    </row>
    <row r="310" spans="1:6" x14ac:dyDescent="0.2">
      <c r="A310" s="275"/>
      <c r="B310" s="78"/>
      <c r="C310" s="189"/>
      <c r="D310" s="185"/>
      <c r="E310" s="186"/>
      <c r="F310" s="187"/>
    </row>
    <row r="311" spans="1:6" x14ac:dyDescent="0.2">
      <c r="A311" s="275"/>
      <c r="B311" s="78"/>
      <c r="C311" s="189"/>
      <c r="D311" s="185"/>
      <c r="E311" s="186"/>
      <c r="F311" s="187"/>
    </row>
    <row r="312" spans="1:6" x14ac:dyDescent="0.2">
      <c r="A312" s="275"/>
      <c r="B312" s="78"/>
      <c r="C312" s="189"/>
      <c r="D312" s="185"/>
      <c r="E312" s="186"/>
      <c r="F312" s="187"/>
    </row>
    <row r="313" spans="1:6" x14ac:dyDescent="0.2">
      <c r="A313" s="275"/>
      <c r="B313" s="78"/>
      <c r="C313" s="189"/>
      <c r="D313" s="185"/>
      <c r="E313" s="186"/>
      <c r="F313" s="187"/>
    </row>
    <row r="314" spans="1:6" x14ac:dyDescent="0.2">
      <c r="A314" s="275"/>
      <c r="B314" s="78"/>
      <c r="C314" s="189"/>
      <c r="D314" s="185"/>
      <c r="E314" s="186"/>
      <c r="F314" s="187"/>
    </row>
    <row r="315" spans="1:6" x14ac:dyDescent="0.2">
      <c r="A315" s="275"/>
      <c r="B315" s="78"/>
      <c r="C315" s="189"/>
      <c r="D315" s="185"/>
      <c r="E315" s="186"/>
      <c r="F315" s="187"/>
    </row>
    <row r="316" spans="1:6" x14ac:dyDescent="0.2">
      <c r="A316" s="275"/>
      <c r="B316" s="78"/>
      <c r="C316" s="189"/>
      <c r="D316" s="185"/>
      <c r="E316" s="186"/>
      <c r="F316" s="187"/>
    </row>
    <row r="317" spans="1:6" x14ac:dyDescent="0.2">
      <c r="A317" s="275"/>
      <c r="B317" s="78"/>
      <c r="C317" s="189"/>
      <c r="D317" s="185"/>
      <c r="E317" s="186"/>
      <c r="F317" s="187"/>
    </row>
    <row r="318" spans="1:6" x14ac:dyDescent="0.2">
      <c r="A318" s="275"/>
      <c r="B318" s="78"/>
      <c r="C318" s="189"/>
      <c r="D318" s="185"/>
      <c r="E318" s="186"/>
      <c r="F318" s="187"/>
    </row>
    <row r="319" spans="1:6" x14ac:dyDescent="0.2">
      <c r="A319" s="275"/>
      <c r="B319" s="78"/>
      <c r="C319" s="189"/>
      <c r="D319" s="185"/>
      <c r="E319" s="186"/>
      <c r="F319" s="187"/>
    </row>
    <row r="320" spans="1:6" x14ac:dyDescent="0.2">
      <c r="A320" s="275"/>
      <c r="B320" s="78"/>
      <c r="C320" s="189"/>
      <c r="D320" s="185"/>
      <c r="E320" s="186"/>
      <c r="F320" s="187"/>
    </row>
    <row r="321" spans="1:6" x14ac:dyDescent="0.2">
      <c r="A321" s="275"/>
      <c r="B321" s="78"/>
      <c r="C321" s="189"/>
      <c r="D321" s="185"/>
      <c r="E321" s="186"/>
      <c r="F321" s="187"/>
    </row>
    <row r="322" spans="1:6" x14ac:dyDescent="0.2">
      <c r="A322" s="275"/>
      <c r="B322" s="78"/>
      <c r="C322" s="189"/>
      <c r="D322" s="185"/>
      <c r="E322" s="186"/>
      <c r="F322" s="187"/>
    </row>
    <row r="323" spans="1:6" x14ac:dyDescent="0.2">
      <c r="A323" s="275"/>
      <c r="B323" s="78"/>
      <c r="C323" s="189"/>
      <c r="D323" s="185"/>
      <c r="E323" s="186"/>
      <c r="F323" s="187"/>
    </row>
    <row r="324" spans="1:6" x14ac:dyDescent="0.2">
      <c r="A324" s="275"/>
      <c r="B324" s="78"/>
      <c r="C324" s="189"/>
      <c r="D324" s="185"/>
      <c r="E324" s="186"/>
      <c r="F324" s="187"/>
    </row>
    <row r="325" spans="1:6" x14ac:dyDescent="0.2">
      <c r="A325" s="275"/>
      <c r="B325" s="78"/>
      <c r="C325" s="189"/>
      <c r="D325" s="185"/>
      <c r="E325" s="186"/>
      <c r="F325" s="187"/>
    </row>
    <row r="326" spans="1:6" x14ac:dyDescent="0.2">
      <c r="A326" s="275"/>
      <c r="B326" s="78"/>
      <c r="C326" s="189"/>
      <c r="D326" s="185"/>
      <c r="E326" s="186"/>
      <c r="F326" s="187"/>
    </row>
    <row r="327" spans="1:6" x14ac:dyDescent="0.2">
      <c r="A327" s="275"/>
      <c r="B327" s="78"/>
      <c r="C327" s="189"/>
      <c r="D327" s="185"/>
      <c r="E327" s="186"/>
      <c r="F327" s="187"/>
    </row>
    <row r="328" spans="1:6" x14ac:dyDescent="0.2">
      <c r="A328" s="275"/>
      <c r="B328" s="78"/>
      <c r="C328" s="189"/>
      <c r="D328" s="185"/>
      <c r="E328" s="186"/>
      <c r="F328" s="187"/>
    </row>
    <row r="329" spans="1:6" x14ac:dyDescent="0.2">
      <c r="A329" s="275"/>
      <c r="B329" s="78"/>
      <c r="C329" s="189"/>
      <c r="D329" s="185"/>
      <c r="E329" s="186"/>
      <c r="F329" s="187"/>
    </row>
    <row r="330" spans="1:6" x14ac:dyDescent="0.2">
      <c r="A330" s="275"/>
      <c r="B330" s="78"/>
      <c r="C330" s="189"/>
      <c r="D330" s="185"/>
      <c r="E330" s="186"/>
      <c r="F330" s="187"/>
    </row>
    <row r="331" spans="1:6" x14ac:dyDescent="0.2">
      <c r="A331" s="275"/>
      <c r="B331" s="78"/>
      <c r="C331" s="189"/>
      <c r="D331" s="185"/>
      <c r="E331" s="186"/>
      <c r="F331" s="187"/>
    </row>
    <row r="332" spans="1:6" x14ac:dyDescent="0.2">
      <c r="A332" s="275"/>
      <c r="B332" s="78"/>
      <c r="C332" s="189"/>
      <c r="D332" s="185"/>
      <c r="E332" s="186"/>
      <c r="F332" s="187"/>
    </row>
    <row r="333" spans="1:6" x14ac:dyDescent="0.2">
      <c r="A333" s="275"/>
      <c r="B333" s="78"/>
      <c r="C333" s="189"/>
      <c r="D333" s="185"/>
      <c r="E333" s="186"/>
      <c r="F333" s="187"/>
    </row>
    <row r="334" spans="1:6" x14ac:dyDescent="0.2">
      <c r="A334" s="275"/>
      <c r="B334" s="78"/>
      <c r="C334" s="189"/>
      <c r="D334" s="185"/>
      <c r="E334" s="186"/>
      <c r="F334" s="187"/>
    </row>
    <row r="335" spans="1:6" x14ac:dyDescent="0.2">
      <c r="A335" s="275"/>
      <c r="B335" s="78"/>
      <c r="C335" s="189"/>
      <c r="D335" s="185"/>
      <c r="E335" s="186"/>
      <c r="F335" s="187"/>
    </row>
    <row r="336" spans="1:6" x14ac:dyDescent="0.2">
      <c r="A336" s="275"/>
      <c r="B336" s="78"/>
      <c r="C336" s="189"/>
      <c r="D336" s="185"/>
      <c r="E336" s="186"/>
      <c r="F336" s="187"/>
    </row>
    <row r="337" spans="1:6" x14ac:dyDescent="0.2">
      <c r="A337" s="275"/>
      <c r="B337" s="78"/>
      <c r="C337" s="189"/>
      <c r="D337" s="185"/>
      <c r="E337" s="186"/>
      <c r="F337" s="187"/>
    </row>
    <row r="338" spans="1:6" x14ac:dyDescent="0.2">
      <c r="A338" s="275"/>
      <c r="B338" s="78"/>
      <c r="C338" s="189"/>
      <c r="D338" s="185"/>
      <c r="E338" s="186"/>
      <c r="F338" s="187"/>
    </row>
    <row r="339" spans="1:6" x14ac:dyDescent="0.2">
      <c r="A339" s="275"/>
      <c r="B339" s="78"/>
      <c r="C339" s="189"/>
      <c r="D339" s="185"/>
      <c r="E339" s="186"/>
      <c r="F339" s="187"/>
    </row>
    <row r="340" spans="1:6" x14ac:dyDescent="0.2">
      <c r="A340" s="275"/>
      <c r="B340" s="78"/>
      <c r="C340" s="189"/>
      <c r="D340" s="185"/>
      <c r="E340" s="186"/>
      <c r="F340" s="187"/>
    </row>
    <row r="341" spans="1:6" x14ac:dyDescent="0.2">
      <c r="A341" s="275"/>
      <c r="B341" s="78"/>
      <c r="C341" s="189"/>
      <c r="D341" s="185"/>
      <c r="E341" s="186"/>
      <c r="F341" s="187"/>
    </row>
    <row r="342" spans="1:6" x14ac:dyDescent="0.2">
      <c r="A342" s="275"/>
      <c r="B342" s="78"/>
      <c r="C342" s="189"/>
      <c r="D342" s="185"/>
      <c r="E342" s="186"/>
      <c r="F342" s="187"/>
    </row>
    <row r="343" spans="1:6" x14ac:dyDescent="0.2">
      <c r="A343" s="275"/>
      <c r="B343" s="78"/>
      <c r="C343" s="189"/>
      <c r="D343" s="185"/>
      <c r="E343" s="186"/>
      <c r="F343" s="187"/>
    </row>
    <row r="344" spans="1:6" x14ac:dyDescent="0.2">
      <c r="A344" s="275"/>
      <c r="B344" s="78"/>
      <c r="C344" s="189"/>
      <c r="D344" s="185"/>
      <c r="E344" s="186"/>
      <c r="F344" s="187"/>
    </row>
    <row r="345" spans="1:6" x14ac:dyDescent="0.2">
      <c r="A345" s="275"/>
      <c r="B345" s="78"/>
      <c r="C345" s="189"/>
      <c r="D345" s="185"/>
      <c r="E345" s="186"/>
      <c r="F345" s="187"/>
    </row>
    <row r="346" spans="1:6" x14ac:dyDescent="0.2">
      <c r="A346" s="275"/>
      <c r="B346" s="78"/>
      <c r="C346" s="189"/>
      <c r="D346" s="185"/>
      <c r="E346" s="186"/>
      <c r="F346" s="187"/>
    </row>
    <row r="347" spans="1:6" x14ac:dyDescent="0.2">
      <c r="A347" s="275"/>
      <c r="B347" s="78"/>
      <c r="C347" s="189"/>
      <c r="D347" s="185"/>
      <c r="E347" s="186"/>
      <c r="F347" s="187"/>
    </row>
    <row r="348" spans="1:6" x14ac:dyDescent="0.2">
      <c r="A348" s="275"/>
      <c r="B348" s="78"/>
      <c r="C348" s="189"/>
      <c r="D348" s="185"/>
      <c r="E348" s="186"/>
      <c r="F348" s="187"/>
    </row>
    <row r="349" spans="1:6" x14ac:dyDescent="0.2">
      <c r="A349" s="275"/>
      <c r="B349" s="78"/>
      <c r="C349" s="189"/>
      <c r="D349" s="185"/>
      <c r="E349" s="186"/>
      <c r="F349" s="187"/>
    </row>
    <row r="350" spans="1:6" x14ac:dyDescent="0.2">
      <c r="A350" s="275"/>
      <c r="B350" s="78"/>
      <c r="C350" s="189"/>
      <c r="D350" s="185"/>
      <c r="E350" s="186"/>
      <c r="F350" s="187"/>
    </row>
    <row r="351" spans="1:6" x14ac:dyDescent="0.2">
      <c r="A351" s="275"/>
      <c r="B351" s="78"/>
      <c r="C351" s="189"/>
      <c r="D351" s="185"/>
      <c r="E351" s="186"/>
      <c r="F351" s="187"/>
    </row>
    <row r="352" spans="1:6" x14ac:dyDescent="0.2">
      <c r="A352" s="275"/>
      <c r="B352" s="78"/>
      <c r="C352" s="189"/>
      <c r="D352" s="185"/>
      <c r="E352" s="186"/>
      <c r="F352" s="187"/>
    </row>
    <row r="353" spans="1:6" x14ac:dyDescent="0.2">
      <c r="A353" s="275"/>
      <c r="B353" s="78"/>
      <c r="C353" s="189"/>
      <c r="D353" s="185"/>
      <c r="E353" s="186"/>
      <c r="F353" s="187"/>
    </row>
    <row r="354" spans="1:6" x14ac:dyDescent="0.2">
      <c r="A354" s="275"/>
      <c r="B354" s="78"/>
      <c r="C354" s="189"/>
      <c r="D354" s="185"/>
      <c r="E354" s="186"/>
      <c r="F354" s="187"/>
    </row>
    <row r="355" spans="1:6" x14ac:dyDescent="0.2">
      <c r="A355" s="275"/>
      <c r="B355" s="78"/>
      <c r="C355" s="189"/>
      <c r="D355" s="185"/>
      <c r="E355" s="186"/>
      <c r="F355" s="187"/>
    </row>
    <row r="356" spans="1:6" x14ac:dyDescent="0.2">
      <c r="A356" s="275"/>
      <c r="B356" s="78"/>
      <c r="C356" s="189"/>
      <c r="D356" s="185"/>
      <c r="E356" s="186"/>
      <c r="F356" s="187"/>
    </row>
    <row r="357" spans="1:6" x14ac:dyDescent="0.2">
      <c r="A357" s="275"/>
      <c r="B357" s="78"/>
      <c r="C357" s="189"/>
      <c r="D357" s="185"/>
      <c r="E357" s="186"/>
      <c r="F357" s="187"/>
    </row>
    <row r="358" spans="1:6" x14ac:dyDescent="0.2">
      <c r="A358" s="275"/>
      <c r="B358" s="78"/>
      <c r="C358" s="189"/>
      <c r="D358" s="185"/>
      <c r="E358" s="186"/>
      <c r="F358" s="187"/>
    </row>
    <row r="359" spans="1:6" x14ac:dyDescent="0.2">
      <c r="A359" s="275"/>
      <c r="B359" s="78"/>
      <c r="C359" s="189"/>
      <c r="D359" s="185"/>
      <c r="E359" s="186"/>
      <c r="F359" s="187"/>
    </row>
    <row r="360" spans="1:6" x14ac:dyDescent="0.2">
      <c r="A360" s="275"/>
      <c r="B360" s="78"/>
      <c r="C360" s="189"/>
      <c r="D360" s="185"/>
      <c r="E360" s="186"/>
      <c r="F360" s="187"/>
    </row>
    <row r="361" spans="1:6" x14ac:dyDescent="0.2">
      <c r="A361" s="275"/>
      <c r="B361" s="78"/>
      <c r="C361" s="189"/>
      <c r="D361" s="185"/>
      <c r="E361" s="186"/>
      <c r="F361" s="187"/>
    </row>
    <row r="362" spans="1:6" x14ac:dyDescent="0.2">
      <c r="A362" s="275"/>
      <c r="B362" s="78"/>
      <c r="C362" s="189"/>
      <c r="D362" s="185"/>
      <c r="E362" s="186"/>
      <c r="F362" s="187"/>
    </row>
    <row r="363" spans="1:6" x14ac:dyDescent="0.2">
      <c r="A363" s="275"/>
      <c r="B363" s="78"/>
      <c r="C363" s="189"/>
      <c r="D363" s="185"/>
      <c r="E363" s="186"/>
      <c r="F363" s="187"/>
    </row>
    <row r="364" spans="1:6" x14ac:dyDescent="0.2">
      <c r="A364" s="275"/>
      <c r="B364" s="78"/>
      <c r="C364" s="189"/>
      <c r="D364" s="185"/>
      <c r="E364" s="186"/>
      <c r="F364" s="187"/>
    </row>
    <row r="365" spans="1:6" x14ac:dyDescent="0.2">
      <c r="A365" s="275"/>
      <c r="B365" s="78"/>
      <c r="C365" s="189"/>
      <c r="D365" s="185"/>
      <c r="E365" s="186"/>
      <c r="F365" s="187"/>
    </row>
    <row r="366" spans="1:6" x14ac:dyDescent="0.2">
      <c r="A366" s="275"/>
      <c r="B366" s="78"/>
      <c r="C366" s="189"/>
      <c r="D366" s="185"/>
      <c r="E366" s="186"/>
      <c r="F366" s="187"/>
    </row>
    <row r="367" spans="1:6" x14ac:dyDescent="0.2">
      <c r="A367" s="275"/>
      <c r="B367" s="78"/>
      <c r="C367" s="189"/>
      <c r="D367" s="185"/>
      <c r="E367" s="186"/>
      <c r="F367" s="187"/>
    </row>
    <row r="368" spans="1:6" x14ac:dyDescent="0.2">
      <c r="A368" s="275"/>
      <c r="B368" s="78"/>
      <c r="C368" s="189"/>
      <c r="D368" s="185"/>
      <c r="E368" s="186"/>
      <c r="F368" s="187"/>
    </row>
    <row r="369" spans="1:6" x14ac:dyDescent="0.2">
      <c r="A369" s="275"/>
      <c r="B369" s="78"/>
      <c r="C369" s="189"/>
      <c r="D369" s="185"/>
      <c r="E369" s="186"/>
      <c r="F369" s="187"/>
    </row>
    <row r="370" spans="1:6" x14ac:dyDescent="0.2">
      <c r="A370" s="275"/>
      <c r="B370" s="78"/>
      <c r="C370" s="189"/>
      <c r="D370" s="185"/>
      <c r="E370" s="186"/>
      <c r="F370" s="187"/>
    </row>
    <row r="371" spans="1:6" x14ac:dyDescent="0.2">
      <c r="A371" s="275"/>
      <c r="B371" s="78"/>
      <c r="C371" s="189"/>
      <c r="D371" s="185"/>
      <c r="E371" s="186"/>
      <c r="F371" s="187"/>
    </row>
    <row r="372" spans="1:6" x14ac:dyDescent="0.2">
      <c r="A372" s="275"/>
      <c r="B372" s="78"/>
      <c r="C372" s="189"/>
      <c r="D372" s="185"/>
      <c r="E372" s="186"/>
      <c r="F372" s="187"/>
    </row>
    <row r="373" spans="1:6" x14ac:dyDescent="0.2">
      <c r="A373" s="275"/>
      <c r="B373" s="78"/>
      <c r="C373" s="189"/>
      <c r="D373" s="185"/>
      <c r="E373" s="186"/>
      <c r="F373" s="187"/>
    </row>
    <row r="374" spans="1:6" x14ac:dyDescent="0.2">
      <c r="A374" s="275"/>
      <c r="B374" s="78"/>
      <c r="C374" s="189"/>
      <c r="D374" s="185"/>
      <c r="E374" s="186"/>
      <c r="F374" s="187"/>
    </row>
    <row r="375" spans="1:6" x14ac:dyDescent="0.2">
      <c r="A375" s="275"/>
      <c r="B375" s="78"/>
      <c r="C375" s="189"/>
      <c r="D375" s="185"/>
      <c r="E375" s="186"/>
      <c r="F375" s="187"/>
    </row>
    <row r="376" spans="1:6" x14ac:dyDescent="0.2">
      <c r="A376" s="275"/>
      <c r="B376" s="78"/>
      <c r="C376" s="189"/>
      <c r="D376" s="185"/>
      <c r="E376" s="186"/>
      <c r="F376" s="187"/>
    </row>
    <row r="377" spans="1:6" x14ac:dyDescent="0.2">
      <c r="A377" s="275"/>
      <c r="B377" s="78"/>
      <c r="C377" s="189"/>
      <c r="D377" s="185"/>
      <c r="E377" s="186"/>
      <c r="F377" s="187"/>
    </row>
    <row r="378" spans="1:6" x14ac:dyDescent="0.2">
      <c r="A378" s="275"/>
      <c r="B378" s="78"/>
      <c r="C378" s="189"/>
      <c r="D378" s="185"/>
      <c r="E378" s="186"/>
      <c r="F378" s="187"/>
    </row>
    <row r="379" spans="1:6" x14ac:dyDescent="0.2">
      <c r="A379" s="275"/>
      <c r="B379" s="78"/>
      <c r="C379" s="189"/>
      <c r="D379" s="185"/>
      <c r="E379" s="186"/>
      <c r="F379" s="187"/>
    </row>
    <row r="380" spans="1:6" x14ac:dyDescent="0.2">
      <c r="A380" s="275"/>
      <c r="B380" s="78"/>
      <c r="C380" s="189"/>
      <c r="D380" s="185"/>
      <c r="E380" s="186"/>
      <c r="F380" s="187"/>
    </row>
    <row r="381" spans="1:6" x14ac:dyDescent="0.2">
      <c r="A381" s="275"/>
      <c r="B381" s="78"/>
      <c r="C381" s="189"/>
      <c r="D381" s="185"/>
      <c r="E381" s="186"/>
      <c r="F381" s="187"/>
    </row>
    <row r="382" spans="1:6" x14ac:dyDescent="0.2">
      <c r="A382" s="275"/>
      <c r="B382" s="78"/>
      <c r="C382" s="189"/>
      <c r="D382" s="185"/>
      <c r="E382" s="186"/>
      <c r="F382" s="187"/>
    </row>
    <row r="383" spans="1:6" x14ac:dyDescent="0.2">
      <c r="A383" s="275"/>
      <c r="B383" s="78"/>
      <c r="C383" s="189"/>
      <c r="D383" s="185"/>
      <c r="E383" s="186"/>
      <c r="F383" s="187"/>
    </row>
    <row r="384" spans="1:6" x14ac:dyDescent="0.2">
      <c r="A384" s="275"/>
      <c r="B384" s="78"/>
      <c r="C384" s="189"/>
      <c r="D384" s="185"/>
      <c r="E384" s="186"/>
      <c r="F384" s="187"/>
    </row>
    <row r="385" spans="1:6" x14ac:dyDescent="0.2">
      <c r="A385" s="275"/>
      <c r="B385" s="78"/>
      <c r="C385" s="189"/>
      <c r="D385" s="185"/>
      <c r="E385" s="186"/>
      <c r="F385" s="187"/>
    </row>
    <row r="386" spans="1:6" x14ac:dyDescent="0.2">
      <c r="A386" s="275"/>
      <c r="B386" s="78"/>
      <c r="C386" s="189"/>
      <c r="D386" s="185"/>
      <c r="E386" s="186"/>
      <c r="F386" s="187"/>
    </row>
    <row r="387" spans="1:6" x14ac:dyDescent="0.2">
      <c r="A387" s="275"/>
      <c r="B387" s="78"/>
      <c r="C387" s="189"/>
      <c r="D387" s="185"/>
      <c r="E387" s="186"/>
      <c r="F387" s="187"/>
    </row>
    <row r="388" spans="1:6" x14ac:dyDescent="0.2">
      <c r="A388" s="275"/>
      <c r="B388" s="78"/>
      <c r="C388" s="189"/>
      <c r="D388" s="185"/>
      <c r="E388" s="186"/>
      <c r="F388" s="187"/>
    </row>
    <row r="389" spans="1:6" x14ac:dyDescent="0.2">
      <c r="A389" s="275"/>
      <c r="B389" s="78"/>
      <c r="C389" s="189"/>
      <c r="D389" s="185"/>
      <c r="E389" s="186"/>
      <c r="F389" s="187"/>
    </row>
    <row r="390" spans="1:6" x14ac:dyDescent="0.2">
      <c r="A390" s="275"/>
      <c r="B390" s="78"/>
      <c r="C390" s="189"/>
      <c r="D390" s="185"/>
      <c r="E390" s="186"/>
      <c r="F390" s="187"/>
    </row>
    <row r="391" spans="1:6" x14ac:dyDescent="0.2">
      <c r="A391" s="275"/>
      <c r="B391" s="78"/>
      <c r="C391" s="189"/>
      <c r="D391" s="185"/>
      <c r="E391" s="186"/>
      <c r="F391" s="187"/>
    </row>
    <row r="392" spans="1:6" x14ac:dyDescent="0.2">
      <c r="A392" s="275"/>
      <c r="B392" s="78"/>
      <c r="C392" s="189"/>
      <c r="D392" s="185"/>
      <c r="E392" s="186"/>
      <c r="F392" s="187"/>
    </row>
    <row r="393" spans="1:6" x14ac:dyDescent="0.2">
      <c r="A393" s="275"/>
      <c r="B393" s="78"/>
      <c r="C393" s="189"/>
      <c r="D393" s="185"/>
      <c r="E393" s="186"/>
      <c r="F393" s="187"/>
    </row>
    <row r="394" spans="1:6" x14ac:dyDescent="0.2">
      <c r="A394" s="275"/>
      <c r="B394" s="78"/>
      <c r="C394" s="189"/>
      <c r="D394" s="185"/>
      <c r="E394" s="186"/>
      <c r="F394" s="187"/>
    </row>
    <row r="395" spans="1:6" x14ac:dyDescent="0.2">
      <c r="A395" s="275"/>
      <c r="B395" s="78"/>
      <c r="C395" s="189"/>
      <c r="D395" s="185"/>
      <c r="E395" s="186"/>
      <c r="F395" s="187"/>
    </row>
    <row r="396" spans="1:6" x14ac:dyDescent="0.2">
      <c r="A396" s="275"/>
      <c r="B396" s="78"/>
      <c r="C396" s="189"/>
      <c r="D396" s="185"/>
      <c r="E396" s="186"/>
      <c r="F396" s="187"/>
    </row>
    <row r="397" spans="1:6" x14ac:dyDescent="0.2">
      <c r="A397" s="275"/>
      <c r="B397" s="78"/>
      <c r="C397" s="189"/>
      <c r="D397" s="185"/>
      <c r="E397" s="186"/>
      <c r="F397" s="187"/>
    </row>
    <row r="398" spans="1:6" x14ac:dyDescent="0.2">
      <c r="A398" s="275"/>
      <c r="B398" s="78"/>
      <c r="C398" s="189"/>
      <c r="D398" s="185"/>
      <c r="E398" s="186"/>
      <c r="F398" s="187"/>
    </row>
    <row r="399" spans="1:6" x14ac:dyDescent="0.2">
      <c r="A399" s="275"/>
      <c r="B399" s="78"/>
      <c r="C399" s="189"/>
      <c r="D399" s="185"/>
      <c r="E399" s="186"/>
      <c r="F399" s="187"/>
    </row>
    <row r="400" spans="1:6" x14ac:dyDescent="0.2">
      <c r="A400" s="275"/>
      <c r="B400" s="78"/>
      <c r="C400" s="189"/>
      <c r="D400" s="185"/>
      <c r="E400" s="186"/>
      <c r="F400" s="187"/>
    </row>
    <row r="401" spans="1:6" x14ac:dyDescent="0.2">
      <c r="A401" s="275"/>
      <c r="B401" s="78"/>
      <c r="C401" s="189"/>
      <c r="D401" s="185"/>
      <c r="E401" s="186"/>
      <c r="F401" s="187"/>
    </row>
    <row r="402" spans="1:6" x14ac:dyDescent="0.2">
      <c r="A402" s="275"/>
      <c r="B402" s="78"/>
      <c r="C402" s="189"/>
      <c r="D402" s="185"/>
      <c r="E402" s="186"/>
      <c r="F402" s="187"/>
    </row>
    <row r="403" spans="1:6" x14ac:dyDescent="0.2">
      <c r="A403" s="275"/>
      <c r="B403" s="78"/>
      <c r="C403" s="189"/>
      <c r="D403" s="185"/>
      <c r="E403" s="186"/>
      <c r="F403" s="187"/>
    </row>
    <row r="404" spans="1:6" x14ac:dyDescent="0.2">
      <c r="A404" s="275"/>
      <c r="B404" s="78"/>
      <c r="C404" s="189"/>
      <c r="D404" s="185"/>
      <c r="E404" s="186"/>
      <c r="F404" s="187"/>
    </row>
    <row r="405" spans="1:6" x14ac:dyDescent="0.2">
      <c r="A405" s="275"/>
      <c r="B405" s="78"/>
      <c r="C405" s="189"/>
      <c r="D405" s="185"/>
      <c r="E405" s="186"/>
      <c r="F405" s="187"/>
    </row>
    <row r="406" spans="1:6" x14ac:dyDescent="0.2">
      <c r="A406" s="275"/>
      <c r="B406" s="78"/>
      <c r="C406" s="189"/>
      <c r="D406" s="185"/>
      <c r="E406" s="186"/>
      <c r="F406" s="187"/>
    </row>
    <row r="407" spans="1:6" x14ac:dyDescent="0.2">
      <c r="A407" s="275"/>
      <c r="B407" s="78"/>
      <c r="C407" s="189"/>
      <c r="D407" s="185"/>
      <c r="E407" s="186"/>
      <c r="F407" s="187"/>
    </row>
    <row r="408" spans="1:6" x14ac:dyDescent="0.2">
      <c r="A408" s="275"/>
      <c r="B408" s="78"/>
      <c r="C408" s="189"/>
      <c r="D408" s="185"/>
      <c r="E408" s="186"/>
      <c r="F408" s="187"/>
    </row>
    <row r="409" spans="1:6" x14ac:dyDescent="0.2">
      <c r="A409" s="275"/>
      <c r="B409" s="78"/>
      <c r="C409" s="189"/>
      <c r="D409" s="185"/>
      <c r="E409" s="186"/>
      <c r="F409" s="187"/>
    </row>
    <row r="410" spans="1:6" x14ac:dyDescent="0.2">
      <c r="A410" s="275"/>
      <c r="B410" s="78"/>
      <c r="C410" s="189"/>
      <c r="D410" s="185"/>
      <c r="E410" s="186"/>
      <c r="F410" s="187"/>
    </row>
    <row r="411" spans="1:6" x14ac:dyDescent="0.2">
      <c r="A411" s="275"/>
      <c r="B411" s="78"/>
      <c r="C411" s="189"/>
      <c r="D411" s="185"/>
      <c r="E411" s="186"/>
      <c r="F411" s="187"/>
    </row>
    <row r="412" spans="1:6" x14ac:dyDescent="0.2">
      <c r="A412" s="275"/>
      <c r="B412" s="78"/>
      <c r="C412" s="189"/>
      <c r="D412" s="185"/>
      <c r="E412" s="186"/>
      <c r="F412" s="187"/>
    </row>
    <row r="413" spans="1:6" x14ac:dyDescent="0.2">
      <c r="A413" s="275"/>
      <c r="B413" s="78"/>
      <c r="C413" s="189"/>
      <c r="D413" s="185"/>
      <c r="E413" s="186"/>
      <c r="F413" s="187"/>
    </row>
    <row r="414" spans="1:6" x14ac:dyDescent="0.2">
      <c r="A414" s="275"/>
      <c r="B414" s="78"/>
      <c r="C414" s="189"/>
      <c r="D414" s="185"/>
      <c r="E414" s="186"/>
      <c r="F414" s="187"/>
    </row>
    <row r="415" spans="1:6" x14ac:dyDescent="0.2">
      <c r="A415" s="275"/>
      <c r="B415" s="78"/>
      <c r="C415" s="189"/>
      <c r="D415" s="185"/>
      <c r="E415" s="186"/>
      <c r="F415" s="187"/>
    </row>
    <row r="416" spans="1:6" x14ac:dyDescent="0.2">
      <c r="A416" s="275"/>
      <c r="B416" s="78"/>
      <c r="C416" s="189"/>
      <c r="D416" s="185"/>
      <c r="E416" s="186"/>
      <c r="F416" s="187"/>
    </row>
    <row r="417" spans="1:6" x14ac:dyDescent="0.2">
      <c r="A417" s="275"/>
      <c r="B417" s="78"/>
      <c r="C417" s="189"/>
      <c r="D417" s="185"/>
      <c r="E417" s="186"/>
      <c r="F417" s="187"/>
    </row>
    <row r="418" spans="1:6" x14ac:dyDescent="0.2">
      <c r="A418" s="275"/>
      <c r="B418" s="78"/>
      <c r="C418" s="189"/>
      <c r="D418" s="185"/>
      <c r="E418" s="186"/>
      <c r="F418" s="187"/>
    </row>
    <row r="419" spans="1:6" x14ac:dyDescent="0.2">
      <c r="A419" s="275"/>
      <c r="B419" s="78"/>
      <c r="C419" s="189"/>
      <c r="D419" s="185"/>
      <c r="E419" s="186"/>
      <c r="F419" s="187"/>
    </row>
    <row r="420" spans="1:6" x14ac:dyDescent="0.2">
      <c r="A420" s="275"/>
      <c r="B420" s="78"/>
      <c r="C420" s="189"/>
      <c r="D420" s="185"/>
      <c r="E420" s="186"/>
      <c r="F420" s="187"/>
    </row>
    <row r="421" spans="1:6" x14ac:dyDescent="0.2">
      <c r="A421" s="275"/>
      <c r="B421" s="78"/>
      <c r="C421" s="189"/>
      <c r="D421" s="185"/>
      <c r="E421" s="186"/>
      <c r="F421" s="187"/>
    </row>
    <row r="422" spans="1:6" x14ac:dyDescent="0.2">
      <c r="A422" s="275"/>
      <c r="B422" s="78"/>
      <c r="C422" s="189"/>
      <c r="D422" s="185"/>
      <c r="E422" s="186"/>
      <c r="F422" s="187"/>
    </row>
    <row r="423" spans="1:6" x14ac:dyDescent="0.2">
      <c r="A423" s="275"/>
      <c r="B423" s="78"/>
      <c r="C423" s="189"/>
      <c r="D423" s="185"/>
      <c r="E423" s="186"/>
      <c r="F423" s="187"/>
    </row>
    <row r="424" spans="1:6" x14ac:dyDescent="0.2">
      <c r="A424" s="275"/>
      <c r="B424" s="78"/>
      <c r="C424" s="189"/>
      <c r="D424" s="185"/>
      <c r="E424" s="186"/>
      <c r="F424" s="187"/>
    </row>
    <row r="425" spans="1:6" x14ac:dyDescent="0.2">
      <c r="A425" s="275"/>
      <c r="B425" s="78"/>
      <c r="C425" s="189"/>
      <c r="D425" s="185"/>
      <c r="E425" s="186"/>
      <c r="F425" s="187"/>
    </row>
    <row r="426" spans="1:6" x14ac:dyDescent="0.2">
      <c r="A426" s="275"/>
      <c r="B426" s="78"/>
      <c r="C426" s="189"/>
      <c r="D426" s="185"/>
      <c r="E426" s="186"/>
      <c r="F426" s="187"/>
    </row>
    <row r="427" spans="1:6" x14ac:dyDescent="0.2">
      <c r="A427" s="275"/>
      <c r="B427" s="78"/>
      <c r="C427" s="189"/>
      <c r="D427" s="185"/>
      <c r="E427" s="186"/>
      <c r="F427" s="187"/>
    </row>
    <row r="428" spans="1:6" x14ac:dyDescent="0.2">
      <c r="A428" s="275"/>
      <c r="B428" s="78"/>
      <c r="C428" s="189"/>
      <c r="D428" s="185"/>
      <c r="E428" s="186"/>
      <c r="F428" s="187"/>
    </row>
    <row r="429" spans="1:6" x14ac:dyDescent="0.2">
      <c r="A429" s="275"/>
      <c r="B429" s="78"/>
      <c r="C429" s="189"/>
      <c r="D429" s="185"/>
      <c r="E429" s="186"/>
      <c r="F429" s="187"/>
    </row>
    <row r="430" spans="1:6" x14ac:dyDescent="0.2">
      <c r="A430" s="275"/>
      <c r="B430" s="78"/>
      <c r="C430" s="189"/>
      <c r="D430" s="185"/>
      <c r="E430" s="186"/>
      <c r="F430" s="187"/>
    </row>
    <row r="431" spans="1:6" x14ac:dyDescent="0.2">
      <c r="A431" s="275"/>
      <c r="B431" s="78"/>
      <c r="C431" s="189"/>
      <c r="D431" s="185"/>
      <c r="E431" s="186"/>
      <c r="F431" s="187"/>
    </row>
    <row r="432" spans="1:6" x14ac:dyDescent="0.2">
      <c r="A432" s="275"/>
      <c r="B432" s="78"/>
      <c r="C432" s="189"/>
      <c r="D432" s="185"/>
      <c r="E432" s="186"/>
      <c r="F432" s="187"/>
    </row>
    <row r="433" spans="1:6" x14ac:dyDescent="0.2">
      <c r="A433" s="275"/>
      <c r="B433" s="78"/>
      <c r="C433" s="189"/>
      <c r="D433" s="185"/>
      <c r="E433" s="186"/>
      <c r="F433" s="187"/>
    </row>
    <row r="434" spans="1:6" x14ac:dyDescent="0.2">
      <c r="A434" s="275"/>
      <c r="B434" s="78"/>
      <c r="C434" s="189"/>
      <c r="D434" s="185"/>
      <c r="E434" s="186"/>
      <c r="F434" s="187"/>
    </row>
    <row r="435" spans="1:6" x14ac:dyDescent="0.2">
      <c r="A435" s="275"/>
      <c r="B435" s="78"/>
      <c r="C435" s="189"/>
      <c r="D435" s="185"/>
      <c r="E435" s="186"/>
      <c r="F435" s="187"/>
    </row>
    <row r="436" spans="1:6" x14ac:dyDescent="0.2">
      <c r="A436" s="275"/>
      <c r="B436" s="78"/>
      <c r="C436" s="189"/>
      <c r="D436" s="185"/>
      <c r="E436" s="186"/>
      <c r="F436" s="187"/>
    </row>
    <row r="437" spans="1:6" x14ac:dyDescent="0.2">
      <c r="A437" s="275"/>
      <c r="B437" s="78"/>
      <c r="C437" s="189"/>
      <c r="D437" s="185"/>
      <c r="E437" s="186"/>
      <c r="F437" s="187"/>
    </row>
    <row r="438" spans="1:6" x14ac:dyDescent="0.2">
      <c r="A438" s="275"/>
      <c r="B438" s="78"/>
      <c r="C438" s="189"/>
      <c r="D438" s="185"/>
      <c r="E438" s="186"/>
      <c r="F438" s="187"/>
    </row>
    <row r="439" spans="1:6" x14ac:dyDescent="0.2">
      <c r="A439" s="275"/>
      <c r="B439" s="78"/>
      <c r="C439" s="189"/>
      <c r="D439" s="185"/>
      <c r="E439" s="186"/>
      <c r="F439" s="187"/>
    </row>
    <row r="440" spans="1:6" x14ac:dyDescent="0.2">
      <c r="A440" s="275"/>
      <c r="B440" s="78"/>
      <c r="C440" s="189"/>
      <c r="D440" s="185"/>
      <c r="E440" s="186"/>
      <c r="F440" s="187"/>
    </row>
    <row r="441" spans="1:6" x14ac:dyDescent="0.2">
      <c r="A441" s="275"/>
      <c r="B441" s="78"/>
      <c r="C441" s="189"/>
      <c r="D441" s="185"/>
      <c r="E441" s="186"/>
      <c r="F441" s="187"/>
    </row>
    <row r="442" spans="1:6" x14ac:dyDescent="0.2">
      <c r="A442" s="275"/>
      <c r="B442" s="78"/>
      <c r="C442" s="189"/>
      <c r="D442" s="185"/>
      <c r="E442" s="186"/>
      <c r="F442" s="187"/>
    </row>
    <row r="443" spans="1:6" x14ac:dyDescent="0.2">
      <c r="A443" s="275"/>
      <c r="B443" s="78"/>
      <c r="C443" s="189"/>
      <c r="D443" s="185"/>
      <c r="E443" s="186"/>
      <c r="F443" s="187"/>
    </row>
    <row r="444" spans="1:6" x14ac:dyDescent="0.2">
      <c r="A444" s="275"/>
      <c r="B444" s="78"/>
      <c r="C444" s="189"/>
      <c r="D444" s="185"/>
      <c r="E444" s="186"/>
      <c r="F444" s="187"/>
    </row>
    <row r="445" spans="1:6" x14ac:dyDescent="0.2">
      <c r="A445" s="275"/>
      <c r="B445" s="78"/>
      <c r="C445" s="189"/>
      <c r="D445" s="185"/>
      <c r="E445" s="186"/>
      <c r="F445" s="187"/>
    </row>
    <row r="446" spans="1:6" x14ac:dyDescent="0.2">
      <c r="A446" s="275"/>
      <c r="B446" s="78"/>
      <c r="C446" s="189"/>
      <c r="D446" s="185"/>
      <c r="E446" s="186"/>
      <c r="F446" s="187"/>
    </row>
    <row r="447" spans="1:6" x14ac:dyDescent="0.2">
      <c r="A447" s="275"/>
      <c r="B447" s="78"/>
      <c r="C447" s="189"/>
      <c r="D447" s="185"/>
      <c r="E447" s="186"/>
      <c r="F447" s="187"/>
    </row>
    <row r="448" spans="1:6" x14ac:dyDescent="0.2">
      <c r="A448" s="275"/>
      <c r="B448" s="78"/>
      <c r="C448" s="189"/>
      <c r="D448" s="185"/>
      <c r="E448" s="186"/>
      <c r="F448" s="187"/>
    </row>
    <row r="449" spans="1:6" x14ac:dyDescent="0.2">
      <c r="A449" s="275"/>
      <c r="B449" s="78"/>
      <c r="C449" s="189"/>
      <c r="D449" s="185"/>
      <c r="E449" s="186"/>
      <c r="F449" s="187"/>
    </row>
    <row r="450" spans="1:6" x14ac:dyDescent="0.2">
      <c r="A450" s="275"/>
      <c r="B450" s="78"/>
      <c r="C450" s="189"/>
      <c r="D450" s="185"/>
      <c r="E450" s="186"/>
      <c r="F450" s="187"/>
    </row>
    <row r="451" spans="1:6" x14ac:dyDescent="0.2">
      <c r="A451" s="275"/>
      <c r="B451" s="78"/>
      <c r="C451" s="189"/>
      <c r="D451" s="185"/>
      <c r="E451" s="186"/>
      <c r="F451" s="187"/>
    </row>
    <row r="452" spans="1:6" x14ac:dyDescent="0.2">
      <c r="A452" s="275"/>
      <c r="B452" s="78"/>
      <c r="C452" s="189"/>
      <c r="D452" s="185"/>
      <c r="E452" s="186"/>
      <c r="F452" s="187"/>
    </row>
    <row r="453" spans="1:6" x14ac:dyDescent="0.2">
      <c r="A453" s="275"/>
      <c r="B453" s="78"/>
      <c r="C453" s="189"/>
      <c r="D453" s="185"/>
      <c r="E453" s="186"/>
      <c r="F453" s="187"/>
    </row>
    <row r="454" spans="1:6" x14ac:dyDescent="0.2">
      <c r="A454" s="275"/>
      <c r="B454" s="78"/>
      <c r="C454" s="189"/>
      <c r="D454" s="185"/>
      <c r="E454" s="186"/>
      <c r="F454" s="187"/>
    </row>
    <row r="455" spans="1:6" x14ac:dyDescent="0.2">
      <c r="A455" s="275"/>
      <c r="B455" s="78"/>
      <c r="C455" s="189"/>
      <c r="D455" s="185"/>
      <c r="E455" s="186"/>
      <c r="F455" s="187"/>
    </row>
    <row r="456" spans="1:6" x14ac:dyDescent="0.2">
      <c r="A456" s="275"/>
      <c r="B456" s="78"/>
      <c r="C456" s="189"/>
      <c r="D456" s="185"/>
      <c r="E456" s="186"/>
      <c r="F456" s="187"/>
    </row>
    <row r="457" spans="1:6" x14ac:dyDescent="0.2">
      <c r="A457" s="275"/>
      <c r="B457" s="78"/>
      <c r="C457" s="189"/>
      <c r="D457" s="185"/>
      <c r="E457" s="186"/>
      <c r="F457" s="187"/>
    </row>
    <row r="458" spans="1:6" x14ac:dyDescent="0.2">
      <c r="A458" s="275"/>
      <c r="B458" s="78"/>
      <c r="C458" s="189"/>
      <c r="D458" s="185"/>
      <c r="E458" s="186"/>
      <c r="F458" s="187"/>
    </row>
    <row r="459" spans="1:6" x14ac:dyDescent="0.2">
      <c r="A459" s="275"/>
      <c r="B459" s="78"/>
      <c r="C459" s="189"/>
      <c r="D459" s="185"/>
      <c r="E459" s="186"/>
      <c r="F459" s="187"/>
    </row>
    <row r="460" spans="1:6" x14ac:dyDescent="0.2">
      <c r="A460" s="275"/>
      <c r="B460" s="78"/>
      <c r="C460" s="189"/>
      <c r="D460" s="185"/>
      <c r="E460" s="186"/>
      <c r="F460" s="187"/>
    </row>
    <row r="461" spans="1:6" x14ac:dyDescent="0.2">
      <c r="A461" s="275"/>
      <c r="B461" s="78"/>
      <c r="C461" s="189"/>
      <c r="D461" s="185"/>
      <c r="E461" s="186"/>
      <c r="F461" s="187"/>
    </row>
    <row r="462" spans="1:6" x14ac:dyDescent="0.2">
      <c r="A462" s="275"/>
      <c r="B462" s="78"/>
      <c r="C462" s="189"/>
      <c r="D462" s="185"/>
      <c r="E462" s="186"/>
      <c r="F462" s="187"/>
    </row>
    <row r="463" spans="1:6" x14ac:dyDescent="0.2">
      <c r="A463" s="275"/>
      <c r="B463" s="78"/>
      <c r="C463" s="189"/>
      <c r="D463" s="185"/>
      <c r="E463" s="186"/>
      <c r="F463" s="187"/>
    </row>
    <row r="464" spans="1:6" x14ac:dyDescent="0.2">
      <c r="A464" s="275"/>
      <c r="B464" s="78"/>
      <c r="C464" s="189"/>
      <c r="D464" s="185"/>
      <c r="E464" s="186"/>
      <c r="F464" s="187"/>
    </row>
    <row r="465" spans="1:6" x14ac:dyDescent="0.2">
      <c r="A465" s="275"/>
      <c r="B465" s="78"/>
      <c r="C465" s="189"/>
      <c r="D465" s="185"/>
      <c r="E465" s="186"/>
      <c r="F465" s="187"/>
    </row>
    <row r="466" spans="1:6" x14ac:dyDescent="0.2">
      <c r="A466" s="275"/>
      <c r="B466" s="78"/>
      <c r="C466" s="189"/>
      <c r="D466" s="185"/>
      <c r="E466" s="186"/>
      <c r="F466" s="187"/>
    </row>
    <row r="467" spans="1:6" x14ac:dyDescent="0.2">
      <c r="A467" s="275"/>
      <c r="B467" s="78"/>
      <c r="C467" s="189"/>
      <c r="D467" s="185"/>
      <c r="E467" s="186"/>
      <c r="F467" s="187"/>
    </row>
    <row r="468" spans="1:6" x14ac:dyDescent="0.2">
      <c r="A468" s="275"/>
      <c r="B468" s="78"/>
      <c r="C468" s="189"/>
      <c r="D468" s="185"/>
      <c r="E468" s="186"/>
      <c r="F468" s="187"/>
    </row>
    <row r="469" spans="1:6" x14ac:dyDescent="0.2">
      <c r="A469" s="275"/>
      <c r="B469" s="78"/>
      <c r="C469" s="189"/>
      <c r="D469" s="185"/>
      <c r="E469" s="186"/>
      <c r="F469" s="187"/>
    </row>
    <row r="470" spans="1:6" x14ac:dyDescent="0.2">
      <c r="A470" s="275"/>
      <c r="B470" s="78"/>
      <c r="C470" s="189"/>
      <c r="D470" s="185"/>
      <c r="E470" s="186"/>
      <c r="F470" s="187"/>
    </row>
    <row r="471" spans="1:6" x14ac:dyDescent="0.2">
      <c r="A471" s="275"/>
      <c r="B471" s="78"/>
      <c r="C471" s="189"/>
      <c r="D471" s="185"/>
      <c r="E471" s="186"/>
      <c r="F471" s="187"/>
    </row>
    <row r="472" spans="1:6" x14ac:dyDescent="0.2">
      <c r="A472" s="275"/>
      <c r="B472" s="78"/>
      <c r="C472" s="189"/>
      <c r="D472" s="185"/>
      <c r="E472" s="186"/>
      <c r="F472" s="187"/>
    </row>
    <row r="473" spans="1:6" x14ac:dyDescent="0.2">
      <c r="A473" s="275"/>
      <c r="B473" s="78"/>
      <c r="C473" s="189"/>
      <c r="D473" s="185"/>
      <c r="E473" s="186"/>
      <c r="F473" s="187"/>
    </row>
    <row r="474" spans="1:6" x14ac:dyDescent="0.2">
      <c r="A474" s="275"/>
      <c r="B474" s="78"/>
      <c r="C474" s="189"/>
      <c r="D474" s="185"/>
      <c r="E474" s="186"/>
      <c r="F474" s="187"/>
    </row>
    <row r="475" spans="1:6" x14ac:dyDescent="0.2">
      <c r="A475" s="275"/>
      <c r="B475" s="78"/>
      <c r="C475" s="189"/>
      <c r="D475" s="185"/>
      <c r="E475" s="186"/>
      <c r="F475" s="187"/>
    </row>
    <row r="476" spans="1:6" x14ac:dyDescent="0.2">
      <c r="A476" s="275"/>
      <c r="B476" s="78"/>
      <c r="C476" s="189"/>
      <c r="D476" s="185"/>
      <c r="E476" s="186"/>
      <c r="F476" s="187"/>
    </row>
    <row r="477" spans="1:6" x14ac:dyDescent="0.2">
      <c r="A477" s="275"/>
      <c r="B477" s="78"/>
      <c r="C477" s="189"/>
      <c r="D477" s="185"/>
      <c r="E477" s="186"/>
      <c r="F477" s="187"/>
    </row>
    <row r="478" spans="1:6" x14ac:dyDescent="0.2">
      <c r="A478" s="275"/>
      <c r="B478" s="78"/>
      <c r="C478" s="189"/>
      <c r="D478" s="185"/>
      <c r="E478" s="186"/>
      <c r="F478" s="187"/>
    </row>
    <row r="479" spans="1:6" x14ac:dyDescent="0.2">
      <c r="A479" s="275"/>
      <c r="B479" s="78"/>
      <c r="C479" s="189"/>
      <c r="D479" s="185"/>
      <c r="E479" s="186"/>
      <c r="F479" s="187"/>
    </row>
    <row r="480" spans="1:6" x14ac:dyDescent="0.2">
      <c r="A480" s="275"/>
      <c r="B480" s="78"/>
      <c r="C480" s="189"/>
      <c r="D480" s="185"/>
      <c r="E480" s="186"/>
      <c r="F480" s="187"/>
    </row>
    <row r="481" spans="1:6" x14ac:dyDescent="0.2">
      <c r="A481" s="275"/>
      <c r="B481" s="78"/>
      <c r="C481" s="189"/>
      <c r="D481" s="185"/>
      <c r="E481" s="186"/>
      <c r="F481" s="187"/>
    </row>
    <row r="482" spans="1:6" x14ac:dyDescent="0.2">
      <c r="A482" s="275"/>
      <c r="B482" s="78"/>
      <c r="C482" s="189"/>
      <c r="D482" s="185"/>
      <c r="E482" s="186"/>
      <c r="F482" s="187"/>
    </row>
    <row r="483" spans="1:6" x14ac:dyDescent="0.2">
      <c r="A483" s="275"/>
      <c r="B483" s="78"/>
      <c r="C483" s="189"/>
      <c r="D483" s="185"/>
      <c r="E483" s="186"/>
      <c r="F483" s="187"/>
    </row>
    <row r="484" spans="1:6" x14ac:dyDescent="0.2">
      <c r="A484" s="275"/>
      <c r="B484" s="78"/>
      <c r="C484" s="189"/>
      <c r="D484" s="185"/>
      <c r="E484" s="186"/>
      <c r="F484" s="187"/>
    </row>
    <row r="485" spans="1:6" x14ac:dyDescent="0.2">
      <c r="A485" s="275"/>
      <c r="B485" s="78"/>
      <c r="C485" s="189"/>
      <c r="D485" s="185"/>
      <c r="E485" s="186"/>
      <c r="F485" s="187"/>
    </row>
    <row r="486" spans="1:6" x14ac:dyDescent="0.2">
      <c r="A486" s="275"/>
      <c r="B486" s="78"/>
      <c r="C486" s="189"/>
      <c r="D486" s="185"/>
      <c r="E486" s="186"/>
      <c r="F486" s="187"/>
    </row>
    <row r="487" spans="1:6" x14ac:dyDescent="0.2">
      <c r="A487" s="275"/>
      <c r="B487" s="78"/>
      <c r="C487" s="189"/>
      <c r="D487" s="185"/>
      <c r="E487" s="186"/>
      <c r="F487" s="187"/>
    </row>
    <row r="488" spans="1:6" x14ac:dyDescent="0.2">
      <c r="A488" s="275"/>
      <c r="B488" s="78"/>
      <c r="C488" s="189"/>
      <c r="D488" s="185"/>
      <c r="E488" s="186"/>
      <c r="F488" s="187"/>
    </row>
    <row r="489" spans="1:6" x14ac:dyDescent="0.2">
      <c r="A489" s="275"/>
      <c r="B489" s="78"/>
      <c r="C489" s="189"/>
      <c r="D489" s="185"/>
      <c r="E489" s="186"/>
      <c r="F489" s="187"/>
    </row>
    <row r="490" spans="1:6" x14ac:dyDescent="0.2">
      <c r="A490" s="275"/>
      <c r="B490" s="78"/>
      <c r="C490" s="189"/>
      <c r="D490" s="185"/>
      <c r="E490" s="186"/>
      <c r="F490" s="187"/>
    </row>
    <row r="491" spans="1:6" x14ac:dyDescent="0.2">
      <c r="A491" s="275"/>
      <c r="B491" s="78"/>
      <c r="C491" s="189"/>
      <c r="D491" s="185"/>
      <c r="E491" s="186"/>
      <c r="F491" s="187"/>
    </row>
    <row r="492" spans="1:6" x14ac:dyDescent="0.2">
      <c r="A492" s="275"/>
      <c r="B492" s="78"/>
      <c r="C492" s="189"/>
      <c r="D492" s="185"/>
      <c r="E492" s="186"/>
      <c r="F492" s="187"/>
    </row>
    <row r="493" spans="1:6" x14ac:dyDescent="0.2">
      <c r="A493" s="275"/>
      <c r="B493" s="78"/>
      <c r="C493" s="189"/>
      <c r="D493" s="185"/>
      <c r="E493" s="186"/>
      <c r="F493" s="187"/>
    </row>
    <row r="494" spans="1:6" x14ac:dyDescent="0.2">
      <c r="A494" s="275"/>
      <c r="B494" s="78"/>
      <c r="C494" s="189"/>
      <c r="D494" s="185"/>
      <c r="E494" s="186"/>
      <c r="F494" s="187"/>
    </row>
    <row r="495" spans="1:6" x14ac:dyDescent="0.2">
      <c r="A495" s="275"/>
      <c r="B495" s="78"/>
      <c r="C495" s="189"/>
      <c r="D495" s="185"/>
      <c r="E495" s="186"/>
      <c r="F495" s="187"/>
    </row>
    <row r="496" spans="1:6" x14ac:dyDescent="0.2">
      <c r="A496" s="275"/>
      <c r="B496" s="78"/>
      <c r="C496" s="189"/>
      <c r="D496" s="185"/>
      <c r="E496" s="186"/>
      <c r="F496" s="187"/>
    </row>
    <row r="497" spans="1:6" x14ac:dyDescent="0.2">
      <c r="A497" s="275"/>
      <c r="B497" s="78"/>
      <c r="C497" s="189"/>
      <c r="D497" s="185"/>
      <c r="E497" s="186"/>
      <c r="F497" s="187"/>
    </row>
    <row r="498" spans="1:6" x14ac:dyDescent="0.2">
      <c r="A498" s="275"/>
      <c r="B498" s="78"/>
      <c r="C498" s="189"/>
      <c r="D498" s="185"/>
      <c r="E498" s="186"/>
      <c r="F498" s="187"/>
    </row>
    <row r="499" spans="1:6" x14ac:dyDescent="0.2">
      <c r="A499" s="275"/>
      <c r="B499" s="78"/>
      <c r="C499" s="189"/>
      <c r="D499" s="185"/>
      <c r="E499" s="186"/>
      <c r="F499" s="187"/>
    </row>
    <row r="500" spans="1:6" x14ac:dyDescent="0.2">
      <c r="A500" s="275"/>
      <c r="B500" s="78"/>
      <c r="C500" s="189"/>
      <c r="D500" s="185"/>
      <c r="E500" s="186"/>
      <c r="F500" s="187"/>
    </row>
    <row r="501" spans="1:6" x14ac:dyDescent="0.2">
      <c r="A501" s="275"/>
      <c r="B501" s="78"/>
      <c r="C501" s="189"/>
      <c r="D501" s="185"/>
      <c r="E501" s="186"/>
      <c r="F501" s="187"/>
    </row>
    <row r="502" spans="1:6" x14ac:dyDescent="0.2">
      <c r="A502" s="275"/>
      <c r="B502" s="78"/>
      <c r="C502" s="189"/>
      <c r="D502" s="185"/>
      <c r="E502" s="186"/>
      <c r="F502" s="187"/>
    </row>
    <row r="503" spans="1:6" x14ac:dyDescent="0.2">
      <c r="A503" s="275"/>
      <c r="B503" s="78"/>
      <c r="C503" s="189"/>
      <c r="D503" s="185"/>
      <c r="E503" s="186"/>
      <c r="F503" s="187"/>
    </row>
    <row r="504" spans="1:6" x14ac:dyDescent="0.2">
      <c r="A504" s="275"/>
      <c r="B504" s="78"/>
      <c r="C504" s="189"/>
      <c r="D504" s="185"/>
      <c r="E504" s="186"/>
      <c r="F504" s="187"/>
    </row>
    <row r="505" spans="1:6" x14ac:dyDescent="0.2">
      <c r="A505" s="275"/>
      <c r="B505" s="78"/>
      <c r="C505" s="189"/>
      <c r="D505" s="185"/>
      <c r="E505" s="186"/>
      <c r="F505" s="187"/>
    </row>
    <row r="506" spans="1:6" x14ac:dyDescent="0.2">
      <c r="A506" s="275"/>
      <c r="B506" s="78"/>
      <c r="C506" s="189"/>
      <c r="D506" s="185"/>
      <c r="E506" s="186"/>
      <c r="F506" s="187"/>
    </row>
    <row r="507" spans="1:6" x14ac:dyDescent="0.2">
      <c r="A507" s="275"/>
      <c r="B507" s="78"/>
      <c r="C507" s="189"/>
      <c r="D507" s="185"/>
      <c r="E507" s="186"/>
      <c r="F507" s="187"/>
    </row>
    <row r="508" spans="1:6" x14ac:dyDescent="0.2">
      <c r="A508" s="275"/>
      <c r="B508" s="78"/>
      <c r="C508" s="189"/>
      <c r="D508" s="185"/>
      <c r="E508" s="186"/>
      <c r="F508" s="187"/>
    </row>
    <row r="509" spans="1:6" x14ac:dyDescent="0.2">
      <c r="A509" s="275"/>
      <c r="B509" s="78"/>
      <c r="C509" s="189"/>
      <c r="D509" s="185"/>
      <c r="E509" s="186"/>
      <c r="F509" s="187"/>
    </row>
    <row r="510" spans="1:6" x14ac:dyDescent="0.2">
      <c r="A510" s="275"/>
      <c r="B510" s="78"/>
      <c r="C510" s="189"/>
      <c r="D510" s="185"/>
      <c r="E510" s="186"/>
      <c r="F510" s="187"/>
    </row>
    <row r="511" spans="1:6" x14ac:dyDescent="0.2">
      <c r="A511" s="275"/>
      <c r="B511" s="78"/>
      <c r="C511" s="189"/>
      <c r="D511" s="185"/>
      <c r="E511" s="186"/>
      <c r="F511" s="187"/>
    </row>
    <row r="512" spans="1:6" x14ac:dyDescent="0.2">
      <c r="A512" s="275"/>
      <c r="B512" s="78"/>
      <c r="C512" s="189"/>
      <c r="D512" s="185"/>
      <c r="E512" s="186"/>
      <c r="F512" s="187"/>
    </row>
    <row r="513" spans="1:6" x14ac:dyDescent="0.2">
      <c r="A513" s="275"/>
      <c r="B513" s="78"/>
      <c r="C513" s="189"/>
      <c r="D513" s="185"/>
      <c r="E513" s="186"/>
      <c r="F513" s="187"/>
    </row>
    <row r="514" spans="1:6" x14ac:dyDescent="0.2">
      <c r="A514" s="275"/>
      <c r="B514" s="78"/>
      <c r="C514" s="189"/>
      <c r="D514" s="185"/>
      <c r="E514" s="186"/>
      <c r="F514" s="187"/>
    </row>
    <row r="515" spans="1:6" x14ac:dyDescent="0.2">
      <c r="A515" s="275"/>
      <c r="B515" s="78"/>
      <c r="C515" s="189"/>
      <c r="D515" s="185"/>
      <c r="E515" s="186"/>
      <c r="F515" s="187"/>
    </row>
    <row r="516" spans="1:6" x14ac:dyDescent="0.2">
      <c r="A516" s="275"/>
      <c r="B516" s="78"/>
      <c r="C516" s="189"/>
      <c r="D516" s="185"/>
      <c r="E516" s="186"/>
      <c r="F516" s="187"/>
    </row>
    <row r="517" spans="1:6" x14ac:dyDescent="0.2">
      <c r="A517" s="275"/>
      <c r="B517" s="78"/>
      <c r="C517" s="189"/>
      <c r="D517" s="185"/>
      <c r="E517" s="186"/>
      <c r="F517" s="187"/>
    </row>
    <row r="518" spans="1:6" x14ac:dyDescent="0.2">
      <c r="A518" s="275"/>
      <c r="B518" s="78"/>
      <c r="C518" s="189"/>
      <c r="D518" s="185"/>
      <c r="E518" s="186"/>
      <c r="F518" s="187"/>
    </row>
    <row r="519" spans="1:6" x14ac:dyDescent="0.2">
      <c r="A519" s="275"/>
      <c r="B519" s="78"/>
      <c r="C519" s="189"/>
      <c r="D519" s="185"/>
      <c r="E519" s="186"/>
      <c r="F519" s="187"/>
    </row>
    <row r="520" spans="1:6" x14ac:dyDescent="0.2">
      <c r="A520" s="275"/>
      <c r="B520" s="78"/>
      <c r="C520" s="189"/>
      <c r="D520" s="185"/>
      <c r="E520" s="186"/>
      <c r="F520" s="187"/>
    </row>
    <row r="521" spans="1:6" x14ac:dyDescent="0.2">
      <c r="A521" s="275"/>
      <c r="B521" s="78"/>
      <c r="C521" s="189"/>
      <c r="D521" s="185"/>
      <c r="E521" s="186"/>
      <c r="F521" s="187"/>
    </row>
    <row r="522" spans="1:6" x14ac:dyDescent="0.2">
      <c r="A522" s="275"/>
      <c r="B522" s="78"/>
      <c r="C522" s="189"/>
      <c r="D522" s="185"/>
      <c r="E522" s="186"/>
      <c r="F522" s="187"/>
    </row>
    <row r="523" spans="1:6" x14ac:dyDescent="0.2">
      <c r="A523" s="275"/>
      <c r="B523" s="78"/>
      <c r="C523" s="189"/>
      <c r="D523" s="185"/>
      <c r="E523" s="186"/>
      <c r="F523" s="187"/>
    </row>
    <row r="524" spans="1:6" x14ac:dyDescent="0.2">
      <c r="A524" s="275"/>
      <c r="B524" s="78"/>
      <c r="C524" s="189"/>
      <c r="D524" s="185"/>
      <c r="E524" s="186"/>
      <c r="F524" s="187"/>
    </row>
    <row r="525" spans="1:6" x14ac:dyDescent="0.2">
      <c r="A525" s="275"/>
      <c r="B525" s="78"/>
      <c r="C525" s="189"/>
      <c r="D525" s="185"/>
      <c r="E525" s="186"/>
      <c r="F525" s="187"/>
    </row>
    <row r="526" spans="1:6" x14ac:dyDescent="0.2">
      <c r="A526" s="275"/>
      <c r="B526" s="78"/>
      <c r="C526" s="189"/>
      <c r="D526" s="185"/>
      <c r="E526" s="186"/>
      <c r="F526" s="187"/>
    </row>
    <row r="527" spans="1:6" x14ac:dyDescent="0.2">
      <c r="A527" s="275"/>
      <c r="B527" s="78"/>
      <c r="C527" s="189"/>
      <c r="D527" s="185"/>
      <c r="E527" s="186"/>
      <c r="F527" s="187"/>
    </row>
    <row r="528" spans="1:6" x14ac:dyDescent="0.2">
      <c r="A528" s="275"/>
      <c r="B528" s="78"/>
      <c r="C528" s="189"/>
      <c r="D528" s="185"/>
      <c r="E528" s="186"/>
      <c r="F528" s="187"/>
    </row>
    <row r="529" spans="1:6" x14ac:dyDescent="0.2">
      <c r="A529" s="275"/>
      <c r="B529" s="78"/>
      <c r="C529" s="189"/>
      <c r="D529" s="185"/>
      <c r="E529" s="186"/>
      <c r="F529" s="187"/>
    </row>
    <row r="530" spans="1:6" x14ac:dyDescent="0.2">
      <c r="A530" s="275"/>
      <c r="B530" s="78"/>
      <c r="C530" s="189"/>
      <c r="D530" s="185"/>
      <c r="E530" s="186"/>
      <c r="F530" s="187"/>
    </row>
    <row r="531" spans="1:6" x14ac:dyDescent="0.2">
      <c r="A531" s="275"/>
      <c r="B531" s="78"/>
      <c r="C531" s="189"/>
      <c r="D531" s="185"/>
      <c r="E531" s="186"/>
      <c r="F531" s="187"/>
    </row>
    <row r="532" spans="1:6" x14ac:dyDescent="0.2">
      <c r="A532" s="275"/>
      <c r="B532" s="78"/>
      <c r="C532" s="189"/>
      <c r="D532" s="185"/>
      <c r="E532" s="186"/>
      <c r="F532" s="187"/>
    </row>
    <row r="533" spans="1:6" x14ac:dyDescent="0.2">
      <c r="A533" s="275"/>
      <c r="B533" s="78"/>
      <c r="C533" s="189"/>
      <c r="D533" s="185"/>
      <c r="E533" s="186"/>
      <c r="F533" s="187"/>
    </row>
    <row r="534" spans="1:6" x14ac:dyDescent="0.2">
      <c r="A534" s="275"/>
      <c r="B534" s="78"/>
      <c r="C534" s="189"/>
      <c r="D534" s="185"/>
      <c r="E534" s="186"/>
      <c r="F534" s="187"/>
    </row>
    <row r="535" spans="1:6" x14ac:dyDescent="0.2">
      <c r="A535" s="275"/>
      <c r="B535" s="78"/>
      <c r="C535" s="189"/>
      <c r="D535" s="185"/>
      <c r="E535" s="186"/>
      <c r="F535" s="187"/>
    </row>
    <row r="536" spans="1:6" x14ac:dyDescent="0.2">
      <c r="A536" s="275"/>
      <c r="B536" s="78"/>
      <c r="C536" s="189"/>
      <c r="D536" s="185"/>
      <c r="E536" s="186"/>
      <c r="F536" s="187"/>
    </row>
    <row r="537" spans="1:6" x14ac:dyDescent="0.2">
      <c r="A537" s="275"/>
      <c r="B537" s="78"/>
      <c r="C537" s="189"/>
      <c r="D537" s="185"/>
      <c r="E537" s="186"/>
      <c r="F537" s="187"/>
    </row>
    <row r="538" spans="1:6" x14ac:dyDescent="0.2">
      <c r="A538" s="275"/>
      <c r="B538" s="78"/>
      <c r="C538" s="189"/>
      <c r="D538" s="185"/>
      <c r="E538" s="186"/>
      <c r="F538" s="187"/>
    </row>
    <row r="539" spans="1:6" x14ac:dyDescent="0.2">
      <c r="A539" s="275"/>
      <c r="B539" s="78"/>
      <c r="C539" s="189"/>
      <c r="D539" s="185"/>
      <c r="E539" s="186"/>
      <c r="F539" s="187"/>
    </row>
    <row r="540" spans="1:6" x14ac:dyDescent="0.2">
      <c r="A540" s="275"/>
      <c r="B540" s="78"/>
      <c r="C540" s="189"/>
      <c r="D540" s="185"/>
      <c r="E540" s="186"/>
      <c r="F540" s="187"/>
    </row>
    <row r="541" spans="1:6" x14ac:dyDescent="0.2">
      <c r="A541" s="275"/>
      <c r="B541" s="78"/>
      <c r="C541" s="189"/>
      <c r="D541" s="185"/>
      <c r="E541" s="186"/>
      <c r="F541" s="187"/>
    </row>
    <row r="542" spans="1:6" x14ac:dyDescent="0.2">
      <c r="A542" s="275"/>
      <c r="B542" s="78"/>
      <c r="C542" s="189"/>
      <c r="D542" s="185"/>
      <c r="E542" s="186"/>
      <c r="F542" s="187"/>
    </row>
    <row r="543" spans="1:6" x14ac:dyDescent="0.2">
      <c r="A543" s="275"/>
      <c r="B543" s="78"/>
      <c r="C543" s="189"/>
      <c r="D543" s="185"/>
      <c r="E543" s="186"/>
      <c r="F543" s="187"/>
    </row>
    <row r="544" spans="1:6" x14ac:dyDescent="0.2">
      <c r="A544" s="275"/>
      <c r="B544" s="78"/>
      <c r="C544" s="189"/>
      <c r="D544" s="185"/>
      <c r="E544" s="186"/>
      <c r="F544" s="187"/>
    </row>
    <row r="545" spans="1:6" x14ac:dyDescent="0.2">
      <c r="A545" s="275"/>
      <c r="B545" s="78"/>
      <c r="C545" s="189"/>
      <c r="D545" s="185"/>
      <c r="E545" s="186"/>
      <c r="F545" s="187"/>
    </row>
    <row r="546" spans="1:6" x14ac:dyDescent="0.2">
      <c r="A546" s="275"/>
      <c r="B546" s="78"/>
      <c r="C546" s="189"/>
      <c r="D546" s="185"/>
      <c r="E546" s="186"/>
      <c r="F546" s="187"/>
    </row>
    <row r="547" spans="1:6" x14ac:dyDescent="0.2">
      <c r="A547" s="275"/>
      <c r="B547" s="78"/>
      <c r="C547" s="189"/>
      <c r="D547" s="185"/>
      <c r="E547" s="186"/>
      <c r="F547" s="187"/>
    </row>
    <row r="548" spans="1:6" x14ac:dyDescent="0.2">
      <c r="A548" s="275"/>
      <c r="B548" s="78"/>
      <c r="C548" s="189"/>
      <c r="D548" s="185"/>
      <c r="E548" s="186"/>
      <c r="F548" s="187"/>
    </row>
    <row r="549" spans="1:6" x14ac:dyDescent="0.2">
      <c r="A549" s="275"/>
      <c r="B549" s="78"/>
      <c r="C549" s="189"/>
      <c r="D549" s="185"/>
      <c r="E549" s="186"/>
      <c r="F549" s="187"/>
    </row>
    <row r="550" spans="1:6" x14ac:dyDescent="0.2">
      <c r="A550" s="275"/>
      <c r="B550" s="78"/>
      <c r="C550" s="189"/>
      <c r="D550" s="185"/>
      <c r="E550" s="186"/>
      <c r="F550" s="187"/>
    </row>
    <row r="551" spans="1:6" x14ac:dyDescent="0.2">
      <c r="A551" s="275"/>
      <c r="B551" s="78"/>
      <c r="C551" s="189"/>
      <c r="D551" s="185"/>
      <c r="E551" s="186"/>
      <c r="F551" s="187"/>
    </row>
    <row r="552" spans="1:6" x14ac:dyDescent="0.2">
      <c r="A552" s="275"/>
      <c r="B552" s="78"/>
      <c r="C552" s="189"/>
      <c r="D552" s="185"/>
      <c r="E552" s="186"/>
      <c r="F552" s="187"/>
    </row>
    <row r="553" spans="1:6" x14ac:dyDescent="0.2">
      <c r="A553" s="275"/>
      <c r="B553" s="78"/>
      <c r="C553" s="189"/>
      <c r="D553" s="185"/>
      <c r="E553" s="186"/>
      <c r="F553" s="187"/>
    </row>
    <row r="554" spans="1:6" x14ac:dyDescent="0.2">
      <c r="A554" s="275"/>
      <c r="B554" s="78"/>
      <c r="C554" s="189"/>
      <c r="D554" s="185"/>
      <c r="E554" s="186"/>
      <c r="F554" s="187"/>
    </row>
    <row r="555" spans="1:6" x14ac:dyDescent="0.2">
      <c r="A555" s="275"/>
      <c r="B555" s="78"/>
      <c r="C555" s="189"/>
      <c r="D555" s="185"/>
      <c r="E555" s="186"/>
      <c r="F555" s="187"/>
    </row>
    <row r="556" spans="1:6" x14ac:dyDescent="0.2">
      <c r="A556" s="275"/>
      <c r="B556" s="78"/>
      <c r="C556" s="189"/>
      <c r="D556" s="185"/>
      <c r="E556" s="186"/>
      <c r="F556" s="187"/>
    </row>
    <row r="557" spans="1:6" x14ac:dyDescent="0.2">
      <c r="A557" s="275"/>
      <c r="B557" s="78"/>
      <c r="C557" s="189"/>
      <c r="D557" s="185"/>
      <c r="E557" s="186"/>
      <c r="F557" s="187"/>
    </row>
    <row r="558" spans="1:6" x14ac:dyDescent="0.2">
      <c r="A558" s="275"/>
      <c r="B558" s="78"/>
      <c r="C558" s="189"/>
      <c r="D558" s="185"/>
      <c r="E558" s="186"/>
      <c r="F558" s="187"/>
    </row>
    <row r="559" spans="1:6" x14ac:dyDescent="0.2">
      <c r="A559" s="275"/>
      <c r="B559" s="78"/>
      <c r="C559" s="189"/>
      <c r="D559" s="185"/>
      <c r="E559" s="186"/>
      <c r="F559" s="187"/>
    </row>
    <row r="560" spans="1:6" x14ac:dyDescent="0.2">
      <c r="A560" s="275"/>
      <c r="B560" s="78"/>
      <c r="C560" s="189"/>
      <c r="D560" s="185"/>
      <c r="E560" s="186"/>
      <c r="F560" s="187"/>
    </row>
    <row r="561" spans="1:6" x14ac:dyDescent="0.2">
      <c r="A561" s="275"/>
      <c r="B561" s="78"/>
      <c r="C561" s="189"/>
      <c r="D561" s="185"/>
      <c r="E561" s="186"/>
      <c r="F561" s="187"/>
    </row>
    <row r="562" spans="1:6" x14ac:dyDescent="0.2">
      <c r="A562" s="275"/>
      <c r="B562" s="78"/>
      <c r="C562" s="189"/>
      <c r="D562" s="185"/>
      <c r="E562" s="186"/>
      <c r="F562" s="187"/>
    </row>
    <row r="563" spans="1:6" x14ac:dyDescent="0.2">
      <c r="A563" s="275"/>
      <c r="B563" s="78"/>
      <c r="C563" s="189"/>
      <c r="D563" s="185"/>
      <c r="E563" s="186"/>
      <c r="F563" s="187"/>
    </row>
    <row r="564" spans="1:6" x14ac:dyDescent="0.2">
      <c r="A564" s="275"/>
      <c r="B564" s="78"/>
      <c r="C564" s="189"/>
      <c r="D564" s="185"/>
      <c r="E564" s="186"/>
      <c r="F564" s="187"/>
    </row>
    <row r="565" spans="1:6" x14ac:dyDescent="0.2">
      <c r="A565" s="275"/>
      <c r="B565" s="78"/>
      <c r="C565" s="189"/>
      <c r="D565" s="185"/>
      <c r="E565" s="186"/>
      <c r="F565" s="187"/>
    </row>
    <row r="566" spans="1:6" x14ac:dyDescent="0.2">
      <c r="A566" s="275"/>
      <c r="B566" s="78"/>
      <c r="C566" s="189"/>
      <c r="D566" s="185"/>
      <c r="E566" s="186"/>
      <c r="F566" s="187"/>
    </row>
    <row r="567" spans="1:6" x14ac:dyDescent="0.2">
      <c r="A567" s="275"/>
      <c r="B567" s="78"/>
      <c r="C567" s="189"/>
      <c r="D567" s="185"/>
      <c r="E567" s="186"/>
      <c r="F567" s="187"/>
    </row>
    <row r="568" spans="1:6" x14ac:dyDescent="0.2">
      <c r="A568" s="275"/>
      <c r="B568" s="78"/>
      <c r="C568" s="189"/>
      <c r="D568" s="185"/>
      <c r="E568" s="186"/>
      <c r="F568" s="187"/>
    </row>
    <row r="569" spans="1:6" x14ac:dyDescent="0.2">
      <c r="A569" s="275"/>
      <c r="B569" s="78"/>
      <c r="C569" s="189"/>
      <c r="D569" s="185"/>
      <c r="E569" s="186"/>
      <c r="F569" s="187"/>
    </row>
    <row r="570" spans="1:6" x14ac:dyDescent="0.2">
      <c r="A570" s="275"/>
      <c r="B570" s="78"/>
      <c r="C570" s="189"/>
      <c r="D570" s="185"/>
      <c r="E570" s="186"/>
      <c r="F570" s="187"/>
    </row>
    <row r="571" spans="1:6" x14ac:dyDescent="0.2">
      <c r="A571" s="275"/>
      <c r="B571" s="78"/>
      <c r="C571" s="189"/>
      <c r="D571" s="185"/>
      <c r="E571" s="186"/>
      <c r="F571" s="187"/>
    </row>
    <row r="572" spans="1:6" x14ac:dyDescent="0.2">
      <c r="A572" s="275"/>
      <c r="B572" s="78"/>
      <c r="C572" s="189"/>
      <c r="D572" s="185"/>
      <c r="E572" s="186"/>
      <c r="F572" s="187"/>
    </row>
    <row r="573" spans="1:6" x14ac:dyDescent="0.2">
      <c r="A573" s="275"/>
      <c r="B573" s="78"/>
      <c r="C573" s="189"/>
      <c r="D573" s="185"/>
      <c r="E573" s="186"/>
      <c r="F573" s="187"/>
    </row>
    <row r="574" spans="1:6" x14ac:dyDescent="0.2">
      <c r="A574" s="275"/>
      <c r="B574" s="78"/>
      <c r="C574" s="189"/>
      <c r="D574" s="185"/>
      <c r="E574" s="186"/>
      <c r="F574" s="187"/>
    </row>
    <row r="575" spans="1:6" x14ac:dyDescent="0.2">
      <c r="A575" s="275"/>
      <c r="B575" s="78"/>
      <c r="C575" s="189"/>
      <c r="D575" s="185"/>
      <c r="E575" s="186"/>
      <c r="F575" s="187"/>
    </row>
    <row r="576" spans="1:6" x14ac:dyDescent="0.2">
      <c r="A576" s="275"/>
      <c r="B576" s="78"/>
      <c r="C576" s="189"/>
      <c r="D576" s="185"/>
      <c r="E576" s="186"/>
      <c r="F576" s="187"/>
    </row>
    <row r="577" spans="1:6" x14ac:dyDescent="0.2">
      <c r="A577" s="275"/>
      <c r="B577" s="78"/>
      <c r="C577" s="189"/>
      <c r="D577" s="185"/>
      <c r="E577" s="186"/>
      <c r="F577" s="187"/>
    </row>
    <row r="578" spans="1:6" x14ac:dyDescent="0.2">
      <c r="A578" s="275"/>
      <c r="B578" s="78"/>
      <c r="C578" s="189"/>
      <c r="D578" s="185"/>
      <c r="E578" s="186"/>
      <c r="F578" s="187"/>
    </row>
    <row r="579" spans="1:6" x14ac:dyDescent="0.2">
      <c r="A579" s="275"/>
      <c r="B579" s="78"/>
      <c r="C579" s="189"/>
      <c r="D579" s="185"/>
      <c r="E579" s="186"/>
      <c r="F579" s="187"/>
    </row>
    <row r="580" spans="1:6" x14ac:dyDescent="0.2">
      <c r="A580" s="275"/>
      <c r="B580" s="78"/>
      <c r="C580" s="189"/>
      <c r="D580" s="185"/>
      <c r="E580" s="186"/>
      <c r="F580" s="187"/>
    </row>
    <row r="581" spans="1:6" x14ac:dyDescent="0.2">
      <c r="A581" s="275"/>
      <c r="B581" s="78"/>
      <c r="C581" s="189"/>
      <c r="D581" s="185"/>
      <c r="E581" s="186"/>
      <c r="F581" s="187"/>
    </row>
    <row r="582" spans="1:6" x14ac:dyDescent="0.2">
      <c r="A582" s="275"/>
      <c r="B582" s="78"/>
      <c r="C582" s="189"/>
      <c r="D582" s="185"/>
      <c r="E582" s="186"/>
      <c r="F582" s="187"/>
    </row>
    <row r="583" spans="1:6" x14ac:dyDescent="0.2">
      <c r="A583" s="275"/>
      <c r="B583" s="78"/>
      <c r="C583" s="189"/>
      <c r="D583" s="185"/>
      <c r="E583" s="186"/>
      <c r="F583" s="187"/>
    </row>
    <row r="584" spans="1:6" x14ac:dyDescent="0.2">
      <c r="A584" s="275"/>
      <c r="B584" s="78"/>
      <c r="C584" s="189"/>
      <c r="D584" s="185"/>
      <c r="E584" s="186"/>
      <c r="F584" s="187"/>
    </row>
    <row r="585" spans="1:6" x14ac:dyDescent="0.2">
      <c r="A585" s="275"/>
      <c r="B585" s="78"/>
      <c r="C585" s="189"/>
      <c r="D585" s="185"/>
      <c r="E585" s="186"/>
      <c r="F585" s="187"/>
    </row>
    <row r="586" spans="1:6" x14ac:dyDescent="0.2">
      <c r="A586" s="275"/>
      <c r="B586" s="78"/>
      <c r="C586" s="189"/>
      <c r="D586" s="185"/>
      <c r="E586" s="186"/>
      <c r="F586" s="187"/>
    </row>
    <row r="587" spans="1:6" x14ac:dyDescent="0.2">
      <c r="A587" s="275"/>
      <c r="B587" s="78"/>
      <c r="C587" s="189"/>
      <c r="D587" s="185"/>
      <c r="E587" s="186"/>
      <c r="F587" s="187"/>
    </row>
    <row r="588" spans="1:6" x14ac:dyDescent="0.2">
      <c r="A588" s="275"/>
      <c r="B588" s="78"/>
      <c r="C588" s="189"/>
      <c r="D588" s="185"/>
      <c r="E588" s="186"/>
      <c r="F588" s="187"/>
    </row>
    <row r="589" spans="1:6" x14ac:dyDescent="0.2">
      <c r="A589" s="275"/>
      <c r="B589" s="78"/>
      <c r="C589" s="189"/>
      <c r="D589" s="185"/>
      <c r="E589" s="186"/>
      <c r="F589" s="187"/>
    </row>
    <row r="590" spans="1:6" x14ac:dyDescent="0.2">
      <c r="A590" s="275"/>
      <c r="B590" s="78"/>
      <c r="C590" s="189"/>
      <c r="D590" s="185"/>
      <c r="E590" s="186"/>
      <c r="F590" s="187"/>
    </row>
    <row r="591" spans="1:6" x14ac:dyDescent="0.2">
      <c r="A591" s="275"/>
      <c r="B591" s="78"/>
      <c r="C591" s="189"/>
      <c r="D591" s="185"/>
      <c r="E591" s="186"/>
      <c r="F591" s="187"/>
    </row>
    <row r="592" spans="1:6" x14ac:dyDescent="0.2">
      <c r="A592" s="275"/>
      <c r="B592" s="78"/>
      <c r="C592" s="189"/>
      <c r="D592" s="185"/>
      <c r="E592" s="186"/>
      <c r="F592" s="187"/>
    </row>
    <row r="593" spans="1:6" x14ac:dyDescent="0.2">
      <c r="A593" s="275"/>
      <c r="B593" s="78"/>
      <c r="C593" s="189"/>
      <c r="D593" s="185"/>
      <c r="E593" s="186"/>
      <c r="F593" s="187"/>
    </row>
    <row r="594" spans="1:6" x14ac:dyDescent="0.2">
      <c r="A594" s="275"/>
      <c r="B594" s="78"/>
      <c r="C594" s="189"/>
      <c r="D594" s="185"/>
      <c r="E594" s="186"/>
      <c r="F594" s="187"/>
    </row>
    <row r="595" spans="1:6" x14ac:dyDescent="0.2">
      <c r="A595" s="275"/>
      <c r="B595" s="78"/>
      <c r="C595" s="189"/>
      <c r="D595" s="185"/>
      <c r="E595" s="186"/>
      <c r="F595" s="187"/>
    </row>
    <row r="596" spans="1:6" x14ac:dyDescent="0.2">
      <c r="A596" s="275"/>
      <c r="B596" s="78"/>
      <c r="C596" s="189"/>
      <c r="D596" s="185"/>
      <c r="E596" s="186"/>
      <c r="F596" s="187"/>
    </row>
    <row r="597" spans="1:6" x14ac:dyDescent="0.2">
      <c r="A597" s="275"/>
      <c r="B597" s="78"/>
      <c r="C597" s="189"/>
      <c r="D597" s="185"/>
      <c r="E597" s="186"/>
      <c r="F597" s="187"/>
    </row>
    <row r="598" spans="1:6" x14ac:dyDescent="0.2">
      <c r="A598" s="275"/>
      <c r="B598" s="78"/>
      <c r="C598" s="189"/>
      <c r="D598" s="185"/>
      <c r="E598" s="186"/>
      <c r="F598" s="187"/>
    </row>
    <row r="599" spans="1:6" x14ac:dyDescent="0.2">
      <c r="A599" s="275"/>
      <c r="B599" s="78"/>
      <c r="C599" s="189"/>
      <c r="D599" s="185"/>
      <c r="E599" s="186"/>
      <c r="F599" s="187"/>
    </row>
    <row r="600" spans="1:6" x14ac:dyDescent="0.2">
      <c r="A600" s="275"/>
      <c r="B600" s="78"/>
      <c r="C600" s="189"/>
      <c r="D600" s="185"/>
      <c r="E600" s="186"/>
      <c r="F600" s="187"/>
    </row>
    <row r="601" spans="1:6" x14ac:dyDescent="0.2">
      <c r="A601" s="275"/>
      <c r="B601" s="78"/>
      <c r="C601" s="189"/>
      <c r="D601" s="185"/>
      <c r="E601" s="186"/>
      <c r="F601" s="187"/>
    </row>
    <row r="602" spans="1:6" x14ac:dyDescent="0.2">
      <c r="A602" s="275"/>
      <c r="B602" s="78"/>
      <c r="C602" s="189"/>
      <c r="D602" s="185"/>
      <c r="E602" s="186"/>
      <c r="F602" s="187"/>
    </row>
    <row r="603" spans="1:6" x14ac:dyDescent="0.2">
      <c r="A603" s="275"/>
      <c r="B603" s="78"/>
      <c r="C603" s="189"/>
      <c r="D603" s="185"/>
      <c r="E603" s="186"/>
      <c r="F603" s="187"/>
    </row>
    <row r="604" spans="1:6" x14ac:dyDescent="0.2">
      <c r="A604" s="275"/>
      <c r="B604" s="78"/>
      <c r="C604" s="189"/>
      <c r="D604" s="185"/>
      <c r="E604" s="186"/>
      <c r="F604" s="187"/>
    </row>
    <row r="605" spans="1:6" x14ac:dyDescent="0.2">
      <c r="A605" s="275"/>
      <c r="B605" s="78"/>
      <c r="C605" s="189"/>
      <c r="D605" s="185"/>
      <c r="E605" s="186"/>
      <c r="F605" s="187"/>
    </row>
    <row r="606" spans="1:6" x14ac:dyDescent="0.2">
      <c r="A606" s="275"/>
      <c r="B606" s="78"/>
      <c r="C606" s="189"/>
      <c r="D606" s="185"/>
      <c r="E606" s="186"/>
      <c r="F606" s="187"/>
    </row>
    <row r="607" spans="1:6" x14ac:dyDescent="0.2">
      <c r="A607" s="275"/>
      <c r="B607" s="78"/>
      <c r="C607" s="189"/>
      <c r="D607" s="185"/>
      <c r="E607" s="186"/>
      <c r="F607" s="187"/>
    </row>
    <row r="608" spans="1:6" x14ac:dyDescent="0.2">
      <c r="A608" s="275"/>
      <c r="B608" s="78"/>
      <c r="C608" s="189"/>
      <c r="D608" s="185"/>
      <c r="E608" s="186"/>
      <c r="F608" s="187"/>
    </row>
    <row r="609" spans="1:6" x14ac:dyDescent="0.2">
      <c r="A609" s="275"/>
      <c r="B609" s="78"/>
      <c r="C609" s="189"/>
      <c r="D609" s="185"/>
      <c r="E609" s="186"/>
      <c r="F609" s="187"/>
    </row>
    <row r="610" spans="1:6" x14ac:dyDescent="0.2">
      <c r="A610" s="275"/>
      <c r="B610" s="78"/>
      <c r="C610" s="189"/>
      <c r="D610" s="185"/>
      <c r="E610" s="186"/>
      <c r="F610" s="187"/>
    </row>
    <row r="611" spans="1:6" x14ac:dyDescent="0.2">
      <c r="A611" s="275"/>
      <c r="B611" s="78"/>
      <c r="C611" s="189"/>
      <c r="D611" s="185"/>
      <c r="E611" s="186"/>
      <c r="F611" s="187"/>
    </row>
    <row r="612" spans="1:6" x14ac:dyDescent="0.2">
      <c r="A612" s="275"/>
      <c r="B612" s="78"/>
      <c r="C612" s="189"/>
      <c r="D612" s="185"/>
      <c r="E612" s="186"/>
      <c r="F612" s="187"/>
    </row>
    <row r="613" spans="1:6" x14ac:dyDescent="0.2">
      <c r="A613" s="275"/>
      <c r="B613" s="78"/>
      <c r="C613" s="189"/>
      <c r="D613" s="185"/>
      <c r="E613" s="186"/>
      <c r="F613" s="187"/>
    </row>
    <row r="614" spans="1:6" x14ac:dyDescent="0.2">
      <c r="A614" s="275"/>
      <c r="B614" s="78"/>
      <c r="C614" s="189"/>
      <c r="D614" s="185"/>
      <c r="E614" s="186"/>
      <c r="F614" s="187"/>
    </row>
    <row r="615" spans="1:6" x14ac:dyDescent="0.2">
      <c r="A615" s="275"/>
      <c r="B615" s="78"/>
      <c r="C615" s="189"/>
      <c r="D615" s="185"/>
      <c r="E615" s="186"/>
      <c r="F615" s="187"/>
    </row>
    <row r="616" spans="1:6" x14ac:dyDescent="0.2">
      <c r="A616" s="275"/>
      <c r="B616" s="78"/>
      <c r="C616" s="189"/>
      <c r="D616" s="185"/>
      <c r="E616" s="186"/>
      <c r="F616" s="187"/>
    </row>
    <row r="617" spans="1:6" x14ac:dyDescent="0.2">
      <c r="A617" s="275"/>
      <c r="B617" s="78"/>
      <c r="C617" s="189"/>
      <c r="D617" s="185"/>
      <c r="E617" s="186"/>
      <c r="F617" s="187"/>
    </row>
    <row r="618" spans="1:6" x14ac:dyDescent="0.2">
      <c r="A618" s="275"/>
      <c r="B618" s="78"/>
      <c r="C618" s="189"/>
      <c r="D618" s="185"/>
      <c r="E618" s="186"/>
      <c r="F618" s="187"/>
    </row>
    <row r="619" spans="1:6" x14ac:dyDescent="0.2">
      <c r="A619" s="275"/>
      <c r="B619" s="78"/>
      <c r="C619" s="189"/>
      <c r="D619" s="185"/>
      <c r="E619" s="186"/>
      <c r="F619" s="187"/>
    </row>
    <row r="620" spans="1:6" x14ac:dyDescent="0.2">
      <c r="A620" s="275"/>
      <c r="B620" s="78"/>
      <c r="C620" s="189"/>
      <c r="D620" s="185"/>
      <c r="E620" s="186"/>
      <c r="F620" s="187"/>
    </row>
    <row r="621" spans="1:6" x14ac:dyDescent="0.2">
      <c r="A621" s="275"/>
      <c r="B621" s="78"/>
      <c r="C621" s="189"/>
      <c r="D621" s="185"/>
      <c r="E621" s="186"/>
      <c r="F621" s="187"/>
    </row>
    <row r="622" spans="1:6" x14ac:dyDescent="0.2">
      <c r="A622" s="275"/>
      <c r="B622" s="78"/>
      <c r="C622" s="189"/>
      <c r="D622" s="185"/>
      <c r="E622" s="186"/>
      <c r="F622" s="187"/>
    </row>
    <row r="623" spans="1:6" x14ac:dyDescent="0.2">
      <c r="A623" s="275"/>
      <c r="B623" s="78"/>
      <c r="C623" s="189"/>
      <c r="D623" s="185"/>
      <c r="E623" s="186"/>
      <c r="F623" s="187"/>
    </row>
    <row r="624" spans="1:6" x14ac:dyDescent="0.2">
      <c r="A624" s="275"/>
      <c r="B624" s="78"/>
      <c r="C624" s="189"/>
      <c r="D624" s="185"/>
      <c r="E624" s="186"/>
      <c r="F624" s="187"/>
    </row>
    <row r="625" spans="1:6" x14ac:dyDescent="0.2">
      <c r="A625" s="275"/>
      <c r="B625" s="78"/>
      <c r="C625" s="189"/>
      <c r="D625" s="185"/>
      <c r="E625" s="186"/>
      <c r="F625" s="187"/>
    </row>
    <row r="626" spans="1:6" x14ac:dyDescent="0.2">
      <c r="A626" s="275"/>
      <c r="B626" s="78"/>
      <c r="C626" s="189"/>
      <c r="D626" s="185"/>
      <c r="E626" s="186"/>
      <c r="F626" s="187"/>
    </row>
    <row r="627" spans="1:6" x14ac:dyDescent="0.2">
      <c r="A627" s="275"/>
      <c r="B627" s="78"/>
      <c r="C627" s="189"/>
      <c r="D627" s="185"/>
      <c r="E627" s="186"/>
      <c r="F627" s="187"/>
    </row>
    <row r="628" spans="1:6" x14ac:dyDescent="0.2">
      <c r="A628" s="275"/>
      <c r="B628" s="78"/>
      <c r="C628" s="189"/>
      <c r="D628" s="185"/>
      <c r="E628" s="186"/>
      <c r="F628" s="187"/>
    </row>
    <row r="629" spans="1:6" x14ac:dyDescent="0.2">
      <c r="A629" s="275"/>
      <c r="B629" s="78"/>
      <c r="C629" s="189"/>
      <c r="D629" s="185"/>
      <c r="E629" s="186"/>
      <c r="F629" s="187"/>
    </row>
    <row r="630" spans="1:6" x14ac:dyDescent="0.2">
      <c r="A630" s="275"/>
      <c r="B630" s="78"/>
      <c r="C630" s="189"/>
      <c r="D630" s="185"/>
      <c r="E630" s="186"/>
      <c r="F630" s="187"/>
    </row>
    <row r="631" spans="1:6" x14ac:dyDescent="0.2">
      <c r="A631" s="275"/>
      <c r="B631" s="78"/>
      <c r="C631" s="189"/>
      <c r="D631" s="185"/>
      <c r="E631" s="186"/>
      <c r="F631" s="187"/>
    </row>
    <row r="632" spans="1:6" x14ac:dyDescent="0.2">
      <c r="A632" s="275"/>
      <c r="B632" s="78"/>
      <c r="C632" s="189"/>
      <c r="D632" s="185"/>
      <c r="E632" s="186"/>
      <c r="F632" s="187"/>
    </row>
    <row r="633" spans="1:6" x14ac:dyDescent="0.2">
      <c r="A633" s="275"/>
      <c r="B633" s="78"/>
      <c r="C633" s="189"/>
      <c r="D633" s="185"/>
      <c r="E633" s="186"/>
      <c r="F633" s="187"/>
    </row>
    <row r="634" spans="1:6" x14ac:dyDescent="0.2">
      <c r="A634" s="275"/>
      <c r="B634" s="78"/>
      <c r="C634" s="189"/>
      <c r="D634" s="185"/>
      <c r="E634" s="186"/>
      <c r="F634" s="187"/>
    </row>
    <row r="635" spans="1:6" x14ac:dyDescent="0.2">
      <c r="A635" s="275"/>
      <c r="B635" s="78"/>
      <c r="C635" s="189"/>
      <c r="D635" s="185"/>
      <c r="E635" s="186"/>
      <c r="F635" s="187"/>
    </row>
    <row r="636" spans="1:6" x14ac:dyDescent="0.2">
      <c r="A636" s="275"/>
      <c r="B636" s="78"/>
      <c r="C636" s="189"/>
      <c r="D636" s="185"/>
      <c r="E636" s="186"/>
      <c r="F636" s="187"/>
    </row>
    <row r="637" spans="1:6" x14ac:dyDescent="0.2">
      <c r="A637" s="275"/>
      <c r="B637" s="78"/>
      <c r="C637" s="189"/>
      <c r="D637" s="185"/>
      <c r="E637" s="186"/>
      <c r="F637" s="187"/>
    </row>
    <row r="638" spans="1:6" x14ac:dyDescent="0.2">
      <c r="A638" s="275"/>
      <c r="B638" s="78"/>
      <c r="C638" s="189"/>
      <c r="D638" s="185"/>
      <c r="E638" s="186"/>
      <c r="F638" s="187"/>
    </row>
    <row r="639" spans="1:6" x14ac:dyDescent="0.2">
      <c r="A639" s="275"/>
      <c r="B639" s="78"/>
      <c r="C639" s="189"/>
      <c r="D639" s="185"/>
      <c r="E639" s="186"/>
      <c r="F639" s="187"/>
    </row>
    <row r="640" spans="1:6" x14ac:dyDescent="0.2">
      <c r="A640" s="275"/>
      <c r="B640" s="78"/>
      <c r="C640" s="189"/>
      <c r="D640" s="185"/>
      <c r="E640" s="186"/>
      <c r="F640" s="187"/>
    </row>
    <row r="641" spans="1:6" x14ac:dyDescent="0.2">
      <c r="A641" s="275"/>
      <c r="B641" s="78"/>
      <c r="C641" s="189"/>
      <c r="D641" s="185"/>
      <c r="E641" s="186"/>
      <c r="F641" s="187"/>
    </row>
    <row r="642" spans="1:6" x14ac:dyDescent="0.2">
      <c r="A642" s="275"/>
      <c r="B642" s="78"/>
      <c r="C642" s="189"/>
      <c r="D642" s="185"/>
      <c r="E642" s="186"/>
      <c r="F642" s="187"/>
    </row>
    <row r="643" spans="1:6" x14ac:dyDescent="0.2">
      <c r="A643" s="275"/>
      <c r="B643" s="78"/>
      <c r="C643" s="189"/>
      <c r="D643" s="185"/>
      <c r="E643" s="186"/>
      <c r="F643" s="187"/>
    </row>
    <row r="644" spans="1:6" x14ac:dyDescent="0.2">
      <c r="A644" s="275"/>
      <c r="B644" s="78"/>
      <c r="C644" s="189"/>
      <c r="D644" s="185"/>
      <c r="E644" s="186"/>
      <c r="F644" s="187"/>
    </row>
    <row r="645" spans="1:6" x14ac:dyDescent="0.2">
      <c r="A645" s="275"/>
      <c r="B645" s="78"/>
      <c r="C645" s="189"/>
      <c r="D645" s="185"/>
      <c r="E645" s="186"/>
      <c r="F645" s="187"/>
    </row>
    <row r="646" spans="1:6" x14ac:dyDescent="0.2">
      <c r="A646" s="275"/>
      <c r="B646" s="78"/>
      <c r="C646" s="189"/>
      <c r="D646" s="185"/>
      <c r="E646" s="186"/>
      <c r="F646" s="187"/>
    </row>
    <row r="647" spans="1:6" x14ac:dyDescent="0.2">
      <c r="A647" s="275"/>
      <c r="B647" s="78"/>
      <c r="C647" s="189"/>
      <c r="D647" s="185"/>
      <c r="E647" s="186"/>
      <c r="F647" s="187"/>
    </row>
    <row r="648" spans="1:6" x14ac:dyDescent="0.2">
      <c r="A648" s="275"/>
      <c r="B648" s="78"/>
      <c r="C648" s="189"/>
      <c r="D648" s="185"/>
      <c r="E648" s="186"/>
      <c r="F648" s="187"/>
    </row>
    <row r="649" spans="1:6" x14ac:dyDescent="0.2">
      <c r="A649" s="275"/>
      <c r="B649" s="78"/>
      <c r="C649" s="189"/>
      <c r="D649" s="185"/>
      <c r="E649" s="186"/>
      <c r="F649" s="187"/>
    </row>
    <row r="650" spans="1:6" x14ac:dyDescent="0.2">
      <c r="A650" s="275"/>
      <c r="B650" s="78"/>
      <c r="C650" s="189"/>
      <c r="D650" s="185"/>
      <c r="E650" s="186"/>
      <c r="F650" s="187"/>
    </row>
    <row r="651" spans="1:6" x14ac:dyDescent="0.2">
      <c r="A651" s="275"/>
      <c r="B651" s="78"/>
      <c r="C651" s="189"/>
      <c r="D651" s="185"/>
      <c r="E651" s="186"/>
      <c r="F651" s="187"/>
    </row>
    <row r="652" spans="1:6" x14ac:dyDescent="0.2">
      <c r="A652" s="275"/>
      <c r="B652" s="78"/>
      <c r="C652" s="189"/>
      <c r="D652" s="185"/>
      <c r="E652" s="186"/>
      <c r="F652" s="187"/>
    </row>
    <row r="653" spans="1:6" x14ac:dyDescent="0.2">
      <c r="A653" s="275"/>
      <c r="B653" s="78"/>
      <c r="C653" s="189"/>
      <c r="D653" s="185"/>
      <c r="E653" s="186"/>
      <c r="F653" s="187"/>
    </row>
    <row r="654" spans="1:6" x14ac:dyDescent="0.2">
      <c r="A654" s="275"/>
      <c r="B654" s="78"/>
      <c r="C654" s="189"/>
      <c r="D654" s="185"/>
      <c r="E654" s="186"/>
      <c r="F654" s="187"/>
    </row>
    <row r="655" spans="1:6" x14ac:dyDescent="0.2">
      <c r="A655" s="275"/>
      <c r="B655" s="78"/>
      <c r="C655" s="189"/>
      <c r="D655" s="185"/>
      <c r="E655" s="186"/>
      <c r="F655" s="187"/>
    </row>
    <row r="656" spans="1:6" x14ac:dyDescent="0.2">
      <c r="A656" s="275"/>
      <c r="B656" s="78"/>
      <c r="C656" s="189"/>
      <c r="D656" s="185"/>
      <c r="E656" s="186"/>
      <c r="F656" s="187"/>
    </row>
    <row r="657" spans="1:6" x14ac:dyDescent="0.2">
      <c r="A657" s="275"/>
      <c r="B657" s="78"/>
      <c r="C657" s="189"/>
      <c r="D657" s="185"/>
      <c r="E657" s="186"/>
      <c r="F657" s="187"/>
    </row>
    <row r="658" spans="1:6" x14ac:dyDescent="0.2">
      <c r="A658" s="275"/>
      <c r="B658" s="78"/>
      <c r="C658" s="189"/>
      <c r="D658" s="185"/>
      <c r="E658" s="186"/>
      <c r="F658" s="187"/>
    </row>
    <row r="659" spans="1:6" x14ac:dyDescent="0.2">
      <c r="A659" s="275"/>
      <c r="B659" s="78"/>
      <c r="C659" s="189"/>
      <c r="D659" s="185"/>
      <c r="E659" s="186"/>
      <c r="F659" s="187"/>
    </row>
    <row r="660" spans="1:6" x14ac:dyDescent="0.2">
      <c r="A660" s="275"/>
      <c r="B660" s="78"/>
      <c r="C660" s="189"/>
      <c r="D660" s="185"/>
      <c r="E660" s="186"/>
      <c r="F660" s="187"/>
    </row>
    <row r="661" spans="1:6" x14ac:dyDescent="0.2">
      <c r="A661" s="275"/>
      <c r="B661" s="78"/>
      <c r="C661" s="189"/>
      <c r="D661" s="185"/>
      <c r="E661" s="186"/>
      <c r="F661" s="187"/>
    </row>
    <row r="662" spans="1:6" x14ac:dyDescent="0.2">
      <c r="A662" s="275"/>
      <c r="B662" s="78"/>
      <c r="C662" s="189"/>
      <c r="D662" s="185"/>
      <c r="E662" s="186"/>
      <c r="F662" s="187"/>
    </row>
    <row r="663" spans="1:6" x14ac:dyDescent="0.2">
      <c r="A663" s="275"/>
      <c r="B663" s="78"/>
      <c r="C663" s="189"/>
      <c r="D663" s="185"/>
      <c r="E663" s="186"/>
      <c r="F663" s="187"/>
    </row>
    <row r="664" spans="1:6" x14ac:dyDescent="0.2">
      <c r="A664" s="275"/>
      <c r="B664" s="78"/>
      <c r="C664" s="189"/>
      <c r="D664" s="185"/>
      <c r="E664" s="186"/>
      <c r="F664" s="187"/>
    </row>
    <row r="665" spans="1:6" x14ac:dyDescent="0.2">
      <c r="A665" s="275"/>
      <c r="B665" s="78"/>
      <c r="C665" s="189"/>
      <c r="D665" s="185"/>
      <c r="E665" s="186"/>
      <c r="F665" s="187"/>
    </row>
    <row r="666" spans="1:6" x14ac:dyDescent="0.2">
      <c r="A666" s="275"/>
      <c r="B666" s="78"/>
      <c r="C666" s="189"/>
      <c r="D666" s="185"/>
      <c r="E666" s="186"/>
      <c r="F666" s="187"/>
    </row>
    <row r="667" spans="1:6" x14ac:dyDescent="0.2">
      <c r="A667" s="275"/>
      <c r="B667" s="78"/>
      <c r="C667" s="189"/>
      <c r="D667" s="185"/>
      <c r="E667" s="186"/>
      <c r="F667" s="187"/>
    </row>
    <row r="668" spans="1:6" x14ac:dyDescent="0.2">
      <c r="A668" s="275"/>
      <c r="B668" s="78"/>
      <c r="C668" s="189"/>
      <c r="D668" s="185"/>
      <c r="E668" s="186"/>
      <c r="F668" s="187"/>
    </row>
    <row r="669" spans="1:6" x14ac:dyDescent="0.2">
      <c r="A669" s="275"/>
      <c r="B669" s="78"/>
      <c r="C669" s="189"/>
      <c r="D669" s="185"/>
      <c r="E669" s="186"/>
      <c r="F669" s="187"/>
    </row>
    <row r="670" spans="1:6" x14ac:dyDescent="0.2">
      <c r="A670" s="275"/>
      <c r="B670" s="78"/>
      <c r="C670" s="189"/>
      <c r="D670" s="185"/>
      <c r="E670" s="186"/>
      <c r="F670" s="187"/>
    </row>
    <row r="671" spans="1:6" x14ac:dyDescent="0.2">
      <c r="A671" s="275"/>
      <c r="B671" s="78"/>
      <c r="C671" s="189"/>
      <c r="D671" s="185"/>
      <c r="E671" s="186"/>
      <c r="F671" s="187"/>
    </row>
    <row r="672" spans="1:6" x14ac:dyDescent="0.2">
      <c r="A672" s="275"/>
      <c r="B672" s="78"/>
      <c r="C672" s="189"/>
      <c r="D672" s="185"/>
      <c r="E672" s="186"/>
      <c r="F672" s="187"/>
    </row>
    <row r="673" spans="1:6" x14ac:dyDescent="0.2">
      <c r="A673" s="275"/>
      <c r="B673" s="78"/>
      <c r="C673" s="189"/>
      <c r="D673" s="185"/>
      <c r="E673" s="186"/>
      <c r="F673" s="187"/>
    </row>
    <row r="674" spans="1:6" x14ac:dyDescent="0.2">
      <c r="A674" s="275"/>
      <c r="B674" s="78"/>
      <c r="C674" s="189"/>
      <c r="D674" s="185"/>
      <c r="E674" s="186"/>
      <c r="F674" s="187"/>
    </row>
    <row r="675" spans="1:6" x14ac:dyDescent="0.2">
      <c r="A675" s="275"/>
      <c r="B675" s="78"/>
      <c r="C675" s="189"/>
      <c r="D675" s="185"/>
      <c r="E675" s="186"/>
      <c r="F675" s="187"/>
    </row>
    <row r="676" spans="1:6" x14ac:dyDescent="0.2">
      <c r="A676" s="275"/>
      <c r="B676" s="78"/>
      <c r="C676" s="189"/>
      <c r="D676" s="185"/>
      <c r="E676" s="186"/>
      <c r="F676" s="187"/>
    </row>
    <row r="677" spans="1:6" x14ac:dyDescent="0.2">
      <c r="A677" s="275"/>
      <c r="B677" s="78"/>
      <c r="C677" s="189"/>
      <c r="D677" s="185"/>
      <c r="E677" s="186"/>
      <c r="F677" s="187"/>
    </row>
    <row r="678" spans="1:6" x14ac:dyDescent="0.2">
      <c r="A678" s="275"/>
      <c r="B678" s="78"/>
      <c r="C678" s="189"/>
      <c r="D678" s="185"/>
      <c r="E678" s="186"/>
      <c r="F678" s="187"/>
    </row>
    <row r="679" spans="1:6" x14ac:dyDescent="0.2">
      <c r="A679" s="275"/>
      <c r="B679" s="78"/>
      <c r="C679" s="189"/>
      <c r="D679" s="185"/>
      <c r="E679" s="186"/>
      <c r="F679" s="187"/>
    </row>
    <row r="680" spans="1:6" x14ac:dyDescent="0.2">
      <c r="A680" s="275"/>
      <c r="B680" s="78"/>
      <c r="C680" s="189"/>
      <c r="D680" s="185"/>
      <c r="E680" s="186"/>
      <c r="F680" s="187"/>
    </row>
    <row r="681" spans="1:6" x14ac:dyDescent="0.2">
      <c r="A681" s="275"/>
      <c r="B681" s="78"/>
      <c r="C681" s="189"/>
      <c r="D681" s="185"/>
      <c r="E681" s="186"/>
      <c r="F681" s="187"/>
    </row>
    <row r="682" spans="1:6" x14ac:dyDescent="0.2">
      <c r="A682" s="275"/>
      <c r="B682" s="78"/>
      <c r="C682" s="189"/>
      <c r="D682" s="185"/>
      <c r="E682" s="186"/>
      <c r="F682" s="187"/>
    </row>
    <row r="683" spans="1:6" x14ac:dyDescent="0.2">
      <c r="A683" s="275"/>
      <c r="B683" s="78"/>
      <c r="C683" s="189"/>
      <c r="D683" s="185"/>
      <c r="E683" s="186"/>
      <c r="F683" s="187"/>
    </row>
    <row r="684" spans="1:6" x14ac:dyDescent="0.2">
      <c r="A684" s="275"/>
      <c r="B684" s="78"/>
      <c r="C684" s="189"/>
      <c r="D684" s="185"/>
      <c r="E684" s="186"/>
      <c r="F684" s="187"/>
    </row>
    <row r="685" spans="1:6" x14ac:dyDescent="0.2">
      <c r="A685" s="275"/>
      <c r="B685" s="78"/>
      <c r="C685" s="189"/>
      <c r="D685" s="185"/>
      <c r="E685" s="186"/>
      <c r="F685" s="187"/>
    </row>
    <row r="686" spans="1:6" x14ac:dyDescent="0.2">
      <c r="A686" s="275"/>
      <c r="B686" s="78"/>
      <c r="C686" s="189"/>
      <c r="D686" s="185"/>
      <c r="E686" s="186"/>
      <c r="F686" s="187"/>
    </row>
    <row r="687" spans="1:6" x14ac:dyDescent="0.2">
      <c r="A687" s="275"/>
      <c r="B687" s="78"/>
      <c r="C687" s="189"/>
      <c r="D687" s="185"/>
      <c r="E687" s="186"/>
      <c r="F687" s="187"/>
    </row>
    <row r="688" spans="1:6" x14ac:dyDescent="0.2">
      <c r="A688" s="275"/>
      <c r="B688" s="78"/>
      <c r="C688" s="189"/>
      <c r="D688" s="185"/>
      <c r="E688" s="186"/>
      <c r="F688" s="187"/>
    </row>
    <row r="689" spans="1:6" x14ac:dyDescent="0.2">
      <c r="A689" s="275"/>
      <c r="B689" s="78"/>
      <c r="C689" s="189"/>
      <c r="D689" s="185"/>
      <c r="E689" s="186"/>
      <c r="F689" s="187"/>
    </row>
    <row r="690" spans="1:6" x14ac:dyDescent="0.2">
      <c r="A690" s="275"/>
      <c r="B690" s="78"/>
      <c r="C690" s="189"/>
      <c r="D690" s="185"/>
      <c r="E690" s="186"/>
      <c r="F690" s="187"/>
    </row>
    <row r="691" spans="1:6" x14ac:dyDescent="0.2">
      <c r="A691" s="275"/>
      <c r="B691" s="78"/>
      <c r="C691" s="189"/>
      <c r="D691" s="185"/>
      <c r="E691" s="186"/>
      <c r="F691" s="187"/>
    </row>
    <row r="692" spans="1:6" x14ac:dyDescent="0.2">
      <c r="A692" s="275"/>
      <c r="B692" s="78"/>
      <c r="C692" s="189"/>
      <c r="D692" s="185"/>
      <c r="E692" s="186"/>
      <c r="F692" s="187"/>
    </row>
    <row r="693" spans="1:6" x14ac:dyDescent="0.2">
      <c r="A693" s="275"/>
      <c r="B693" s="78"/>
      <c r="C693" s="189"/>
      <c r="D693" s="185"/>
      <c r="E693" s="186"/>
      <c r="F693" s="187"/>
    </row>
    <row r="694" spans="1:6" x14ac:dyDescent="0.2">
      <c r="A694" s="275"/>
      <c r="B694" s="78"/>
      <c r="C694" s="189"/>
      <c r="D694" s="185"/>
      <c r="E694" s="186"/>
      <c r="F694" s="187"/>
    </row>
    <row r="695" spans="1:6" x14ac:dyDescent="0.2">
      <c r="A695" s="275"/>
      <c r="B695" s="78"/>
      <c r="C695" s="189"/>
      <c r="D695" s="185"/>
      <c r="E695" s="186"/>
      <c r="F695" s="187"/>
    </row>
    <row r="696" spans="1:6" x14ac:dyDescent="0.2">
      <c r="A696" s="275"/>
      <c r="B696" s="78"/>
      <c r="C696" s="189"/>
      <c r="D696" s="185"/>
      <c r="E696" s="186"/>
      <c r="F696" s="187"/>
    </row>
    <row r="697" spans="1:6" x14ac:dyDescent="0.2">
      <c r="A697" s="275"/>
      <c r="B697" s="78"/>
      <c r="C697" s="189"/>
      <c r="D697" s="185"/>
      <c r="E697" s="186"/>
      <c r="F697" s="187"/>
    </row>
    <row r="698" spans="1:6" x14ac:dyDescent="0.2">
      <c r="A698" s="275"/>
      <c r="B698" s="78"/>
      <c r="C698" s="189"/>
      <c r="D698" s="185"/>
      <c r="E698" s="186"/>
      <c r="F698" s="187"/>
    </row>
    <row r="699" spans="1:6" x14ac:dyDescent="0.2">
      <c r="A699" s="275"/>
      <c r="B699" s="78"/>
      <c r="C699" s="189"/>
      <c r="D699" s="185"/>
      <c r="E699" s="186"/>
      <c r="F699" s="187"/>
    </row>
    <row r="700" spans="1:6" x14ac:dyDescent="0.2">
      <c r="A700" s="275"/>
      <c r="B700" s="78"/>
      <c r="C700" s="189"/>
      <c r="D700" s="185"/>
      <c r="E700" s="186"/>
      <c r="F700" s="187"/>
    </row>
    <row r="701" spans="1:6" x14ac:dyDescent="0.2">
      <c r="A701" s="275"/>
      <c r="B701" s="78"/>
      <c r="C701" s="189"/>
      <c r="D701" s="185"/>
      <c r="E701" s="186"/>
      <c r="F701" s="187"/>
    </row>
    <row r="702" spans="1:6" x14ac:dyDescent="0.2">
      <c r="A702" s="275"/>
      <c r="B702" s="78"/>
      <c r="C702" s="189"/>
      <c r="D702" s="185"/>
      <c r="E702" s="186"/>
      <c r="F702" s="187"/>
    </row>
    <row r="703" spans="1:6" x14ac:dyDescent="0.2">
      <c r="A703" s="275"/>
      <c r="B703" s="78"/>
      <c r="C703" s="189"/>
      <c r="D703" s="185"/>
      <c r="E703" s="186"/>
      <c r="F703" s="187"/>
    </row>
    <row r="704" spans="1:6" x14ac:dyDescent="0.2">
      <c r="A704" s="275"/>
      <c r="B704" s="78"/>
      <c r="C704" s="189"/>
      <c r="D704" s="185"/>
      <c r="E704" s="186"/>
      <c r="F704" s="187"/>
    </row>
    <row r="705" spans="1:6" x14ac:dyDescent="0.2">
      <c r="A705" s="275"/>
      <c r="B705" s="78"/>
      <c r="C705" s="189"/>
      <c r="D705" s="185"/>
      <c r="E705" s="186"/>
      <c r="F705" s="187"/>
    </row>
    <row r="706" spans="1:6" x14ac:dyDescent="0.2">
      <c r="A706" s="275"/>
      <c r="B706" s="78"/>
      <c r="C706" s="189"/>
      <c r="D706" s="185"/>
      <c r="E706" s="186"/>
      <c r="F706" s="187"/>
    </row>
    <row r="707" spans="1:6" x14ac:dyDescent="0.2">
      <c r="A707" s="275"/>
      <c r="B707" s="78"/>
      <c r="C707" s="189"/>
      <c r="D707" s="185"/>
      <c r="E707" s="186"/>
      <c r="F707" s="187"/>
    </row>
    <row r="708" spans="1:6" x14ac:dyDescent="0.2">
      <c r="A708" s="275"/>
      <c r="B708" s="78"/>
      <c r="C708" s="189"/>
      <c r="D708" s="185"/>
      <c r="E708" s="186"/>
      <c r="F708" s="187"/>
    </row>
    <row r="709" spans="1:6" x14ac:dyDescent="0.2">
      <c r="A709" s="275"/>
      <c r="B709" s="78"/>
      <c r="C709" s="189"/>
      <c r="D709" s="185"/>
      <c r="E709" s="186"/>
      <c r="F709" s="187"/>
    </row>
    <row r="710" spans="1:6" x14ac:dyDescent="0.2">
      <c r="A710" s="275"/>
      <c r="B710" s="78"/>
      <c r="C710" s="189"/>
      <c r="D710" s="185"/>
      <c r="E710" s="186"/>
      <c r="F710" s="187"/>
    </row>
    <row r="711" spans="1:6" x14ac:dyDescent="0.2">
      <c r="A711" s="275"/>
      <c r="B711" s="78"/>
      <c r="C711" s="189"/>
      <c r="D711" s="185"/>
      <c r="E711" s="186"/>
      <c r="F711" s="187"/>
    </row>
    <row r="712" spans="1:6" x14ac:dyDescent="0.2">
      <c r="A712" s="275"/>
      <c r="B712" s="78"/>
      <c r="C712" s="189"/>
      <c r="D712" s="185"/>
      <c r="E712" s="186"/>
      <c r="F712" s="187"/>
    </row>
    <row r="713" spans="1:6" x14ac:dyDescent="0.2">
      <c r="A713" s="275"/>
      <c r="B713" s="78"/>
      <c r="C713" s="189"/>
      <c r="D713" s="185"/>
      <c r="E713" s="186"/>
      <c r="F713" s="187"/>
    </row>
    <row r="714" spans="1:6" x14ac:dyDescent="0.2">
      <c r="A714" s="275"/>
      <c r="B714" s="78"/>
      <c r="C714" s="189"/>
      <c r="D714" s="185"/>
      <c r="E714" s="186"/>
      <c r="F714" s="187"/>
    </row>
    <row r="715" spans="1:6" x14ac:dyDescent="0.2">
      <c r="A715" s="275"/>
      <c r="B715" s="78"/>
      <c r="C715" s="189"/>
      <c r="D715" s="185"/>
      <c r="E715" s="186"/>
      <c r="F715" s="187"/>
    </row>
    <row r="716" spans="1:6" x14ac:dyDescent="0.2">
      <c r="A716" s="275"/>
      <c r="B716" s="78"/>
      <c r="C716" s="189"/>
      <c r="D716" s="185"/>
      <c r="E716" s="186"/>
      <c r="F716" s="187"/>
    </row>
    <row r="717" spans="1:6" x14ac:dyDescent="0.2">
      <c r="A717" s="275"/>
      <c r="B717" s="78"/>
      <c r="C717" s="189"/>
      <c r="D717" s="185"/>
      <c r="E717" s="186"/>
      <c r="F717" s="187"/>
    </row>
    <row r="718" spans="1:6" x14ac:dyDescent="0.2">
      <c r="A718" s="275"/>
      <c r="B718" s="78"/>
      <c r="C718" s="189"/>
      <c r="D718" s="185"/>
      <c r="E718" s="186"/>
      <c r="F718" s="187"/>
    </row>
    <row r="719" spans="1:6" x14ac:dyDescent="0.2">
      <c r="A719" s="275"/>
      <c r="B719" s="78"/>
      <c r="C719" s="189"/>
      <c r="D719" s="185"/>
      <c r="E719" s="186"/>
      <c r="F719" s="187"/>
    </row>
    <row r="720" spans="1:6" x14ac:dyDescent="0.2">
      <c r="A720" s="275"/>
      <c r="B720" s="78"/>
      <c r="C720" s="189"/>
      <c r="D720" s="185"/>
      <c r="E720" s="186"/>
      <c r="F720" s="187"/>
    </row>
    <row r="721" spans="1:6" x14ac:dyDescent="0.2">
      <c r="A721" s="275"/>
      <c r="B721" s="78"/>
      <c r="C721" s="189"/>
      <c r="D721" s="185"/>
      <c r="E721" s="186"/>
      <c r="F721" s="187"/>
    </row>
    <row r="722" spans="1:6" x14ac:dyDescent="0.2">
      <c r="A722" s="275"/>
      <c r="B722" s="78"/>
      <c r="C722" s="189"/>
      <c r="D722" s="185"/>
      <c r="E722" s="186"/>
      <c r="F722" s="187"/>
    </row>
    <row r="723" spans="1:6" x14ac:dyDescent="0.2">
      <c r="A723" s="275"/>
      <c r="B723" s="78"/>
      <c r="C723" s="189"/>
      <c r="D723" s="185"/>
      <c r="E723" s="186"/>
      <c r="F723" s="187"/>
    </row>
    <row r="724" spans="1:6" x14ac:dyDescent="0.2">
      <c r="A724" s="275"/>
      <c r="B724" s="78"/>
      <c r="C724" s="189"/>
      <c r="D724" s="185"/>
      <c r="E724" s="186"/>
      <c r="F724" s="187"/>
    </row>
    <row r="725" spans="1:6" x14ac:dyDescent="0.2">
      <c r="A725" s="275"/>
      <c r="B725" s="78"/>
      <c r="C725" s="189"/>
      <c r="D725" s="185"/>
      <c r="E725" s="186"/>
      <c r="F725" s="187"/>
    </row>
    <row r="726" spans="1:6" x14ac:dyDescent="0.2">
      <c r="A726" s="275"/>
      <c r="B726" s="78"/>
      <c r="C726" s="189"/>
      <c r="D726" s="185"/>
      <c r="E726" s="186"/>
      <c r="F726" s="187"/>
    </row>
    <row r="727" spans="1:6" x14ac:dyDescent="0.2">
      <c r="A727" s="275"/>
      <c r="B727" s="78"/>
      <c r="C727" s="189"/>
      <c r="D727" s="185"/>
      <c r="E727" s="186"/>
      <c r="F727" s="187"/>
    </row>
    <row r="728" spans="1:6" x14ac:dyDescent="0.2">
      <c r="A728" s="275"/>
      <c r="B728" s="78"/>
      <c r="C728" s="189"/>
      <c r="D728" s="185"/>
      <c r="E728" s="186"/>
      <c r="F728" s="187"/>
    </row>
    <row r="729" spans="1:6" x14ac:dyDescent="0.2">
      <c r="A729" s="275"/>
      <c r="B729" s="78"/>
      <c r="C729" s="189"/>
      <c r="D729" s="185"/>
      <c r="E729" s="186"/>
      <c r="F729" s="187"/>
    </row>
    <row r="730" spans="1:6" x14ac:dyDescent="0.2">
      <c r="A730" s="275"/>
      <c r="B730" s="78"/>
      <c r="C730" s="189"/>
      <c r="D730" s="185"/>
      <c r="E730" s="186"/>
      <c r="F730" s="187"/>
    </row>
    <row r="731" spans="1:6" x14ac:dyDescent="0.2">
      <c r="A731" s="275"/>
      <c r="B731" s="78"/>
      <c r="C731" s="189"/>
      <c r="D731" s="185"/>
      <c r="E731" s="186"/>
      <c r="F731" s="187"/>
    </row>
    <row r="732" spans="1:6" x14ac:dyDescent="0.2">
      <c r="A732" s="275"/>
      <c r="B732" s="78"/>
      <c r="C732" s="189"/>
      <c r="D732" s="185"/>
      <c r="E732" s="186"/>
      <c r="F732" s="187"/>
    </row>
    <row r="733" spans="1:6" x14ac:dyDescent="0.2">
      <c r="A733" s="275"/>
      <c r="B733" s="78"/>
      <c r="C733" s="189"/>
      <c r="D733" s="185"/>
      <c r="E733" s="186"/>
      <c r="F733" s="187"/>
    </row>
    <row r="734" spans="1:6" x14ac:dyDescent="0.2">
      <c r="A734" s="275"/>
      <c r="B734" s="78"/>
      <c r="C734" s="189"/>
      <c r="D734" s="185"/>
      <c r="E734" s="186"/>
      <c r="F734" s="187"/>
    </row>
    <row r="735" spans="1:6" x14ac:dyDescent="0.2">
      <c r="A735" s="275"/>
      <c r="B735" s="78"/>
      <c r="C735" s="189"/>
      <c r="D735" s="185"/>
      <c r="E735" s="186"/>
      <c r="F735" s="187"/>
    </row>
    <row r="736" spans="1:6" x14ac:dyDescent="0.2">
      <c r="A736" s="275"/>
      <c r="B736" s="78"/>
      <c r="C736" s="189"/>
      <c r="D736" s="185"/>
      <c r="E736" s="186"/>
      <c r="F736" s="187"/>
    </row>
    <row r="737" spans="1:6" x14ac:dyDescent="0.2">
      <c r="A737" s="275"/>
      <c r="B737" s="78"/>
      <c r="C737" s="189"/>
      <c r="D737" s="185"/>
      <c r="E737" s="186"/>
      <c r="F737" s="187"/>
    </row>
    <row r="738" spans="1:6" x14ac:dyDescent="0.2">
      <c r="A738" s="275"/>
      <c r="B738" s="78"/>
      <c r="C738" s="189"/>
      <c r="D738" s="185"/>
      <c r="E738" s="186"/>
      <c r="F738" s="187"/>
    </row>
    <row r="739" spans="1:6" x14ac:dyDescent="0.2">
      <c r="A739" s="275"/>
      <c r="B739" s="78"/>
      <c r="C739" s="189"/>
      <c r="D739" s="185"/>
      <c r="E739" s="186"/>
      <c r="F739" s="187"/>
    </row>
    <row r="740" spans="1:6" x14ac:dyDescent="0.2">
      <c r="A740" s="275"/>
      <c r="B740" s="78"/>
      <c r="C740" s="189"/>
      <c r="D740" s="185"/>
      <c r="E740" s="186"/>
      <c r="F740" s="187"/>
    </row>
    <row r="741" spans="1:6" x14ac:dyDescent="0.2">
      <c r="A741" s="275"/>
      <c r="B741" s="78"/>
      <c r="C741" s="189"/>
      <c r="D741" s="185"/>
      <c r="E741" s="186"/>
      <c r="F741" s="187"/>
    </row>
    <row r="742" spans="1:6" x14ac:dyDescent="0.2">
      <c r="A742" s="275"/>
      <c r="B742" s="78"/>
      <c r="C742" s="189"/>
      <c r="D742" s="185"/>
      <c r="E742" s="186"/>
      <c r="F742" s="187"/>
    </row>
    <row r="743" spans="1:6" x14ac:dyDescent="0.2">
      <c r="A743" s="275"/>
      <c r="B743" s="78"/>
      <c r="C743" s="189"/>
      <c r="D743" s="185"/>
      <c r="E743" s="186"/>
      <c r="F743" s="187"/>
    </row>
    <row r="744" spans="1:6" x14ac:dyDescent="0.2">
      <c r="A744" s="275"/>
      <c r="B744" s="78"/>
      <c r="C744" s="189"/>
      <c r="D744" s="185"/>
      <c r="E744" s="186"/>
      <c r="F744" s="187"/>
    </row>
    <row r="745" spans="1:6" x14ac:dyDescent="0.2">
      <c r="A745" s="275"/>
      <c r="B745" s="78"/>
      <c r="C745" s="189"/>
      <c r="D745" s="185"/>
      <c r="E745" s="186"/>
      <c r="F745" s="187"/>
    </row>
    <row r="746" spans="1:6" x14ac:dyDescent="0.2">
      <c r="A746" s="275"/>
      <c r="B746" s="78"/>
      <c r="C746" s="189"/>
      <c r="D746" s="185"/>
      <c r="E746" s="186"/>
      <c r="F746" s="187"/>
    </row>
    <row r="747" spans="1:6" x14ac:dyDescent="0.2">
      <c r="A747" s="275"/>
      <c r="B747" s="78"/>
      <c r="C747" s="189"/>
      <c r="D747" s="185"/>
      <c r="E747" s="186"/>
      <c r="F747" s="187"/>
    </row>
    <row r="748" spans="1:6" x14ac:dyDescent="0.2">
      <c r="A748" s="275"/>
      <c r="B748" s="78"/>
      <c r="C748" s="189"/>
      <c r="D748" s="185"/>
      <c r="E748" s="186"/>
      <c r="F748" s="187"/>
    </row>
    <row r="749" spans="1:6" x14ac:dyDescent="0.2">
      <c r="A749" s="275"/>
      <c r="B749" s="78"/>
      <c r="C749" s="189"/>
      <c r="D749" s="185"/>
      <c r="E749" s="186"/>
      <c r="F749" s="187"/>
    </row>
    <row r="750" spans="1:6" x14ac:dyDescent="0.2">
      <c r="A750" s="275"/>
      <c r="B750" s="78"/>
      <c r="C750" s="189"/>
      <c r="D750" s="185"/>
      <c r="E750" s="186"/>
      <c r="F750" s="187"/>
    </row>
    <row r="751" spans="1:6" x14ac:dyDescent="0.2">
      <c r="A751" s="275"/>
      <c r="B751" s="78"/>
      <c r="C751" s="189"/>
      <c r="D751" s="185"/>
      <c r="E751" s="186"/>
      <c r="F751" s="187"/>
    </row>
    <row r="752" spans="1:6" x14ac:dyDescent="0.2">
      <c r="A752" s="275"/>
      <c r="B752" s="78"/>
      <c r="C752" s="189"/>
      <c r="D752" s="185"/>
      <c r="E752" s="186"/>
      <c r="F752" s="187"/>
    </row>
    <row r="753" spans="1:6" x14ac:dyDescent="0.2">
      <c r="A753" s="275"/>
      <c r="B753" s="78"/>
      <c r="C753" s="189"/>
      <c r="D753" s="185"/>
      <c r="E753" s="186"/>
      <c r="F753" s="187"/>
    </row>
    <row r="754" spans="1:6" x14ac:dyDescent="0.2">
      <c r="A754" s="275"/>
      <c r="B754" s="78"/>
      <c r="C754" s="189"/>
      <c r="D754" s="185"/>
      <c r="E754" s="186"/>
      <c r="F754" s="187"/>
    </row>
    <row r="755" spans="1:6" x14ac:dyDescent="0.2">
      <c r="A755" s="275"/>
      <c r="B755" s="78"/>
      <c r="C755" s="189"/>
      <c r="D755" s="185"/>
      <c r="E755" s="186"/>
      <c r="F755" s="187"/>
    </row>
    <row r="756" spans="1:6" x14ac:dyDescent="0.2">
      <c r="A756" s="275"/>
      <c r="B756" s="78"/>
      <c r="C756" s="189"/>
      <c r="D756" s="185"/>
      <c r="E756" s="186"/>
      <c r="F756" s="187"/>
    </row>
    <row r="757" spans="1:6" x14ac:dyDescent="0.2">
      <c r="A757" s="275"/>
      <c r="B757" s="78"/>
      <c r="C757" s="189"/>
      <c r="D757" s="185"/>
      <c r="E757" s="186"/>
      <c r="F757" s="187"/>
    </row>
    <row r="758" spans="1:6" x14ac:dyDescent="0.2">
      <c r="A758" s="275"/>
      <c r="B758" s="78"/>
      <c r="C758" s="189"/>
      <c r="D758" s="185"/>
      <c r="E758" s="186"/>
      <c r="F758" s="187"/>
    </row>
    <row r="759" spans="1:6" x14ac:dyDescent="0.2">
      <c r="A759" s="275"/>
      <c r="B759" s="78"/>
      <c r="C759" s="189"/>
      <c r="D759" s="185"/>
      <c r="E759" s="186"/>
      <c r="F759" s="187"/>
    </row>
    <row r="760" spans="1:6" x14ac:dyDescent="0.2">
      <c r="A760" s="275"/>
      <c r="B760" s="78"/>
      <c r="C760" s="189"/>
      <c r="D760" s="185"/>
      <c r="E760" s="186"/>
      <c r="F760" s="187"/>
    </row>
    <row r="761" spans="1:6" x14ac:dyDescent="0.2">
      <c r="A761" s="275"/>
      <c r="B761" s="78"/>
      <c r="C761" s="189"/>
      <c r="D761" s="185"/>
      <c r="E761" s="186"/>
      <c r="F761" s="187"/>
    </row>
    <row r="762" spans="1:6" x14ac:dyDescent="0.2">
      <c r="A762" s="275"/>
      <c r="B762" s="78"/>
      <c r="C762" s="189"/>
      <c r="D762" s="185"/>
      <c r="E762" s="186"/>
      <c r="F762" s="187"/>
    </row>
    <row r="763" spans="1:6" x14ac:dyDescent="0.2">
      <c r="A763" s="275"/>
      <c r="B763" s="78"/>
      <c r="C763" s="189"/>
      <c r="D763" s="185"/>
      <c r="E763" s="186"/>
      <c r="F763" s="187"/>
    </row>
    <row r="764" spans="1:6" x14ac:dyDescent="0.2">
      <c r="A764" s="275"/>
      <c r="B764" s="78"/>
      <c r="C764" s="189"/>
      <c r="D764" s="185"/>
      <c r="E764" s="186"/>
      <c r="F764" s="187"/>
    </row>
    <row r="765" spans="1:6" x14ac:dyDescent="0.2">
      <c r="A765" s="275"/>
      <c r="B765" s="78"/>
      <c r="C765" s="189"/>
      <c r="D765" s="185"/>
      <c r="E765" s="186"/>
      <c r="F765" s="187"/>
    </row>
    <row r="766" spans="1:6" x14ac:dyDescent="0.2">
      <c r="A766" s="275"/>
      <c r="B766" s="78"/>
      <c r="C766" s="189"/>
      <c r="D766" s="185"/>
      <c r="E766" s="186"/>
      <c r="F766" s="187"/>
    </row>
    <row r="767" spans="1:6" x14ac:dyDescent="0.2">
      <c r="A767" s="275"/>
      <c r="B767" s="78"/>
      <c r="C767" s="189"/>
      <c r="D767" s="185"/>
      <c r="E767" s="186"/>
      <c r="F767" s="187"/>
    </row>
    <row r="768" spans="1:6" x14ac:dyDescent="0.2">
      <c r="A768" s="275"/>
      <c r="B768" s="78"/>
      <c r="C768" s="189"/>
      <c r="D768" s="185"/>
      <c r="E768" s="186"/>
      <c r="F768" s="187"/>
    </row>
    <row r="769" spans="1:6" x14ac:dyDescent="0.2">
      <c r="A769" s="275"/>
      <c r="B769" s="78"/>
      <c r="C769" s="189"/>
      <c r="D769" s="185"/>
      <c r="E769" s="186"/>
      <c r="F769" s="187"/>
    </row>
    <row r="770" spans="1:6" x14ac:dyDescent="0.2">
      <c r="A770" s="275"/>
      <c r="B770" s="78"/>
      <c r="C770" s="189"/>
      <c r="D770" s="185"/>
      <c r="E770" s="186"/>
      <c r="F770" s="187"/>
    </row>
    <row r="771" spans="1:6" x14ac:dyDescent="0.2">
      <c r="A771" s="275"/>
      <c r="B771" s="78"/>
      <c r="C771" s="189"/>
      <c r="D771" s="185"/>
      <c r="E771" s="186"/>
      <c r="F771" s="187"/>
    </row>
    <row r="772" spans="1:6" x14ac:dyDescent="0.2">
      <c r="A772" s="275"/>
      <c r="B772" s="78"/>
      <c r="C772" s="189"/>
      <c r="D772" s="185"/>
      <c r="E772" s="186"/>
      <c r="F772" s="187"/>
    </row>
    <row r="773" spans="1:6" x14ac:dyDescent="0.2">
      <c r="A773" s="275"/>
      <c r="B773" s="78"/>
      <c r="C773" s="189"/>
      <c r="D773" s="185"/>
      <c r="E773" s="186"/>
      <c r="F773" s="187"/>
    </row>
    <row r="774" spans="1:6" x14ac:dyDescent="0.2">
      <c r="A774" s="275"/>
      <c r="B774" s="78"/>
      <c r="C774" s="189"/>
      <c r="D774" s="185"/>
      <c r="E774" s="186"/>
      <c r="F774" s="187"/>
    </row>
    <row r="775" spans="1:6" x14ac:dyDescent="0.2">
      <c r="A775" s="275"/>
      <c r="B775" s="78"/>
      <c r="C775" s="189"/>
      <c r="D775" s="185"/>
      <c r="E775" s="186"/>
      <c r="F775" s="187"/>
    </row>
    <row r="776" spans="1:6" x14ac:dyDescent="0.2">
      <c r="A776" s="275"/>
      <c r="B776" s="78"/>
      <c r="C776" s="189"/>
      <c r="D776" s="185"/>
      <c r="E776" s="186"/>
      <c r="F776" s="187"/>
    </row>
    <row r="777" spans="1:6" x14ac:dyDescent="0.2">
      <c r="A777" s="275"/>
      <c r="B777" s="78"/>
      <c r="C777" s="189"/>
      <c r="D777" s="185"/>
      <c r="E777" s="186"/>
      <c r="F777" s="187"/>
    </row>
    <row r="778" spans="1:6" x14ac:dyDescent="0.2">
      <c r="A778" s="275"/>
      <c r="B778" s="78"/>
      <c r="C778" s="189"/>
      <c r="D778" s="185"/>
      <c r="E778" s="186"/>
      <c r="F778" s="187"/>
    </row>
    <row r="779" spans="1:6" x14ac:dyDescent="0.2">
      <c r="A779" s="275"/>
      <c r="B779" s="78"/>
      <c r="C779" s="189"/>
      <c r="D779" s="185"/>
      <c r="E779" s="186"/>
      <c r="F779" s="187"/>
    </row>
    <row r="780" spans="1:6" x14ac:dyDescent="0.2">
      <c r="A780" s="275"/>
      <c r="B780" s="78"/>
      <c r="C780" s="189"/>
      <c r="D780" s="185"/>
      <c r="E780" s="186"/>
      <c r="F780" s="187"/>
    </row>
    <row r="781" spans="1:6" x14ac:dyDescent="0.2">
      <c r="A781" s="275"/>
      <c r="B781" s="78"/>
      <c r="C781" s="189"/>
      <c r="D781" s="185"/>
      <c r="E781" s="186"/>
      <c r="F781" s="187"/>
    </row>
    <row r="782" spans="1:6" x14ac:dyDescent="0.2">
      <c r="A782" s="275"/>
      <c r="B782" s="78"/>
      <c r="C782" s="189"/>
      <c r="D782" s="185"/>
      <c r="E782" s="186"/>
      <c r="F782" s="187"/>
    </row>
    <row r="783" spans="1:6" x14ac:dyDescent="0.2">
      <c r="A783" s="275"/>
      <c r="B783" s="78"/>
      <c r="C783" s="189"/>
      <c r="D783" s="185"/>
      <c r="E783" s="186"/>
      <c r="F783" s="187"/>
    </row>
    <row r="784" spans="1:6" x14ac:dyDescent="0.2">
      <c r="A784" s="275"/>
      <c r="B784" s="78"/>
      <c r="C784" s="189"/>
      <c r="D784" s="185"/>
      <c r="E784" s="186"/>
      <c r="F784" s="187"/>
    </row>
    <row r="785" spans="1:6" x14ac:dyDescent="0.2">
      <c r="A785" s="275"/>
      <c r="B785" s="78"/>
      <c r="C785" s="189"/>
      <c r="D785" s="185"/>
      <c r="E785" s="186"/>
      <c r="F785" s="187"/>
    </row>
    <row r="786" spans="1:6" x14ac:dyDescent="0.2">
      <c r="A786" s="275"/>
      <c r="B786" s="78"/>
      <c r="C786" s="189"/>
      <c r="D786" s="185"/>
      <c r="E786" s="186"/>
      <c r="F786" s="187"/>
    </row>
    <row r="787" spans="1:6" x14ac:dyDescent="0.2">
      <c r="A787" s="275"/>
      <c r="B787" s="78"/>
      <c r="C787" s="189"/>
      <c r="D787" s="185"/>
      <c r="E787" s="186"/>
      <c r="F787" s="187"/>
    </row>
    <row r="788" spans="1:6" x14ac:dyDescent="0.2">
      <c r="A788" s="275"/>
      <c r="B788" s="78"/>
      <c r="C788" s="189"/>
      <c r="D788" s="185"/>
      <c r="E788" s="186"/>
      <c r="F788" s="187"/>
    </row>
    <row r="789" spans="1:6" x14ac:dyDescent="0.2">
      <c r="A789" s="275"/>
      <c r="B789" s="78"/>
      <c r="C789" s="189"/>
      <c r="D789" s="185"/>
      <c r="E789" s="186"/>
      <c r="F789" s="187"/>
    </row>
    <row r="790" spans="1:6" x14ac:dyDescent="0.2">
      <c r="A790" s="275"/>
      <c r="B790" s="78"/>
      <c r="C790" s="189"/>
      <c r="D790" s="185"/>
      <c r="E790" s="186"/>
      <c r="F790" s="187"/>
    </row>
    <row r="791" spans="1:6" x14ac:dyDescent="0.2">
      <c r="A791" s="275"/>
      <c r="B791" s="78"/>
      <c r="C791" s="189"/>
      <c r="D791" s="185"/>
      <c r="E791" s="186"/>
      <c r="F791" s="187"/>
    </row>
    <row r="792" spans="1:6" x14ac:dyDescent="0.2">
      <c r="A792" s="275"/>
      <c r="B792" s="78"/>
      <c r="C792" s="189"/>
      <c r="D792" s="185"/>
      <c r="E792" s="186"/>
      <c r="F792" s="187"/>
    </row>
    <row r="793" spans="1:6" x14ac:dyDescent="0.2">
      <c r="A793" s="275"/>
      <c r="B793" s="78"/>
      <c r="C793" s="189"/>
      <c r="D793" s="185"/>
      <c r="E793" s="186"/>
      <c r="F793" s="187"/>
    </row>
    <row r="794" spans="1:6" x14ac:dyDescent="0.2">
      <c r="A794" s="275"/>
      <c r="B794" s="78"/>
      <c r="C794" s="189"/>
      <c r="D794" s="185"/>
      <c r="E794" s="186"/>
      <c r="F794" s="187"/>
    </row>
    <row r="795" spans="1:6" x14ac:dyDescent="0.2">
      <c r="A795" s="275"/>
      <c r="B795" s="78"/>
      <c r="C795" s="189"/>
      <c r="D795" s="185"/>
      <c r="E795" s="186"/>
      <c r="F795" s="187"/>
    </row>
    <row r="796" spans="1:6" x14ac:dyDescent="0.2">
      <c r="A796" s="275"/>
      <c r="B796" s="78"/>
      <c r="C796" s="189"/>
      <c r="D796" s="185"/>
      <c r="E796" s="186"/>
      <c r="F796" s="187"/>
    </row>
    <row r="797" spans="1:6" x14ac:dyDescent="0.2">
      <c r="A797" s="275"/>
      <c r="B797" s="78"/>
      <c r="C797" s="189"/>
      <c r="D797" s="185"/>
      <c r="E797" s="186"/>
      <c r="F797" s="187"/>
    </row>
    <row r="798" spans="1:6" x14ac:dyDescent="0.2">
      <c r="A798" s="275"/>
      <c r="B798" s="78"/>
      <c r="C798" s="189"/>
      <c r="D798" s="185"/>
      <c r="E798" s="186"/>
      <c r="F798" s="187"/>
    </row>
    <row r="799" spans="1:6" x14ac:dyDescent="0.2">
      <c r="A799" s="275"/>
      <c r="B799" s="78"/>
      <c r="C799" s="189"/>
      <c r="D799" s="185"/>
      <c r="E799" s="186"/>
      <c r="F799" s="187"/>
    </row>
    <row r="800" spans="1:6" x14ac:dyDescent="0.2">
      <c r="A800" s="275"/>
      <c r="B800" s="78"/>
      <c r="C800" s="189"/>
      <c r="D800" s="185"/>
      <c r="E800" s="186"/>
      <c r="F800" s="187"/>
    </row>
    <row r="801" spans="1:6" x14ac:dyDescent="0.2">
      <c r="A801" s="275"/>
      <c r="B801" s="78"/>
      <c r="C801" s="189"/>
      <c r="D801" s="185"/>
      <c r="E801" s="186"/>
      <c r="F801" s="187"/>
    </row>
    <row r="802" spans="1:6" x14ac:dyDescent="0.2">
      <c r="A802" s="275"/>
      <c r="B802" s="78"/>
      <c r="C802" s="189"/>
      <c r="D802" s="185"/>
      <c r="E802" s="186"/>
      <c r="F802" s="187"/>
    </row>
    <row r="803" spans="1:6" x14ac:dyDescent="0.2">
      <c r="A803" s="275"/>
      <c r="B803" s="78"/>
      <c r="C803" s="189"/>
      <c r="D803" s="185"/>
      <c r="E803" s="186"/>
      <c r="F803" s="187"/>
    </row>
    <row r="804" spans="1:6" x14ac:dyDescent="0.2">
      <c r="A804" s="275"/>
      <c r="B804" s="78"/>
      <c r="C804" s="189"/>
      <c r="D804" s="185"/>
      <c r="E804" s="186"/>
      <c r="F804" s="187"/>
    </row>
    <row r="805" spans="1:6" x14ac:dyDescent="0.2">
      <c r="A805" s="275"/>
      <c r="B805" s="78"/>
      <c r="C805" s="189"/>
      <c r="D805" s="185"/>
      <c r="E805" s="186"/>
      <c r="F805" s="187"/>
    </row>
    <row r="806" spans="1:6" x14ac:dyDescent="0.2">
      <c r="A806" s="275"/>
      <c r="B806" s="78"/>
      <c r="C806" s="189"/>
      <c r="D806" s="185"/>
      <c r="E806" s="186"/>
      <c r="F806" s="187"/>
    </row>
    <row r="807" spans="1:6" x14ac:dyDescent="0.2">
      <c r="A807" s="275"/>
      <c r="B807" s="78"/>
      <c r="C807" s="189"/>
      <c r="D807" s="185"/>
      <c r="E807" s="186"/>
      <c r="F807" s="187"/>
    </row>
    <row r="808" spans="1:6" x14ac:dyDescent="0.2">
      <c r="A808" s="275"/>
      <c r="B808" s="78"/>
      <c r="C808" s="189"/>
      <c r="D808" s="185"/>
      <c r="E808" s="186"/>
      <c r="F808" s="187"/>
    </row>
    <row r="809" spans="1:6" x14ac:dyDescent="0.2">
      <c r="A809" s="275"/>
      <c r="B809" s="78"/>
      <c r="C809" s="189"/>
      <c r="D809" s="185"/>
      <c r="E809" s="186"/>
      <c r="F809" s="187"/>
    </row>
    <row r="810" spans="1:6" x14ac:dyDescent="0.2">
      <c r="A810" s="275"/>
      <c r="B810" s="78"/>
      <c r="C810" s="189"/>
      <c r="D810" s="185"/>
      <c r="E810" s="186"/>
      <c r="F810" s="187"/>
    </row>
    <row r="811" spans="1:6" x14ac:dyDescent="0.2">
      <c r="A811" s="275"/>
      <c r="B811" s="78"/>
      <c r="C811" s="189"/>
      <c r="D811" s="185"/>
      <c r="E811" s="186"/>
      <c r="F811" s="187"/>
    </row>
    <row r="812" spans="1:6" x14ac:dyDescent="0.2">
      <c r="A812" s="275"/>
      <c r="B812" s="78"/>
      <c r="C812" s="189"/>
      <c r="D812" s="185"/>
      <c r="E812" s="186"/>
      <c r="F812" s="187"/>
    </row>
    <row r="813" spans="1:6" x14ac:dyDescent="0.2">
      <c r="A813" s="275"/>
      <c r="B813" s="78"/>
      <c r="C813" s="189"/>
      <c r="D813" s="185"/>
      <c r="E813" s="186"/>
      <c r="F813" s="187"/>
    </row>
    <row r="814" spans="1:6" x14ac:dyDescent="0.2">
      <c r="A814" s="275"/>
      <c r="B814" s="78"/>
      <c r="C814" s="189"/>
      <c r="D814" s="185"/>
      <c r="E814" s="186"/>
      <c r="F814" s="187"/>
    </row>
    <row r="815" spans="1:6" x14ac:dyDescent="0.2">
      <c r="A815" s="275"/>
      <c r="B815" s="78"/>
      <c r="C815" s="189"/>
      <c r="D815" s="185"/>
      <c r="E815" s="186"/>
      <c r="F815" s="187"/>
    </row>
    <row r="816" spans="1:6" x14ac:dyDescent="0.2">
      <c r="A816" s="275"/>
      <c r="B816" s="78"/>
      <c r="C816" s="189"/>
      <c r="D816" s="185"/>
      <c r="E816" s="186"/>
      <c r="F816" s="187"/>
    </row>
    <row r="817" spans="1:6" x14ac:dyDescent="0.2">
      <c r="A817" s="275"/>
      <c r="B817" s="78"/>
      <c r="C817" s="189"/>
      <c r="D817" s="185"/>
      <c r="E817" s="186"/>
      <c r="F817" s="187"/>
    </row>
    <row r="818" spans="1:6" x14ac:dyDescent="0.2">
      <c r="A818" s="275"/>
      <c r="B818" s="78"/>
      <c r="C818" s="189"/>
      <c r="D818" s="185"/>
      <c r="E818" s="186"/>
      <c r="F818" s="187"/>
    </row>
    <row r="819" spans="1:6" x14ac:dyDescent="0.2">
      <c r="A819" s="275"/>
      <c r="B819" s="78"/>
      <c r="C819" s="189"/>
      <c r="D819" s="185"/>
      <c r="E819" s="186"/>
      <c r="F819" s="187"/>
    </row>
    <row r="820" spans="1:6" x14ac:dyDescent="0.2">
      <c r="A820" s="275"/>
      <c r="B820" s="78"/>
      <c r="C820" s="189"/>
      <c r="D820" s="185"/>
      <c r="E820" s="186"/>
      <c r="F820" s="187"/>
    </row>
    <row r="821" spans="1:6" x14ac:dyDescent="0.2">
      <c r="A821" s="275"/>
      <c r="B821" s="78"/>
      <c r="C821" s="189"/>
      <c r="D821" s="185"/>
      <c r="E821" s="186"/>
      <c r="F821" s="187"/>
    </row>
    <row r="822" spans="1:6" x14ac:dyDescent="0.2">
      <c r="A822" s="275"/>
      <c r="B822" s="78"/>
      <c r="C822" s="189"/>
      <c r="D822" s="185"/>
      <c r="E822" s="186"/>
      <c r="F822" s="187"/>
    </row>
    <row r="823" spans="1:6" x14ac:dyDescent="0.2">
      <c r="A823" s="275"/>
      <c r="B823" s="78"/>
      <c r="C823" s="189"/>
      <c r="D823" s="185"/>
      <c r="E823" s="186"/>
      <c r="F823" s="187"/>
    </row>
    <row r="824" spans="1:6" x14ac:dyDescent="0.2">
      <c r="A824" s="275"/>
      <c r="B824" s="78"/>
      <c r="C824" s="189"/>
      <c r="D824" s="185"/>
      <c r="E824" s="186"/>
      <c r="F824" s="187"/>
    </row>
    <row r="825" spans="1:6" x14ac:dyDescent="0.2">
      <c r="A825" s="275"/>
      <c r="B825" s="78"/>
      <c r="C825" s="189"/>
      <c r="D825" s="185"/>
      <c r="E825" s="186"/>
      <c r="F825" s="187"/>
    </row>
    <row r="826" spans="1:6" x14ac:dyDescent="0.2">
      <c r="A826" s="275"/>
      <c r="B826" s="78"/>
      <c r="C826" s="189"/>
      <c r="D826" s="185"/>
      <c r="E826" s="186"/>
      <c r="F826" s="187"/>
    </row>
    <row r="827" spans="1:6" x14ac:dyDescent="0.2">
      <c r="A827" s="275"/>
      <c r="B827" s="78"/>
      <c r="C827" s="189"/>
      <c r="D827" s="185"/>
      <c r="E827" s="186"/>
      <c r="F827" s="187"/>
    </row>
    <row r="828" spans="1:6" x14ac:dyDescent="0.2">
      <c r="A828" s="275"/>
      <c r="B828" s="78"/>
      <c r="C828" s="189"/>
      <c r="D828" s="185"/>
      <c r="E828" s="186"/>
      <c r="F828" s="187"/>
    </row>
    <row r="829" spans="1:6" x14ac:dyDescent="0.2">
      <c r="A829" s="275"/>
      <c r="B829" s="78"/>
      <c r="C829" s="189"/>
      <c r="D829" s="185"/>
      <c r="E829" s="186"/>
      <c r="F829" s="187"/>
    </row>
    <row r="830" spans="1:6" x14ac:dyDescent="0.2">
      <c r="A830" s="275"/>
      <c r="B830" s="78"/>
      <c r="C830" s="189"/>
      <c r="D830" s="185"/>
      <c r="E830" s="186"/>
      <c r="F830" s="187"/>
    </row>
    <row r="831" spans="1:6" x14ac:dyDescent="0.2">
      <c r="A831" s="275"/>
      <c r="B831" s="78"/>
      <c r="C831" s="189"/>
      <c r="D831" s="185"/>
      <c r="E831" s="186"/>
      <c r="F831" s="187"/>
    </row>
    <row r="832" spans="1:6" x14ac:dyDescent="0.2">
      <c r="A832" s="275"/>
      <c r="B832" s="78"/>
      <c r="C832" s="189"/>
      <c r="D832" s="185"/>
      <c r="E832" s="186"/>
      <c r="F832" s="187"/>
    </row>
    <row r="833" spans="1:6" x14ac:dyDescent="0.2">
      <c r="A833" s="275"/>
      <c r="B833" s="78"/>
      <c r="C833" s="189"/>
      <c r="D833" s="185"/>
      <c r="E833" s="186"/>
      <c r="F833" s="187"/>
    </row>
    <row r="834" spans="1:6" x14ac:dyDescent="0.2">
      <c r="A834" s="275"/>
      <c r="B834" s="78"/>
      <c r="C834" s="189"/>
      <c r="D834" s="185"/>
      <c r="E834" s="186"/>
      <c r="F834" s="187"/>
    </row>
    <row r="835" spans="1:6" x14ac:dyDescent="0.2">
      <c r="A835" s="275"/>
      <c r="B835" s="78"/>
      <c r="C835" s="189"/>
      <c r="D835" s="185"/>
      <c r="E835" s="186"/>
      <c r="F835" s="187"/>
    </row>
    <row r="836" spans="1:6" x14ac:dyDescent="0.2">
      <c r="A836" s="275"/>
      <c r="B836" s="78"/>
      <c r="C836" s="189"/>
      <c r="D836" s="185"/>
      <c r="E836" s="186"/>
      <c r="F836" s="187"/>
    </row>
    <row r="837" spans="1:6" x14ac:dyDescent="0.2">
      <c r="A837" s="275"/>
      <c r="B837" s="78"/>
      <c r="C837" s="189"/>
      <c r="D837" s="185"/>
      <c r="E837" s="186"/>
      <c r="F837" s="187"/>
    </row>
    <row r="838" spans="1:6" x14ac:dyDescent="0.2">
      <c r="A838" s="275"/>
      <c r="B838" s="78"/>
      <c r="C838" s="189"/>
      <c r="D838" s="185"/>
      <c r="E838" s="186"/>
      <c r="F838" s="187"/>
    </row>
    <row r="839" spans="1:6" x14ac:dyDescent="0.2">
      <c r="A839" s="275"/>
      <c r="B839" s="78"/>
      <c r="C839" s="189"/>
      <c r="D839" s="185"/>
      <c r="E839" s="186"/>
      <c r="F839" s="187"/>
    </row>
    <row r="840" spans="1:6" x14ac:dyDescent="0.2">
      <c r="A840" s="275"/>
      <c r="B840" s="78"/>
      <c r="C840" s="189"/>
      <c r="D840" s="185"/>
      <c r="E840" s="186"/>
      <c r="F840" s="187"/>
    </row>
    <row r="841" spans="1:6" x14ac:dyDescent="0.2">
      <c r="A841" s="275"/>
      <c r="B841" s="78"/>
      <c r="C841" s="189"/>
      <c r="D841" s="185"/>
      <c r="E841" s="186"/>
      <c r="F841" s="187"/>
    </row>
    <row r="842" spans="1:6" x14ac:dyDescent="0.2">
      <c r="A842" s="275"/>
      <c r="B842" s="78"/>
      <c r="C842" s="189"/>
      <c r="D842" s="185"/>
      <c r="E842" s="186"/>
      <c r="F842" s="187"/>
    </row>
    <row r="843" spans="1:6" x14ac:dyDescent="0.2">
      <c r="A843" s="275"/>
      <c r="B843" s="78"/>
      <c r="C843" s="189"/>
      <c r="D843" s="185"/>
      <c r="E843" s="186"/>
      <c r="F843" s="187"/>
    </row>
    <row r="844" spans="1:6" x14ac:dyDescent="0.2">
      <c r="A844" s="275"/>
      <c r="B844" s="78"/>
      <c r="C844" s="189"/>
      <c r="D844" s="185"/>
      <c r="E844" s="186"/>
      <c r="F844" s="187"/>
    </row>
    <row r="845" spans="1:6" x14ac:dyDescent="0.2">
      <c r="A845" s="275"/>
      <c r="B845" s="78"/>
      <c r="C845" s="189"/>
      <c r="D845" s="185"/>
      <c r="E845" s="186"/>
      <c r="F845" s="187"/>
    </row>
    <row r="846" spans="1:6" x14ac:dyDescent="0.2">
      <c r="A846" s="275"/>
      <c r="B846" s="78"/>
      <c r="C846" s="189"/>
      <c r="D846" s="185"/>
      <c r="E846" s="186"/>
      <c r="F846" s="187"/>
    </row>
    <row r="847" spans="1:6" x14ac:dyDescent="0.2">
      <c r="A847" s="275"/>
      <c r="B847" s="78"/>
      <c r="C847" s="189"/>
      <c r="D847" s="185"/>
      <c r="E847" s="186"/>
      <c r="F847" s="187"/>
    </row>
    <row r="848" spans="1:6" x14ac:dyDescent="0.2">
      <c r="A848" s="275"/>
      <c r="B848" s="78"/>
      <c r="C848" s="189"/>
      <c r="D848" s="185"/>
      <c r="E848" s="186"/>
      <c r="F848" s="187"/>
    </row>
    <row r="849" spans="1:6" x14ac:dyDescent="0.2">
      <c r="A849" s="275"/>
      <c r="B849" s="78"/>
      <c r="C849" s="189"/>
      <c r="D849" s="185"/>
      <c r="E849" s="186"/>
      <c r="F849" s="187"/>
    </row>
    <row r="850" spans="1:6" x14ac:dyDescent="0.2">
      <c r="A850" s="275"/>
      <c r="B850" s="78"/>
      <c r="C850" s="189"/>
      <c r="D850" s="185"/>
      <c r="E850" s="186"/>
      <c r="F850" s="187"/>
    </row>
    <row r="851" spans="1:6" x14ac:dyDescent="0.2">
      <c r="A851" s="275"/>
      <c r="B851" s="78"/>
      <c r="C851" s="189"/>
      <c r="D851" s="185"/>
      <c r="E851" s="186"/>
      <c r="F851" s="187"/>
    </row>
    <row r="852" spans="1:6" x14ac:dyDescent="0.2">
      <c r="A852" s="275"/>
      <c r="B852" s="78"/>
      <c r="C852" s="189"/>
      <c r="D852" s="185"/>
      <c r="E852" s="186"/>
      <c r="F852" s="187"/>
    </row>
    <row r="853" spans="1:6" x14ac:dyDescent="0.2">
      <c r="A853" s="275"/>
      <c r="B853" s="78"/>
      <c r="C853" s="189"/>
      <c r="D853" s="185"/>
      <c r="E853" s="186"/>
      <c r="F853" s="187"/>
    </row>
    <row r="854" spans="1:6" x14ac:dyDescent="0.2">
      <c r="A854" s="275"/>
      <c r="B854" s="78"/>
      <c r="C854" s="189"/>
      <c r="D854" s="185"/>
      <c r="E854" s="186"/>
      <c r="F854" s="187"/>
    </row>
    <row r="855" spans="1:6" x14ac:dyDescent="0.2">
      <c r="A855" s="275"/>
      <c r="B855" s="78"/>
      <c r="C855" s="189"/>
      <c r="D855" s="185"/>
      <c r="E855" s="186"/>
      <c r="F855" s="187"/>
    </row>
    <row r="856" spans="1:6" x14ac:dyDescent="0.2">
      <c r="A856" s="275"/>
      <c r="B856" s="78"/>
      <c r="C856" s="189"/>
      <c r="D856" s="185"/>
      <c r="E856" s="186"/>
      <c r="F856" s="187"/>
    </row>
    <row r="857" spans="1:6" x14ac:dyDescent="0.2">
      <c r="A857" s="275"/>
      <c r="B857" s="78"/>
      <c r="C857" s="189"/>
      <c r="D857" s="185"/>
      <c r="E857" s="186"/>
      <c r="F857" s="187"/>
    </row>
    <row r="858" spans="1:6" x14ac:dyDescent="0.2">
      <c r="A858" s="275"/>
      <c r="B858" s="78"/>
      <c r="C858" s="189"/>
      <c r="D858" s="185"/>
      <c r="E858" s="186"/>
      <c r="F858" s="187"/>
    </row>
    <row r="859" spans="1:6" x14ac:dyDescent="0.2">
      <c r="A859" s="275"/>
      <c r="B859" s="78"/>
      <c r="C859" s="189"/>
      <c r="D859" s="185"/>
      <c r="E859" s="186"/>
      <c r="F859" s="187"/>
    </row>
    <row r="860" spans="1:6" x14ac:dyDescent="0.2">
      <c r="A860" s="275"/>
      <c r="B860" s="78"/>
      <c r="C860" s="189"/>
      <c r="D860" s="185"/>
      <c r="E860" s="186"/>
      <c r="F860" s="187"/>
    </row>
    <row r="861" spans="1:6" x14ac:dyDescent="0.2">
      <c r="A861" s="275"/>
      <c r="B861" s="78"/>
      <c r="C861" s="189"/>
      <c r="D861" s="185"/>
      <c r="E861" s="186"/>
      <c r="F861" s="187"/>
    </row>
    <row r="862" spans="1:6" x14ac:dyDescent="0.2">
      <c r="A862" s="275"/>
      <c r="B862" s="78"/>
      <c r="C862" s="189"/>
      <c r="D862" s="185"/>
      <c r="E862" s="186"/>
      <c r="F862" s="187"/>
    </row>
    <row r="863" spans="1:6" x14ac:dyDescent="0.2">
      <c r="A863" s="275"/>
      <c r="B863" s="78"/>
      <c r="C863" s="189"/>
      <c r="D863" s="185"/>
      <c r="E863" s="186"/>
      <c r="F863" s="187"/>
    </row>
    <row r="864" spans="1:6" x14ac:dyDescent="0.2">
      <c r="A864" s="275"/>
      <c r="B864" s="78"/>
      <c r="C864" s="189"/>
      <c r="D864" s="185"/>
      <c r="E864" s="186"/>
      <c r="F864" s="187"/>
    </row>
    <row r="865" spans="1:6" x14ac:dyDescent="0.2">
      <c r="A865" s="275"/>
      <c r="B865" s="78"/>
      <c r="C865" s="189"/>
      <c r="D865" s="185"/>
      <c r="E865" s="186"/>
      <c r="F865" s="187"/>
    </row>
    <row r="866" spans="1:6" x14ac:dyDescent="0.2">
      <c r="A866" s="275"/>
      <c r="B866" s="78"/>
      <c r="C866" s="189"/>
      <c r="D866" s="185"/>
      <c r="E866" s="186"/>
      <c r="F866" s="187"/>
    </row>
    <row r="867" spans="1:6" x14ac:dyDescent="0.2">
      <c r="A867" s="275"/>
      <c r="B867" s="78"/>
      <c r="C867" s="189"/>
      <c r="D867" s="185"/>
      <c r="E867" s="186"/>
      <c r="F867" s="187"/>
    </row>
    <row r="868" spans="1:6" x14ac:dyDescent="0.2">
      <c r="A868" s="275"/>
      <c r="B868" s="78"/>
      <c r="C868" s="189"/>
      <c r="D868" s="185"/>
      <c r="E868" s="186"/>
      <c r="F868" s="187"/>
    </row>
    <row r="869" spans="1:6" x14ac:dyDescent="0.2">
      <c r="A869" s="275"/>
      <c r="B869" s="78"/>
      <c r="C869" s="189"/>
      <c r="D869" s="185"/>
      <c r="E869" s="186"/>
      <c r="F869" s="187"/>
    </row>
    <row r="870" spans="1:6" x14ac:dyDescent="0.2">
      <c r="A870" s="275"/>
      <c r="B870" s="78"/>
      <c r="C870" s="189"/>
      <c r="D870" s="185"/>
      <c r="E870" s="186"/>
      <c r="F870" s="187"/>
    </row>
    <row r="871" spans="1:6" x14ac:dyDescent="0.2">
      <c r="A871" s="275"/>
      <c r="B871" s="78"/>
      <c r="C871" s="189"/>
      <c r="D871" s="185"/>
      <c r="E871" s="186"/>
      <c r="F871" s="187"/>
    </row>
    <row r="872" spans="1:6" x14ac:dyDescent="0.2">
      <c r="A872" s="275"/>
      <c r="B872" s="78"/>
      <c r="C872" s="189"/>
      <c r="D872" s="185"/>
      <c r="E872" s="186"/>
      <c r="F872" s="187"/>
    </row>
    <row r="873" spans="1:6" x14ac:dyDescent="0.2">
      <c r="A873" s="275"/>
      <c r="B873" s="78"/>
      <c r="C873" s="189"/>
      <c r="D873" s="185"/>
      <c r="E873" s="186"/>
      <c r="F873" s="187"/>
    </row>
    <row r="874" spans="1:6" x14ac:dyDescent="0.2">
      <c r="A874" s="275"/>
      <c r="B874" s="78"/>
      <c r="C874" s="189"/>
      <c r="D874" s="185"/>
      <c r="E874" s="186"/>
      <c r="F874" s="187"/>
    </row>
    <row r="875" spans="1:6" x14ac:dyDescent="0.2">
      <c r="A875" s="275"/>
      <c r="B875" s="78"/>
      <c r="C875" s="189"/>
      <c r="D875" s="185"/>
      <c r="E875" s="186"/>
      <c r="F875" s="187"/>
    </row>
    <row r="876" spans="1:6" x14ac:dyDescent="0.2">
      <c r="A876" s="275"/>
      <c r="B876" s="78"/>
      <c r="C876" s="189"/>
      <c r="D876" s="185"/>
      <c r="E876" s="186"/>
      <c r="F876" s="187"/>
    </row>
    <row r="877" spans="1:6" x14ac:dyDescent="0.2">
      <c r="A877" s="275"/>
      <c r="B877" s="78"/>
      <c r="C877" s="189"/>
      <c r="D877" s="185"/>
      <c r="E877" s="186"/>
      <c r="F877" s="187"/>
    </row>
    <row r="878" spans="1:6" x14ac:dyDescent="0.2">
      <c r="A878" s="275"/>
      <c r="B878" s="78"/>
      <c r="C878" s="189"/>
      <c r="D878" s="185"/>
      <c r="E878" s="186"/>
      <c r="F878" s="187"/>
    </row>
    <row r="879" spans="1:6" x14ac:dyDescent="0.2">
      <c r="A879" s="275"/>
      <c r="B879" s="78"/>
      <c r="C879" s="189"/>
      <c r="D879" s="185"/>
      <c r="E879" s="186"/>
      <c r="F879" s="187"/>
    </row>
    <row r="880" spans="1:6" x14ac:dyDescent="0.2">
      <c r="A880" s="275"/>
      <c r="B880" s="78"/>
      <c r="C880" s="189"/>
      <c r="D880" s="185"/>
      <c r="E880" s="186"/>
      <c r="F880" s="187"/>
    </row>
    <row r="881" spans="1:6" x14ac:dyDescent="0.2">
      <c r="A881" s="275"/>
      <c r="B881" s="78"/>
      <c r="C881" s="189"/>
      <c r="D881" s="185"/>
      <c r="E881" s="186"/>
      <c r="F881" s="187"/>
    </row>
    <row r="882" spans="1:6" x14ac:dyDescent="0.2">
      <c r="A882" s="275"/>
      <c r="B882" s="78"/>
      <c r="C882" s="189"/>
      <c r="D882" s="185"/>
      <c r="E882" s="186"/>
      <c r="F882" s="187"/>
    </row>
    <row r="883" spans="1:6" x14ac:dyDescent="0.2">
      <c r="A883" s="275"/>
      <c r="B883" s="78"/>
      <c r="C883" s="189"/>
      <c r="D883" s="185"/>
      <c r="E883" s="186"/>
      <c r="F883" s="187"/>
    </row>
    <row r="884" spans="1:6" x14ac:dyDescent="0.2">
      <c r="A884" s="275"/>
      <c r="B884" s="78"/>
      <c r="C884" s="189"/>
      <c r="D884" s="185"/>
      <c r="E884" s="186"/>
      <c r="F884" s="187"/>
    </row>
    <row r="885" spans="1:6" x14ac:dyDescent="0.2">
      <c r="A885" s="275"/>
      <c r="B885" s="78"/>
      <c r="C885" s="189"/>
      <c r="D885" s="185"/>
      <c r="E885" s="186"/>
      <c r="F885" s="187"/>
    </row>
    <row r="886" spans="1:6" x14ac:dyDescent="0.2">
      <c r="A886" s="275"/>
      <c r="B886" s="78"/>
      <c r="C886" s="189"/>
      <c r="D886" s="185"/>
      <c r="E886" s="186"/>
      <c r="F886" s="187"/>
    </row>
    <row r="887" spans="1:6" x14ac:dyDescent="0.2">
      <c r="A887" s="275"/>
      <c r="B887" s="78"/>
      <c r="C887" s="189"/>
      <c r="D887" s="185"/>
      <c r="E887" s="186"/>
      <c r="F887" s="187"/>
    </row>
    <row r="888" spans="1:6" x14ac:dyDescent="0.2">
      <c r="A888" s="275"/>
      <c r="B888" s="78"/>
      <c r="C888" s="189"/>
      <c r="D888" s="185"/>
      <c r="E888" s="186"/>
      <c r="F888" s="187"/>
    </row>
    <row r="889" spans="1:6" x14ac:dyDescent="0.2">
      <c r="A889" s="275"/>
      <c r="B889" s="78"/>
      <c r="C889" s="189"/>
      <c r="D889" s="185"/>
      <c r="E889" s="186"/>
      <c r="F889" s="187"/>
    </row>
    <row r="890" spans="1:6" x14ac:dyDescent="0.2">
      <c r="A890" s="275"/>
      <c r="B890" s="78"/>
      <c r="C890" s="189"/>
      <c r="D890" s="185"/>
      <c r="E890" s="186"/>
      <c r="F890" s="187"/>
    </row>
    <row r="891" spans="1:6" x14ac:dyDescent="0.2">
      <c r="A891" s="275"/>
      <c r="B891" s="78"/>
      <c r="C891" s="189"/>
      <c r="D891" s="185"/>
      <c r="E891" s="186"/>
      <c r="F891" s="187"/>
    </row>
    <row r="892" spans="1:6" x14ac:dyDescent="0.2">
      <c r="A892" s="275"/>
      <c r="B892" s="78"/>
      <c r="C892" s="189"/>
      <c r="D892" s="185"/>
      <c r="E892" s="186"/>
      <c r="F892" s="187"/>
    </row>
    <row r="893" spans="1:6" x14ac:dyDescent="0.2">
      <c r="A893" s="275"/>
      <c r="B893" s="78"/>
      <c r="C893" s="189"/>
      <c r="D893" s="185"/>
      <c r="E893" s="186"/>
      <c r="F893" s="187"/>
    </row>
    <row r="894" spans="1:6" x14ac:dyDescent="0.2">
      <c r="A894" s="275"/>
      <c r="B894" s="78"/>
      <c r="C894" s="189"/>
      <c r="D894" s="185"/>
      <c r="E894" s="186"/>
      <c r="F894" s="187"/>
    </row>
    <row r="895" spans="1:6" x14ac:dyDescent="0.2">
      <c r="A895" s="275"/>
      <c r="B895" s="78"/>
      <c r="C895" s="189"/>
      <c r="D895" s="185"/>
      <c r="E895" s="186"/>
      <c r="F895" s="187"/>
    </row>
    <row r="896" spans="1:6" x14ac:dyDescent="0.2">
      <c r="A896" s="275"/>
      <c r="B896" s="78"/>
      <c r="C896" s="189"/>
      <c r="D896" s="185"/>
      <c r="E896" s="186"/>
      <c r="F896" s="187"/>
    </row>
    <row r="897" spans="1:6" x14ac:dyDescent="0.2">
      <c r="A897" s="275"/>
      <c r="B897" s="78"/>
      <c r="C897" s="189"/>
      <c r="D897" s="185"/>
      <c r="E897" s="186"/>
      <c r="F897" s="187"/>
    </row>
    <row r="898" spans="1:6" x14ac:dyDescent="0.2">
      <c r="A898" s="275"/>
      <c r="B898" s="78"/>
      <c r="C898" s="189"/>
      <c r="D898" s="185"/>
      <c r="E898" s="186"/>
      <c r="F898" s="187"/>
    </row>
    <row r="899" spans="1:6" x14ac:dyDescent="0.2">
      <c r="A899" s="275"/>
      <c r="B899" s="78"/>
      <c r="C899" s="189"/>
      <c r="D899" s="185"/>
      <c r="E899" s="186"/>
      <c r="F899" s="187"/>
    </row>
    <row r="900" spans="1:6" x14ac:dyDescent="0.2">
      <c r="A900" s="275"/>
      <c r="B900" s="78"/>
      <c r="C900" s="189"/>
      <c r="D900" s="185"/>
      <c r="E900" s="186"/>
      <c r="F900" s="187"/>
    </row>
    <row r="901" spans="1:6" x14ac:dyDescent="0.2">
      <c r="A901" s="275"/>
      <c r="B901" s="78"/>
      <c r="C901" s="189"/>
      <c r="D901" s="185"/>
      <c r="E901" s="186"/>
      <c r="F901" s="187"/>
    </row>
    <row r="902" spans="1:6" x14ac:dyDescent="0.2">
      <c r="A902" s="275"/>
      <c r="B902" s="78"/>
      <c r="C902" s="189"/>
      <c r="D902" s="185"/>
      <c r="E902" s="186"/>
      <c r="F902" s="187"/>
    </row>
    <row r="903" spans="1:6" x14ac:dyDescent="0.2">
      <c r="A903" s="275"/>
      <c r="B903" s="78"/>
      <c r="C903" s="189"/>
      <c r="D903" s="185"/>
      <c r="E903" s="186"/>
      <c r="F903" s="187"/>
    </row>
    <row r="904" spans="1:6" x14ac:dyDescent="0.2">
      <c r="A904" s="275"/>
      <c r="B904" s="78"/>
      <c r="C904" s="189"/>
      <c r="D904" s="185"/>
      <c r="E904" s="186"/>
      <c r="F904" s="187"/>
    </row>
    <row r="905" spans="1:6" x14ac:dyDescent="0.2">
      <c r="A905" s="275"/>
      <c r="B905" s="78"/>
      <c r="C905" s="189"/>
      <c r="D905" s="185"/>
      <c r="E905" s="186"/>
      <c r="F905" s="187"/>
    </row>
    <row r="906" spans="1:6" x14ac:dyDescent="0.2">
      <c r="A906" s="275"/>
      <c r="B906" s="78"/>
      <c r="C906" s="189"/>
      <c r="D906" s="185"/>
      <c r="E906" s="186"/>
      <c r="F906" s="187"/>
    </row>
    <row r="907" spans="1:6" x14ac:dyDescent="0.2">
      <c r="A907" s="275"/>
      <c r="B907" s="78"/>
      <c r="C907" s="189"/>
      <c r="D907" s="185"/>
      <c r="E907" s="186"/>
      <c r="F907" s="187"/>
    </row>
    <row r="908" spans="1:6" x14ac:dyDescent="0.2">
      <c r="A908" s="275"/>
      <c r="B908" s="78"/>
      <c r="C908" s="189"/>
      <c r="D908" s="185"/>
      <c r="E908" s="186"/>
      <c r="F908" s="187"/>
    </row>
    <row r="909" spans="1:6" x14ac:dyDescent="0.2">
      <c r="A909" s="275"/>
      <c r="B909" s="78"/>
      <c r="C909" s="189"/>
      <c r="D909" s="185"/>
      <c r="E909" s="186"/>
      <c r="F909" s="187"/>
    </row>
    <row r="910" spans="1:6" x14ac:dyDescent="0.2">
      <c r="A910" s="275"/>
      <c r="B910" s="78"/>
      <c r="C910" s="189"/>
      <c r="D910" s="185"/>
      <c r="E910" s="186"/>
      <c r="F910" s="187"/>
    </row>
    <row r="911" spans="1:6" x14ac:dyDescent="0.2">
      <c r="A911" s="275"/>
      <c r="B911" s="78"/>
      <c r="C911" s="189"/>
      <c r="D911" s="185"/>
      <c r="E911" s="186"/>
      <c r="F911" s="187"/>
    </row>
    <row r="912" spans="1:6" x14ac:dyDescent="0.2">
      <c r="A912" s="275"/>
      <c r="B912" s="78"/>
      <c r="C912" s="189"/>
      <c r="D912" s="185"/>
      <c r="E912" s="186"/>
      <c r="F912" s="187"/>
    </row>
    <row r="913" spans="1:6" x14ac:dyDescent="0.2">
      <c r="A913" s="275"/>
      <c r="B913" s="78"/>
      <c r="C913" s="189"/>
      <c r="D913" s="185"/>
      <c r="E913" s="186"/>
      <c r="F913" s="187"/>
    </row>
    <row r="914" spans="1:6" x14ac:dyDescent="0.2">
      <c r="A914" s="275"/>
      <c r="B914" s="78"/>
      <c r="C914" s="189"/>
      <c r="D914" s="185"/>
      <c r="E914" s="186"/>
      <c r="F914" s="187"/>
    </row>
    <row r="915" spans="1:6" x14ac:dyDescent="0.2">
      <c r="A915" s="275"/>
      <c r="B915" s="78"/>
      <c r="C915" s="189"/>
      <c r="D915" s="185"/>
      <c r="E915" s="186"/>
      <c r="F915" s="187"/>
    </row>
    <row r="916" spans="1:6" x14ac:dyDescent="0.2">
      <c r="A916" s="275"/>
      <c r="B916" s="78"/>
      <c r="C916" s="189"/>
      <c r="D916" s="185"/>
      <c r="E916" s="186"/>
      <c r="F916" s="187"/>
    </row>
    <row r="917" spans="1:6" x14ac:dyDescent="0.2">
      <c r="A917" s="275"/>
      <c r="B917" s="78"/>
      <c r="C917" s="189"/>
      <c r="D917" s="185"/>
      <c r="E917" s="186"/>
      <c r="F917" s="187"/>
    </row>
    <row r="918" spans="1:6" x14ac:dyDescent="0.2">
      <c r="A918" s="275"/>
      <c r="B918" s="78"/>
      <c r="C918" s="189"/>
      <c r="D918" s="185"/>
      <c r="E918" s="186"/>
      <c r="F918" s="187"/>
    </row>
    <row r="919" spans="1:6" x14ac:dyDescent="0.2">
      <c r="A919" s="275"/>
      <c r="B919" s="78"/>
      <c r="C919" s="189"/>
      <c r="D919" s="185"/>
      <c r="E919" s="186"/>
      <c r="F919" s="187"/>
    </row>
    <row r="920" spans="1:6" x14ac:dyDescent="0.2">
      <c r="A920" s="275"/>
      <c r="B920" s="78"/>
      <c r="C920" s="189"/>
      <c r="D920" s="185"/>
      <c r="E920" s="186"/>
      <c r="F920" s="187"/>
    </row>
    <row r="921" spans="1:6" x14ac:dyDescent="0.2">
      <c r="A921" s="275"/>
      <c r="B921" s="78"/>
      <c r="C921" s="189"/>
      <c r="D921" s="185"/>
      <c r="E921" s="186"/>
      <c r="F921" s="187"/>
    </row>
    <row r="922" spans="1:6" x14ac:dyDescent="0.2">
      <c r="A922" s="275"/>
      <c r="B922" s="78"/>
      <c r="C922" s="189"/>
      <c r="D922" s="185"/>
      <c r="E922" s="186"/>
      <c r="F922" s="187"/>
    </row>
    <row r="923" spans="1:6" x14ac:dyDescent="0.2">
      <c r="A923" s="275"/>
      <c r="B923" s="78"/>
      <c r="C923" s="189"/>
      <c r="D923" s="185"/>
      <c r="E923" s="186"/>
      <c r="F923" s="187"/>
    </row>
    <row r="924" spans="1:6" x14ac:dyDescent="0.2">
      <c r="A924" s="275"/>
      <c r="B924" s="78"/>
      <c r="C924" s="189"/>
      <c r="D924" s="185"/>
      <c r="E924" s="186"/>
      <c r="F924" s="187"/>
    </row>
    <row r="925" spans="1:6" x14ac:dyDescent="0.2">
      <c r="A925" s="275"/>
      <c r="B925" s="78"/>
      <c r="C925" s="189"/>
      <c r="D925" s="185"/>
      <c r="E925" s="186"/>
      <c r="F925" s="187"/>
    </row>
    <row r="926" spans="1:6" x14ac:dyDescent="0.2">
      <c r="A926" s="275"/>
      <c r="B926" s="78"/>
      <c r="C926" s="189"/>
      <c r="D926" s="185"/>
      <c r="E926" s="186"/>
      <c r="F926" s="187"/>
    </row>
    <row r="927" spans="1:6" x14ac:dyDescent="0.2">
      <c r="A927" s="275"/>
      <c r="B927" s="78"/>
      <c r="C927" s="189"/>
      <c r="D927" s="185"/>
      <c r="E927" s="186"/>
      <c r="F927" s="187"/>
    </row>
    <row r="928" spans="1:6" x14ac:dyDescent="0.2">
      <c r="A928" s="275"/>
      <c r="B928" s="78"/>
      <c r="C928" s="189"/>
      <c r="D928" s="185"/>
      <c r="E928" s="186"/>
      <c r="F928" s="187"/>
    </row>
    <row r="929" spans="1:6" x14ac:dyDescent="0.2">
      <c r="A929" s="275"/>
      <c r="B929" s="78"/>
      <c r="C929" s="189"/>
      <c r="D929" s="185"/>
      <c r="E929" s="186"/>
      <c r="F929" s="187"/>
    </row>
    <row r="930" spans="1:6" x14ac:dyDescent="0.2">
      <c r="A930" s="275"/>
      <c r="B930" s="78"/>
      <c r="C930" s="189"/>
      <c r="D930" s="185"/>
      <c r="E930" s="186"/>
      <c r="F930" s="187"/>
    </row>
    <row r="931" spans="1:6" x14ac:dyDescent="0.2">
      <c r="A931" s="275"/>
      <c r="B931" s="78"/>
      <c r="C931" s="189"/>
      <c r="D931" s="185"/>
      <c r="E931" s="186"/>
      <c r="F931" s="187"/>
    </row>
    <row r="932" spans="1:6" x14ac:dyDescent="0.2">
      <c r="A932" s="275"/>
      <c r="B932" s="78"/>
      <c r="C932" s="189"/>
      <c r="D932" s="185"/>
      <c r="E932" s="186"/>
      <c r="F932" s="187"/>
    </row>
    <row r="933" spans="1:6" x14ac:dyDescent="0.2">
      <c r="A933" s="275"/>
      <c r="B933" s="78"/>
      <c r="C933" s="189"/>
      <c r="D933" s="185"/>
      <c r="E933" s="186"/>
      <c r="F933" s="187"/>
    </row>
    <row r="934" spans="1:6" x14ac:dyDescent="0.2">
      <c r="A934" s="275"/>
      <c r="B934" s="78"/>
      <c r="C934" s="189"/>
      <c r="D934" s="185"/>
      <c r="E934" s="186"/>
      <c r="F934" s="187"/>
    </row>
    <row r="935" spans="1:6" x14ac:dyDescent="0.2">
      <c r="A935" s="275"/>
      <c r="B935" s="78"/>
      <c r="C935" s="189"/>
      <c r="D935" s="185"/>
      <c r="E935" s="186"/>
      <c r="F935" s="187"/>
    </row>
    <row r="936" spans="1:6" x14ac:dyDescent="0.2">
      <c r="A936" s="275"/>
      <c r="B936" s="78"/>
      <c r="C936" s="189"/>
      <c r="D936" s="185"/>
      <c r="E936" s="186"/>
      <c r="F936" s="187"/>
    </row>
    <row r="937" spans="1:6" x14ac:dyDescent="0.2">
      <c r="A937" s="275"/>
      <c r="B937" s="78"/>
      <c r="C937" s="189"/>
      <c r="D937" s="185"/>
      <c r="E937" s="186"/>
      <c r="F937" s="187"/>
    </row>
    <row r="938" spans="1:6" x14ac:dyDescent="0.2">
      <c r="A938" s="275"/>
      <c r="B938" s="78"/>
      <c r="C938" s="189"/>
      <c r="D938" s="185"/>
      <c r="E938" s="186"/>
      <c r="F938" s="187"/>
    </row>
    <row r="939" spans="1:6" x14ac:dyDescent="0.2">
      <c r="A939" s="275"/>
      <c r="B939" s="78"/>
      <c r="C939" s="189"/>
      <c r="D939" s="185"/>
      <c r="E939" s="186"/>
      <c r="F939" s="187"/>
    </row>
    <row r="940" spans="1:6" x14ac:dyDescent="0.2">
      <c r="A940" s="275"/>
      <c r="B940" s="78"/>
      <c r="C940" s="189"/>
      <c r="D940" s="185"/>
      <c r="E940" s="186"/>
      <c r="F940" s="187"/>
    </row>
    <row r="941" spans="1:6" x14ac:dyDescent="0.2">
      <c r="A941" s="275"/>
      <c r="B941" s="78"/>
      <c r="C941" s="189"/>
      <c r="D941" s="185"/>
      <c r="E941" s="186"/>
      <c r="F941" s="187"/>
    </row>
    <row r="942" spans="1:6" x14ac:dyDescent="0.2">
      <c r="A942" s="275"/>
      <c r="B942" s="78"/>
      <c r="C942" s="189"/>
      <c r="D942" s="185"/>
      <c r="E942" s="186"/>
      <c r="F942" s="187"/>
    </row>
    <row r="943" spans="1:6" x14ac:dyDescent="0.2">
      <c r="A943" s="275"/>
      <c r="B943" s="78"/>
      <c r="C943" s="189"/>
      <c r="D943" s="185"/>
      <c r="E943" s="186"/>
      <c r="F943" s="187"/>
    </row>
    <row r="944" spans="1:6" x14ac:dyDescent="0.2">
      <c r="A944" s="275"/>
      <c r="B944" s="78"/>
      <c r="C944" s="189"/>
      <c r="D944" s="185"/>
      <c r="E944" s="186"/>
      <c r="F944" s="187"/>
    </row>
    <row r="945" spans="1:6" x14ac:dyDescent="0.2">
      <c r="A945" s="275"/>
      <c r="B945" s="78"/>
      <c r="C945" s="189"/>
      <c r="D945" s="185"/>
      <c r="E945" s="186"/>
      <c r="F945" s="187"/>
    </row>
    <row r="946" spans="1:6" x14ac:dyDescent="0.2">
      <c r="A946" s="275"/>
      <c r="B946" s="78"/>
      <c r="C946" s="189"/>
      <c r="D946" s="185"/>
      <c r="E946" s="186"/>
      <c r="F946" s="187"/>
    </row>
    <row r="947" spans="1:6" x14ac:dyDescent="0.2">
      <c r="A947" s="275"/>
      <c r="B947" s="78"/>
      <c r="C947" s="189"/>
      <c r="D947" s="185"/>
      <c r="E947" s="186"/>
      <c r="F947" s="187"/>
    </row>
    <row r="948" spans="1:6" x14ac:dyDescent="0.2">
      <c r="A948" s="275"/>
      <c r="B948" s="78"/>
      <c r="C948" s="189"/>
      <c r="D948" s="185"/>
      <c r="E948" s="186"/>
      <c r="F948" s="187"/>
    </row>
    <row r="949" spans="1:6" x14ac:dyDescent="0.2">
      <c r="A949" s="275"/>
      <c r="B949" s="78"/>
      <c r="C949" s="189"/>
      <c r="D949" s="185"/>
      <c r="E949" s="186"/>
      <c r="F949" s="187"/>
    </row>
    <row r="950" spans="1:6" x14ac:dyDescent="0.2">
      <c r="A950" s="275"/>
      <c r="B950" s="78"/>
      <c r="C950" s="189"/>
      <c r="D950" s="185"/>
      <c r="E950" s="186"/>
      <c r="F950" s="187"/>
    </row>
    <row r="951" spans="1:6" x14ac:dyDescent="0.2">
      <c r="A951" s="275"/>
      <c r="B951" s="78"/>
      <c r="C951" s="189"/>
      <c r="D951" s="185"/>
      <c r="E951" s="186"/>
      <c r="F951" s="187"/>
    </row>
    <row r="952" spans="1:6" x14ac:dyDescent="0.2">
      <c r="A952" s="275"/>
      <c r="B952" s="78"/>
      <c r="C952" s="189"/>
      <c r="D952" s="185"/>
      <c r="E952" s="186"/>
      <c r="F952" s="187"/>
    </row>
    <row r="953" spans="1:6" x14ac:dyDescent="0.2">
      <c r="A953" s="275"/>
      <c r="B953" s="78"/>
      <c r="C953" s="189"/>
      <c r="D953" s="185"/>
      <c r="E953" s="186"/>
      <c r="F953" s="187"/>
    </row>
    <row r="954" spans="1:6" x14ac:dyDescent="0.2">
      <c r="A954" s="275"/>
      <c r="B954" s="78"/>
      <c r="C954" s="189"/>
      <c r="D954" s="185"/>
      <c r="E954" s="186"/>
      <c r="F954" s="187"/>
    </row>
    <row r="955" spans="1:6" x14ac:dyDescent="0.2">
      <c r="A955" s="275"/>
      <c r="B955" s="78"/>
      <c r="C955" s="189"/>
      <c r="D955" s="185"/>
      <c r="E955" s="186"/>
      <c r="F955" s="187"/>
    </row>
    <row r="956" spans="1:6" x14ac:dyDescent="0.2">
      <c r="A956" s="275"/>
      <c r="B956" s="78"/>
      <c r="C956" s="189"/>
      <c r="D956" s="185"/>
      <c r="E956" s="186"/>
      <c r="F956" s="187"/>
    </row>
    <row r="957" spans="1:6" x14ac:dyDescent="0.2">
      <c r="A957" s="275"/>
      <c r="B957" s="78"/>
      <c r="C957" s="189"/>
      <c r="D957" s="185"/>
      <c r="E957" s="186"/>
      <c r="F957" s="187"/>
    </row>
    <row r="958" spans="1:6" x14ac:dyDescent="0.2">
      <c r="A958" s="275"/>
      <c r="B958" s="78"/>
      <c r="C958" s="189"/>
      <c r="D958" s="185"/>
      <c r="E958" s="186"/>
      <c r="F958" s="187"/>
    </row>
    <row r="959" spans="1:6" x14ac:dyDescent="0.2">
      <c r="A959" s="275"/>
      <c r="B959" s="78"/>
      <c r="C959" s="189"/>
      <c r="D959" s="185"/>
      <c r="E959" s="186"/>
      <c r="F959" s="187"/>
    </row>
    <row r="960" spans="1:6" x14ac:dyDescent="0.2">
      <c r="A960" s="275"/>
      <c r="B960" s="78"/>
      <c r="C960" s="189"/>
      <c r="D960" s="185"/>
      <c r="E960" s="186"/>
      <c r="F960" s="187"/>
    </row>
    <row r="961" spans="1:6" x14ac:dyDescent="0.2">
      <c r="A961" s="275"/>
      <c r="B961" s="78"/>
      <c r="C961" s="189"/>
      <c r="D961" s="185"/>
      <c r="E961" s="186"/>
      <c r="F961" s="187"/>
    </row>
    <row r="962" spans="1:6" x14ac:dyDescent="0.2">
      <c r="A962" s="275"/>
      <c r="B962" s="78"/>
      <c r="C962" s="189"/>
      <c r="D962" s="185"/>
      <c r="E962" s="186"/>
      <c r="F962" s="187"/>
    </row>
    <row r="963" spans="1:6" x14ac:dyDescent="0.2">
      <c r="A963" s="275"/>
      <c r="B963" s="78"/>
      <c r="C963" s="189"/>
      <c r="D963" s="185"/>
      <c r="E963" s="186"/>
      <c r="F963" s="187"/>
    </row>
    <row r="964" spans="1:6" x14ac:dyDescent="0.2">
      <c r="A964" s="275"/>
      <c r="B964" s="78"/>
      <c r="C964" s="189"/>
      <c r="D964" s="185"/>
      <c r="E964" s="186"/>
      <c r="F964" s="187"/>
    </row>
    <row r="965" spans="1:6" x14ac:dyDescent="0.2">
      <c r="A965" s="275"/>
      <c r="B965" s="78"/>
      <c r="C965" s="189"/>
      <c r="D965" s="185"/>
      <c r="E965" s="186"/>
      <c r="F965" s="187"/>
    </row>
    <row r="966" spans="1:6" x14ac:dyDescent="0.2">
      <c r="A966" s="275"/>
      <c r="B966" s="78"/>
      <c r="C966" s="189"/>
      <c r="D966" s="185"/>
      <c r="E966" s="186"/>
      <c r="F966" s="187"/>
    </row>
    <row r="967" spans="1:6" x14ac:dyDescent="0.2">
      <c r="A967" s="275"/>
      <c r="B967" s="78"/>
      <c r="C967" s="189"/>
      <c r="D967" s="185"/>
      <c r="E967" s="186"/>
      <c r="F967" s="187"/>
    </row>
    <row r="968" spans="1:6" x14ac:dyDescent="0.2">
      <c r="A968" s="275"/>
      <c r="B968" s="78"/>
      <c r="C968" s="189"/>
      <c r="D968" s="185"/>
      <c r="E968" s="186"/>
      <c r="F968" s="187"/>
    </row>
    <row r="969" spans="1:6" x14ac:dyDescent="0.2">
      <c r="A969" s="275"/>
      <c r="B969" s="78"/>
      <c r="C969" s="189"/>
      <c r="D969" s="185"/>
      <c r="E969" s="186"/>
      <c r="F969" s="187"/>
    </row>
    <row r="970" spans="1:6" x14ac:dyDescent="0.2">
      <c r="A970" s="275"/>
      <c r="B970" s="78"/>
      <c r="C970" s="189"/>
      <c r="D970" s="185"/>
      <c r="E970" s="186"/>
      <c r="F970" s="187"/>
    </row>
    <row r="971" spans="1:6" x14ac:dyDescent="0.2">
      <c r="A971" s="275"/>
      <c r="B971" s="78"/>
      <c r="C971" s="189"/>
      <c r="D971" s="185"/>
      <c r="E971" s="186"/>
      <c r="F971" s="187"/>
    </row>
    <row r="972" spans="1:6" x14ac:dyDescent="0.2">
      <c r="A972" s="275"/>
      <c r="B972" s="78"/>
      <c r="C972" s="189"/>
      <c r="D972" s="185"/>
      <c r="E972" s="186"/>
      <c r="F972" s="187"/>
    </row>
    <row r="973" spans="1:6" x14ac:dyDescent="0.2">
      <c r="A973" s="275"/>
      <c r="B973" s="78"/>
      <c r="C973" s="189"/>
      <c r="D973" s="185"/>
      <c r="E973" s="186"/>
      <c r="F973" s="187"/>
    </row>
    <row r="974" spans="1:6" x14ac:dyDescent="0.2">
      <c r="A974" s="275"/>
      <c r="B974" s="78"/>
      <c r="C974" s="189"/>
      <c r="D974" s="185"/>
      <c r="E974" s="186"/>
      <c r="F974" s="187"/>
    </row>
    <row r="975" spans="1:6" x14ac:dyDescent="0.2">
      <c r="A975" s="275"/>
      <c r="B975" s="78"/>
      <c r="C975" s="189"/>
      <c r="D975" s="185"/>
      <c r="E975" s="186"/>
      <c r="F975" s="187"/>
    </row>
    <row r="976" spans="1:6" x14ac:dyDescent="0.2">
      <c r="A976" s="275"/>
      <c r="B976" s="78"/>
      <c r="C976" s="189"/>
      <c r="D976" s="185"/>
      <c r="E976" s="186"/>
      <c r="F976" s="187"/>
    </row>
    <row r="977" spans="1:6" x14ac:dyDescent="0.2">
      <c r="A977" s="275"/>
      <c r="B977" s="78"/>
      <c r="C977" s="189"/>
      <c r="D977" s="185"/>
      <c r="E977" s="186"/>
      <c r="F977" s="187"/>
    </row>
    <row r="978" spans="1:6" x14ac:dyDescent="0.2">
      <c r="A978" s="275"/>
      <c r="B978" s="78"/>
      <c r="C978" s="189"/>
      <c r="D978" s="185"/>
      <c r="E978" s="186"/>
      <c r="F978" s="187"/>
    </row>
    <row r="979" spans="1:6" x14ac:dyDescent="0.2">
      <c r="A979" s="275"/>
      <c r="B979" s="78"/>
      <c r="C979" s="189"/>
      <c r="D979" s="185"/>
      <c r="E979" s="186"/>
      <c r="F979" s="187"/>
    </row>
    <row r="980" spans="1:6" x14ac:dyDescent="0.2">
      <c r="A980" s="275"/>
      <c r="B980" s="78"/>
      <c r="C980" s="189"/>
      <c r="D980" s="185"/>
      <c r="E980" s="186"/>
      <c r="F980" s="187"/>
    </row>
    <row r="981" spans="1:6" x14ac:dyDescent="0.2">
      <c r="A981" s="275"/>
      <c r="B981" s="78"/>
      <c r="C981" s="189"/>
      <c r="D981" s="185"/>
      <c r="E981" s="186"/>
      <c r="F981" s="187"/>
    </row>
    <row r="982" spans="1:6" x14ac:dyDescent="0.2">
      <c r="A982" s="275"/>
      <c r="B982" s="78"/>
      <c r="C982" s="189"/>
      <c r="D982" s="185"/>
      <c r="E982" s="186"/>
      <c r="F982" s="187"/>
    </row>
    <row r="983" spans="1:6" x14ac:dyDescent="0.2">
      <c r="A983" s="275"/>
      <c r="B983" s="78"/>
      <c r="C983" s="189"/>
      <c r="D983" s="185"/>
      <c r="E983" s="186"/>
      <c r="F983" s="187"/>
    </row>
    <row r="984" spans="1:6" x14ac:dyDescent="0.2">
      <c r="A984" s="275"/>
      <c r="B984" s="78"/>
      <c r="C984" s="189"/>
      <c r="D984" s="185"/>
      <c r="E984" s="186"/>
      <c r="F984" s="187"/>
    </row>
    <row r="985" spans="1:6" x14ac:dyDescent="0.2">
      <c r="A985" s="275"/>
      <c r="B985" s="78"/>
      <c r="C985" s="189"/>
      <c r="D985" s="185"/>
      <c r="E985" s="186"/>
      <c r="F985" s="187"/>
    </row>
    <row r="986" spans="1:6" x14ac:dyDescent="0.2">
      <c r="A986" s="275"/>
      <c r="B986" s="78"/>
      <c r="C986" s="189"/>
      <c r="D986" s="185"/>
      <c r="E986" s="186"/>
      <c r="F986" s="187"/>
    </row>
    <row r="987" spans="1:6" x14ac:dyDescent="0.2">
      <c r="A987" s="275"/>
      <c r="B987" s="78"/>
      <c r="C987" s="189"/>
      <c r="D987" s="185"/>
      <c r="E987" s="186"/>
      <c r="F987" s="187"/>
    </row>
    <row r="988" spans="1:6" x14ac:dyDescent="0.2">
      <c r="A988" s="275"/>
      <c r="B988" s="78"/>
      <c r="C988" s="189"/>
      <c r="D988" s="185"/>
      <c r="E988" s="186"/>
      <c r="F988" s="187"/>
    </row>
    <row r="989" spans="1:6" x14ac:dyDescent="0.2">
      <c r="A989" s="275"/>
      <c r="B989" s="78"/>
      <c r="C989" s="189"/>
      <c r="D989" s="185"/>
      <c r="E989" s="186"/>
      <c r="F989" s="187"/>
    </row>
    <row r="990" spans="1:6" x14ac:dyDescent="0.2">
      <c r="A990" s="275"/>
      <c r="B990" s="78"/>
      <c r="C990" s="189"/>
      <c r="D990" s="185"/>
      <c r="E990" s="186"/>
      <c r="F990" s="187"/>
    </row>
    <row r="991" spans="1:6" x14ac:dyDescent="0.2">
      <c r="A991" s="275"/>
      <c r="B991" s="78"/>
      <c r="C991" s="189"/>
      <c r="D991" s="185"/>
      <c r="E991" s="186"/>
      <c r="F991" s="187"/>
    </row>
    <row r="992" spans="1:6" x14ac:dyDescent="0.2">
      <c r="A992" s="275"/>
      <c r="B992" s="78"/>
      <c r="C992" s="189"/>
      <c r="D992" s="185"/>
      <c r="E992" s="186"/>
      <c r="F992" s="187"/>
    </row>
    <row r="993" spans="1:6" x14ac:dyDescent="0.2">
      <c r="A993" s="275"/>
      <c r="B993" s="78"/>
      <c r="C993" s="189"/>
      <c r="D993" s="185"/>
      <c r="E993" s="186"/>
      <c r="F993" s="187"/>
    </row>
    <row r="994" spans="1:6" x14ac:dyDescent="0.2">
      <c r="A994" s="275"/>
      <c r="B994" s="78"/>
      <c r="C994" s="189"/>
      <c r="D994" s="185"/>
      <c r="E994" s="186"/>
      <c r="F994" s="187"/>
    </row>
    <row r="995" spans="1:6" x14ac:dyDescent="0.2">
      <c r="A995" s="275"/>
      <c r="B995" s="78"/>
      <c r="C995" s="189"/>
      <c r="D995" s="185"/>
      <c r="E995" s="186"/>
      <c r="F995" s="187"/>
    </row>
    <row r="996" spans="1:6" x14ac:dyDescent="0.2">
      <c r="A996" s="275"/>
      <c r="B996" s="78"/>
      <c r="C996" s="189"/>
      <c r="D996" s="185"/>
      <c r="E996" s="186"/>
      <c r="F996" s="187"/>
    </row>
    <row r="997" spans="1:6" x14ac:dyDescent="0.2">
      <c r="A997" s="275"/>
      <c r="B997" s="78"/>
      <c r="C997" s="189"/>
      <c r="D997" s="185"/>
      <c r="E997" s="186"/>
      <c r="F997" s="187"/>
    </row>
    <row r="998" spans="1:6" x14ac:dyDescent="0.2">
      <c r="A998" s="275"/>
      <c r="B998" s="78"/>
      <c r="C998" s="189"/>
      <c r="D998" s="185"/>
      <c r="E998" s="186"/>
      <c r="F998" s="187"/>
    </row>
    <row r="999" spans="1:6" x14ac:dyDescent="0.2">
      <c r="A999" s="275"/>
      <c r="B999" s="78"/>
      <c r="C999" s="189"/>
      <c r="D999" s="185"/>
      <c r="E999" s="186"/>
      <c r="F999" s="187"/>
    </row>
    <row r="1000" spans="1:6" x14ac:dyDescent="0.2">
      <c r="A1000" s="275"/>
      <c r="B1000" s="78"/>
      <c r="C1000" s="189"/>
      <c r="D1000" s="185"/>
      <c r="E1000" s="186"/>
      <c r="F1000" s="187"/>
    </row>
    <row r="1001" spans="1:6" x14ac:dyDescent="0.2">
      <c r="A1001" s="275"/>
      <c r="B1001" s="78"/>
      <c r="C1001" s="189"/>
      <c r="D1001" s="185"/>
      <c r="E1001" s="186"/>
      <c r="F1001" s="187"/>
    </row>
    <row r="1002" spans="1:6" x14ac:dyDescent="0.2">
      <c r="A1002" s="275"/>
      <c r="B1002" s="78"/>
      <c r="C1002" s="189"/>
      <c r="D1002" s="185"/>
      <c r="E1002" s="186"/>
      <c r="F1002" s="187"/>
    </row>
    <row r="1003" spans="1:6" x14ac:dyDescent="0.2">
      <c r="A1003" s="275"/>
      <c r="B1003" s="78"/>
      <c r="C1003" s="189"/>
      <c r="D1003" s="185"/>
      <c r="E1003" s="186"/>
      <c r="F1003" s="187"/>
    </row>
    <row r="1004" spans="1:6" x14ac:dyDescent="0.2">
      <c r="A1004" s="275"/>
      <c r="B1004" s="78"/>
      <c r="C1004" s="189"/>
      <c r="D1004" s="185"/>
      <c r="E1004" s="186"/>
      <c r="F1004" s="187"/>
    </row>
    <row r="1005" spans="1:6" x14ac:dyDescent="0.2">
      <c r="A1005" s="275"/>
      <c r="B1005" s="78"/>
      <c r="C1005" s="189"/>
      <c r="D1005" s="185"/>
      <c r="E1005" s="186"/>
      <c r="F1005" s="187"/>
    </row>
    <row r="1006" spans="1:6" x14ac:dyDescent="0.2">
      <c r="A1006" s="275"/>
      <c r="B1006" s="78"/>
      <c r="C1006" s="189"/>
      <c r="D1006" s="185"/>
      <c r="E1006" s="186"/>
      <c r="F1006" s="187"/>
    </row>
    <row r="1007" spans="1:6" x14ac:dyDescent="0.2">
      <c r="A1007" s="275"/>
      <c r="B1007" s="78"/>
      <c r="C1007" s="189"/>
      <c r="D1007" s="185"/>
      <c r="E1007" s="186"/>
      <c r="F1007" s="187"/>
    </row>
    <row r="1008" spans="1:6" x14ac:dyDescent="0.2">
      <c r="A1008" s="275"/>
      <c r="B1008" s="78"/>
      <c r="C1008" s="189"/>
      <c r="D1008" s="185"/>
      <c r="E1008" s="186"/>
      <c r="F1008" s="187"/>
    </row>
    <row r="1009" spans="1:6" x14ac:dyDescent="0.2">
      <c r="A1009" s="275"/>
      <c r="B1009" s="78"/>
      <c r="C1009" s="189"/>
      <c r="D1009" s="185"/>
      <c r="E1009" s="186"/>
      <c r="F1009" s="187"/>
    </row>
    <row r="1010" spans="1:6" x14ac:dyDescent="0.2">
      <c r="A1010" s="275"/>
      <c r="B1010" s="78"/>
      <c r="C1010" s="189"/>
      <c r="D1010" s="185"/>
      <c r="E1010" s="186"/>
      <c r="F1010" s="187"/>
    </row>
    <row r="1011" spans="1:6" x14ac:dyDescent="0.2">
      <c r="A1011" s="275"/>
      <c r="B1011" s="78"/>
      <c r="C1011" s="189"/>
      <c r="D1011" s="185"/>
      <c r="E1011" s="186"/>
      <c r="F1011" s="187"/>
    </row>
    <row r="1012" spans="1:6" x14ac:dyDescent="0.2">
      <c r="A1012" s="275"/>
      <c r="B1012" s="78"/>
      <c r="C1012" s="189"/>
      <c r="D1012" s="185"/>
      <c r="E1012" s="186"/>
      <c r="F1012" s="187"/>
    </row>
    <row r="1013" spans="1:6" x14ac:dyDescent="0.2">
      <c r="A1013" s="275"/>
      <c r="B1013" s="78"/>
      <c r="C1013" s="189"/>
      <c r="D1013" s="185"/>
      <c r="E1013" s="186"/>
      <c r="F1013" s="187"/>
    </row>
    <row r="1014" spans="1:6" x14ac:dyDescent="0.2">
      <c r="A1014" s="275"/>
      <c r="B1014" s="78"/>
      <c r="C1014" s="189"/>
      <c r="D1014" s="185"/>
      <c r="E1014" s="186"/>
      <c r="F1014" s="187"/>
    </row>
    <row r="1015" spans="1:6" x14ac:dyDescent="0.2">
      <c r="A1015" s="275"/>
      <c r="B1015" s="78"/>
      <c r="C1015" s="189"/>
      <c r="D1015" s="185"/>
      <c r="E1015" s="186"/>
      <c r="F1015" s="187"/>
    </row>
    <row r="1016" spans="1:6" x14ac:dyDescent="0.2">
      <c r="A1016" s="275"/>
      <c r="B1016" s="78"/>
      <c r="C1016" s="189"/>
      <c r="D1016" s="185"/>
      <c r="E1016" s="186"/>
      <c r="F1016" s="187"/>
    </row>
    <row r="1017" spans="1:6" x14ac:dyDescent="0.2">
      <c r="A1017" s="275"/>
      <c r="B1017" s="78"/>
      <c r="C1017" s="189"/>
      <c r="D1017" s="185"/>
      <c r="E1017" s="186"/>
      <c r="F1017" s="187"/>
    </row>
    <row r="1018" spans="1:6" x14ac:dyDescent="0.2">
      <c r="A1018" s="275"/>
      <c r="B1018" s="78"/>
      <c r="C1018" s="189"/>
      <c r="D1018" s="185"/>
      <c r="E1018" s="186"/>
      <c r="F1018" s="187"/>
    </row>
    <row r="1019" spans="1:6" x14ac:dyDescent="0.2">
      <c r="A1019" s="275"/>
      <c r="B1019" s="78"/>
      <c r="C1019" s="189"/>
      <c r="D1019" s="185"/>
      <c r="E1019" s="186"/>
      <c r="F1019" s="187"/>
    </row>
    <row r="1020" spans="1:6" x14ac:dyDescent="0.2">
      <c r="A1020" s="275"/>
      <c r="B1020" s="78"/>
      <c r="C1020" s="189"/>
      <c r="D1020" s="185"/>
      <c r="E1020" s="186"/>
      <c r="F1020" s="187"/>
    </row>
    <row r="1021" spans="1:6" x14ac:dyDescent="0.2">
      <c r="A1021" s="275"/>
      <c r="B1021" s="78"/>
      <c r="C1021" s="189"/>
      <c r="D1021" s="185"/>
      <c r="E1021" s="186"/>
      <c r="F1021" s="187"/>
    </row>
    <row r="1022" spans="1:6" x14ac:dyDescent="0.2">
      <c r="A1022" s="275"/>
      <c r="B1022" s="78"/>
      <c r="C1022" s="189"/>
      <c r="D1022" s="185"/>
      <c r="E1022" s="186"/>
      <c r="F1022" s="187"/>
    </row>
    <row r="1023" spans="1:6" x14ac:dyDescent="0.2">
      <c r="A1023" s="275"/>
      <c r="B1023" s="78"/>
      <c r="C1023" s="189"/>
      <c r="D1023" s="185"/>
      <c r="E1023" s="186"/>
      <c r="F1023" s="187"/>
    </row>
    <row r="1024" spans="1:6" x14ac:dyDescent="0.2">
      <c r="A1024" s="275"/>
      <c r="B1024" s="78"/>
      <c r="C1024" s="189"/>
      <c r="D1024" s="185"/>
      <c r="E1024" s="186"/>
      <c r="F1024" s="187"/>
    </row>
    <row r="1025" spans="1:6" x14ac:dyDescent="0.2">
      <c r="A1025" s="275"/>
      <c r="B1025" s="78"/>
      <c r="C1025" s="189"/>
      <c r="D1025" s="185"/>
      <c r="E1025" s="186"/>
      <c r="F1025" s="187"/>
    </row>
    <row r="1026" spans="1:6" x14ac:dyDescent="0.2">
      <c r="A1026" s="275"/>
      <c r="B1026" s="78"/>
      <c r="C1026" s="189"/>
      <c r="D1026" s="185"/>
      <c r="E1026" s="186"/>
      <c r="F1026" s="187"/>
    </row>
    <row r="1027" spans="1:6" x14ac:dyDescent="0.2">
      <c r="A1027" s="275"/>
      <c r="B1027" s="78"/>
      <c r="C1027" s="189"/>
      <c r="D1027" s="185"/>
      <c r="E1027" s="186"/>
      <c r="F1027" s="187"/>
    </row>
    <row r="1028" spans="1:6" x14ac:dyDescent="0.2">
      <c r="A1028" s="275"/>
      <c r="B1028" s="78"/>
      <c r="C1028" s="189"/>
      <c r="D1028" s="185"/>
      <c r="E1028" s="186"/>
      <c r="F1028" s="187"/>
    </row>
    <row r="1029" spans="1:6" x14ac:dyDescent="0.2">
      <c r="A1029" s="275"/>
      <c r="B1029" s="78"/>
      <c r="C1029" s="189"/>
      <c r="D1029" s="185"/>
      <c r="E1029" s="186"/>
      <c r="F1029" s="187"/>
    </row>
    <row r="1030" spans="1:6" x14ac:dyDescent="0.2">
      <c r="A1030" s="275"/>
      <c r="B1030" s="78"/>
      <c r="C1030" s="189"/>
      <c r="D1030" s="185"/>
      <c r="E1030" s="186"/>
      <c r="F1030" s="187"/>
    </row>
    <row r="1031" spans="1:6" x14ac:dyDescent="0.2">
      <c r="A1031" s="275"/>
      <c r="B1031" s="78"/>
      <c r="C1031" s="189"/>
      <c r="D1031" s="185"/>
      <c r="E1031" s="186"/>
      <c r="F1031" s="187"/>
    </row>
    <row r="1032" spans="1:6" x14ac:dyDescent="0.2">
      <c r="A1032" s="275"/>
      <c r="B1032" s="78"/>
      <c r="C1032" s="189"/>
      <c r="D1032" s="185"/>
      <c r="E1032" s="186"/>
      <c r="F1032" s="187"/>
    </row>
    <row r="1033" spans="1:6" x14ac:dyDescent="0.2">
      <c r="A1033" s="275"/>
      <c r="B1033" s="78"/>
      <c r="C1033" s="189"/>
      <c r="D1033" s="185"/>
      <c r="E1033" s="186"/>
      <c r="F1033" s="187"/>
    </row>
    <row r="1034" spans="1:6" x14ac:dyDescent="0.2">
      <c r="A1034" s="275"/>
      <c r="B1034" s="78"/>
      <c r="C1034" s="189"/>
      <c r="D1034" s="185"/>
      <c r="E1034" s="186"/>
      <c r="F1034" s="187"/>
    </row>
    <row r="1035" spans="1:6" x14ac:dyDescent="0.2">
      <c r="A1035" s="275"/>
      <c r="B1035" s="78"/>
      <c r="C1035" s="189"/>
      <c r="D1035" s="185"/>
      <c r="E1035" s="186"/>
      <c r="F1035" s="187"/>
    </row>
    <row r="1036" spans="1:6" x14ac:dyDescent="0.2">
      <c r="A1036" s="275"/>
      <c r="B1036" s="78"/>
      <c r="C1036" s="189"/>
      <c r="D1036" s="185"/>
      <c r="E1036" s="186"/>
      <c r="F1036" s="187"/>
    </row>
    <row r="1037" spans="1:6" x14ac:dyDescent="0.2">
      <c r="A1037" s="275"/>
      <c r="B1037" s="78"/>
      <c r="C1037" s="189"/>
      <c r="D1037" s="185"/>
      <c r="E1037" s="186"/>
      <c r="F1037" s="187"/>
    </row>
    <row r="1038" spans="1:6" x14ac:dyDescent="0.2">
      <c r="A1038" s="275"/>
      <c r="B1038" s="78"/>
      <c r="C1038" s="189"/>
      <c r="D1038" s="185"/>
      <c r="E1038" s="186"/>
      <c r="F1038" s="187"/>
    </row>
    <row r="1039" spans="1:6" x14ac:dyDescent="0.2">
      <c r="A1039" s="275"/>
      <c r="B1039" s="78"/>
      <c r="C1039" s="189"/>
      <c r="D1039" s="185"/>
      <c r="E1039" s="186"/>
      <c r="F1039" s="187"/>
    </row>
    <row r="1040" spans="1:6" x14ac:dyDescent="0.2">
      <c r="A1040" s="275"/>
      <c r="B1040" s="78"/>
      <c r="C1040" s="189"/>
      <c r="D1040" s="185"/>
      <c r="E1040" s="186"/>
      <c r="F1040" s="187"/>
    </row>
    <row r="1041" spans="1:6" x14ac:dyDescent="0.2">
      <c r="A1041" s="275"/>
      <c r="B1041" s="78"/>
      <c r="C1041" s="189"/>
      <c r="D1041" s="185"/>
      <c r="E1041" s="186"/>
      <c r="F1041" s="187"/>
    </row>
    <row r="1042" spans="1:6" x14ac:dyDescent="0.2">
      <c r="A1042" s="275"/>
      <c r="B1042" s="78"/>
      <c r="C1042" s="189"/>
      <c r="D1042" s="185"/>
      <c r="E1042" s="186"/>
      <c r="F1042" s="187"/>
    </row>
    <row r="1043" spans="1:6" x14ac:dyDescent="0.2">
      <c r="A1043" s="275"/>
      <c r="B1043" s="78"/>
      <c r="C1043" s="189"/>
      <c r="D1043" s="185"/>
      <c r="E1043" s="186"/>
      <c r="F1043" s="187"/>
    </row>
    <row r="1044" spans="1:6" x14ac:dyDescent="0.2">
      <c r="A1044" s="275"/>
      <c r="B1044" s="78"/>
      <c r="C1044" s="189"/>
      <c r="D1044" s="185"/>
      <c r="E1044" s="186"/>
      <c r="F1044" s="187"/>
    </row>
    <row r="1045" spans="1:6" x14ac:dyDescent="0.2">
      <c r="A1045" s="275"/>
      <c r="B1045" s="78"/>
      <c r="C1045" s="189"/>
      <c r="D1045" s="185"/>
      <c r="E1045" s="186"/>
      <c r="F1045" s="187"/>
    </row>
    <row r="1046" spans="1:6" x14ac:dyDescent="0.2">
      <c r="A1046" s="275"/>
      <c r="B1046" s="78"/>
      <c r="C1046" s="189"/>
      <c r="D1046" s="185"/>
      <c r="E1046" s="186"/>
      <c r="F1046" s="187"/>
    </row>
    <row r="1047" spans="1:6" x14ac:dyDescent="0.2">
      <c r="A1047" s="275"/>
      <c r="B1047" s="78"/>
      <c r="C1047" s="189"/>
      <c r="D1047" s="185"/>
      <c r="E1047" s="186"/>
      <c r="F1047" s="187"/>
    </row>
    <row r="1048" spans="1:6" x14ac:dyDescent="0.2">
      <c r="A1048" s="275"/>
      <c r="B1048" s="78"/>
      <c r="C1048" s="189"/>
      <c r="D1048" s="185"/>
      <c r="E1048" s="186"/>
      <c r="F1048" s="187"/>
    </row>
    <row r="1049" spans="1:6" x14ac:dyDescent="0.2">
      <c r="A1049" s="275"/>
      <c r="B1049" s="78"/>
      <c r="C1049" s="189"/>
      <c r="D1049" s="185"/>
      <c r="E1049" s="186"/>
      <c r="F1049" s="187"/>
    </row>
    <row r="1050" spans="1:6" x14ac:dyDescent="0.2">
      <c r="A1050" s="275"/>
      <c r="B1050" s="78"/>
      <c r="C1050" s="189"/>
      <c r="D1050" s="185"/>
      <c r="E1050" s="186"/>
      <c r="F1050" s="187"/>
    </row>
    <row r="1051" spans="1:6" x14ac:dyDescent="0.2">
      <c r="A1051" s="275"/>
      <c r="B1051" s="78"/>
      <c r="C1051" s="189"/>
      <c r="D1051" s="185"/>
      <c r="E1051" s="186"/>
      <c r="F1051" s="187"/>
    </row>
    <row r="1052" spans="1:6" x14ac:dyDescent="0.2">
      <c r="A1052" s="275"/>
      <c r="B1052" s="78"/>
      <c r="C1052" s="189"/>
      <c r="D1052" s="185"/>
      <c r="E1052" s="186"/>
      <c r="F1052" s="187"/>
    </row>
    <row r="1053" spans="1:6" x14ac:dyDescent="0.2">
      <c r="A1053" s="275"/>
      <c r="B1053" s="78"/>
      <c r="C1053" s="189"/>
      <c r="D1053" s="185"/>
      <c r="E1053" s="186"/>
      <c r="F1053" s="187"/>
    </row>
    <row r="1054" spans="1:6" x14ac:dyDescent="0.2">
      <c r="A1054" s="275"/>
      <c r="B1054" s="78"/>
      <c r="C1054" s="189"/>
      <c r="D1054" s="185"/>
      <c r="E1054" s="186"/>
      <c r="F1054" s="187"/>
    </row>
    <row r="1055" spans="1:6" x14ac:dyDescent="0.2">
      <c r="A1055" s="275"/>
      <c r="B1055" s="78"/>
      <c r="C1055" s="189"/>
      <c r="D1055" s="185"/>
      <c r="E1055" s="186"/>
      <c r="F1055" s="187"/>
    </row>
    <row r="1056" spans="1:6" x14ac:dyDescent="0.2">
      <c r="A1056" s="275"/>
      <c r="B1056" s="78"/>
      <c r="C1056" s="189"/>
      <c r="D1056" s="185"/>
      <c r="E1056" s="186"/>
      <c r="F1056" s="187"/>
    </row>
    <row r="1057" spans="1:6" x14ac:dyDescent="0.2">
      <c r="A1057" s="275"/>
      <c r="B1057" s="78"/>
      <c r="C1057" s="189"/>
      <c r="D1057" s="185"/>
      <c r="E1057" s="186"/>
      <c r="F1057" s="187"/>
    </row>
    <row r="1058" spans="1:6" x14ac:dyDescent="0.2">
      <c r="A1058" s="275"/>
      <c r="B1058" s="78"/>
      <c r="C1058" s="189"/>
      <c r="D1058" s="185"/>
      <c r="E1058" s="186"/>
      <c r="F1058" s="187"/>
    </row>
    <row r="1059" spans="1:6" x14ac:dyDescent="0.2">
      <c r="A1059" s="275"/>
      <c r="B1059" s="78"/>
      <c r="C1059" s="189"/>
      <c r="D1059" s="185"/>
      <c r="E1059" s="186"/>
      <c r="F1059" s="187"/>
    </row>
    <row r="1060" spans="1:6" x14ac:dyDescent="0.2">
      <c r="A1060" s="275"/>
      <c r="B1060" s="78"/>
      <c r="C1060" s="189"/>
      <c r="D1060" s="185"/>
      <c r="E1060" s="186"/>
      <c r="F1060" s="187"/>
    </row>
    <row r="1061" spans="1:6" x14ac:dyDescent="0.2">
      <c r="A1061" s="275"/>
      <c r="B1061" s="78"/>
      <c r="C1061" s="189"/>
      <c r="D1061" s="185"/>
      <c r="E1061" s="186"/>
      <c r="F1061" s="187"/>
    </row>
    <row r="1062" spans="1:6" x14ac:dyDescent="0.2">
      <c r="A1062" s="275"/>
      <c r="B1062" s="78"/>
      <c r="C1062" s="189"/>
      <c r="D1062" s="185"/>
      <c r="E1062" s="186"/>
      <c r="F1062" s="187"/>
    </row>
    <row r="1063" spans="1:6" x14ac:dyDescent="0.2">
      <c r="A1063" s="275"/>
      <c r="B1063" s="78"/>
      <c r="C1063" s="189"/>
      <c r="D1063" s="185"/>
      <c r="E1063" s="186"/>
      <c r="F1063" s="187"/>
    </row>
    <row r="1064" spans="1:6" x14ac:dyDescent="0.2">
      <c r="A1064" s="275"/>
      <c r="B1064" s="78"/>
      <c r="C1064" s="189"/>
      <c r="D1064" s="185"/>
      <c r="E1064" s="186"/>
      <c r="F1064" s="187"/>
    </row>
    <row r="1065" spans="1:6" x14ac:dyDescent="0.2">
      <c r="A1065" s="275"/>
      <c r="B1065" s="78"/>
      <c r="C1065" s="189"/>
      <c r="D1065" s="185"/>
      <c r="E1065" s="186"/>
      <c r="F1065" s="187"/>
    </row>
    <row r="1066" spans="1:6" x14ac:dyDescent="0.2">
      <c r="A1066" s="275"/>
      <c r="B1066" s="78"/>
      <c r="C1066" s="189"/>
      <c r="D1066" s="185"/>
      <c r="E1066" s="186"/>
      <c r="F1066" s="187"/>
    </row>
    <row r="1067" spans="1:6" x14ac:dyDescent="0.2">
      <c r="A1067" s="275"/>
      <c r="B1067" s="78"/>
      <c r="C1067" s="189"/>
      <c r="D1067" s="185"/>
      <c r="E1067" s="186"/>
      <c r="F1067" s="187"/>
    </row>
    <row r="1068" spans="1:6" x14ac:dyDescent="0.2">
      <c r="A1068" s="275"/>
      <c r="B1068" s="78"/>
      <c r="C1068" s="189"/>
      <c r="D1068" s="185"/>
      <c r="E1068" s="186"/>
      <c r="F1068" s="187"/>
    </row>
    <row r="1069" spans="1:6" x14ac:dyDescent="0.2">
      <c r="A1069" s="275"/>
      <c r="B1069" s="78"/>
      <c r="C1069" s="189"/>
      <c r="D1069" s="185"/>
      <c r="E1069" s="186"/>
      <c r="F1069" s="187"/>
    </row>
    <row r="1070" spans="1:6" x14ac:dyDescent="0.2">
      <c r="A1070" s="275"/>
      <c r="B1070" s="78"/>
      <c r="C1070" s="189"/>
      <c r="D1070" s="185"/>
      <c r="E1070" s="186"/>
      <c r="F1070" s="187"/>
    </row>
    <row r="1071" spans="1:6" x14ac:dyDescent="0.2">
      <c r="A1071" s="275"/>
      <c r="B1071" s="78"/>
      <c r="C1071" s="189"/>
      <c r="D1071" s="185"/>
      <c r="E1071" s="186"/>
      <c r="F1071" s="187"/>
    </row>
    <row r="1072" spans="1:6" x14ac:dyDescent="0.2">
      <c r="A1072" s="275"/>
      <c r="B1072" s="78"/>
      <c r="C1072" s="189"/>
      <c r="D1072" s="185"/>
      <c r="E1072" s="186"/>
      <c r="F1072" s="187"/>
    </row>
    <row r="1073" spans="1:6" x14ac:dyDescent="0.2">
      <c r="A1073" s="275"/>
      <c r="B1073" s="78"/>
      <c r="C1073" s="189"/>
      <c r="D1073" s="185"/>
      <c r="E1073" s="186"/>
      <c r="F1073" s="187"/>
    </row>
    <row r="1074" spans="1:6" x14ac:dyDescent="0.2">
      <c r="A1074" s="275"/>
      <c r="B1074" s="78"/>
      <c r="C1074" s="189"/>
      <c r="D1074" s="185"/>
      <c r="E1074" s="186"/>
      <c r="F1074" s="187"/>
    </row>
    <row r="1075" spans="1:6" x14ac:dyDescent="0.2">
      <c r="A1075" s="275"/>
      <c r="B1075" s="78"/>
      <c r="C1075" s="189"/>
      <c r="D1075" s="185"/>
      <c r="E1075" s="186"/>
      <c r="F1075" s="187"/>
    </row>
    <row r="1076" spans="1:6" x14ac:dyDescent="0.2">
      <c r="A1076" s="275"/>
      <c r="B1076" s="78"/>
      <c r="C1076" s="189"/>
      <c r="D1076" s="185"/>
      <c r="E1076" s="186"/>
      <c r="F1076" s="187"/>
    </row>
    <row r="1077" spans="1:6" x14ac:dyDescent="0.2">
      <c r="A1077" s="275"/>
      <c r="B1077" s="78"/>
      <c r="C1077" s="189"/>
      <c r="D1077" s="185"/>
      <c r="E1077" s="186"/>
      <c r="F1077" s="187"/>
    </row>
    <row r="1078" spans="1:6" x14ac:dyDescent="0.2">
      <c r="A1078" s="275"/>
      <c r="B1078" s="78"/>
      <c r="C1078" s="189"/>
      <c r="D1078" s="185"/>
      <c r="E1078" s="186"/>
      <c r="F1078" s="187"/>
    </row>
    <row r="1079" spans="1:6" x14ac:dyDescent="0.2">
      <c r="A1079" s="275"/>
      <c r="B1079" s="78"/>
      <c r="C1079" s="189"/>
      <c r="D1079" s="185"/>
      <c r="E1079" s="186"/>
      <c r="F1079" s="187"/>
    </row>
    <row r="1080" spans="1:6" x14ac:dyDescent="0.2">
      <c r="A1080" s="275"/>
      <c r="B1080" s="78"/>
      <c r="C1080" s="189"/>
      <c r="D1080" s="185"/>
      <c r="E1080" s="186"/>
      <c r="F1080" s="187"/>
    </row>
    <row r="1081" spans="1:6" x14ac:dyDescent="0.2">
      <c r="A1081" s="275"/>
      <c r="B1081" s="78"/>
      <c r="C1081" s="189"/>
      <c r="D1081" s="185"/>
      <c r="E1081" s="186"/>
      <c r="F1081" s="187"/>
    </row>
    <row r="1082" spans="1:6" x14ac:dyDescent="0.2">
      <c r="A1082" s="275"/>
      <c r="B1082" s="78"/>
      <c r="C1082" s="189"/>
      <c r="D1082" s="185"/>
      <c r="E1082" s="186"/>
      <c r="F1082" s="187"/>
    </row>
    <row r="1083" spans="1:6" x14ac:dyDescent="0.2">
      <c r="A1083" s="275"/>
      <c r="B1083" s="78"/>
      <c r="C1083" s="189"/>
      <c r="D1083" s="185"/>
      <c r="E1083" s="186"/>
      <c r="F1083" s="187"/>
    </row>
    <row r="1084" spans="1:6" x14ac:dyDescent="0.2">
      <c r="A1084" s="275"/>
      <c r="B1084" s="78"/>
      <c r="C1084" s="189"/>
      <c r="D1084" s="185"/>
      <c r="E1084" s="186"/>
      <c r="F1084" s="187"/>
    </row>
    <row r="1085" spans="1:6" x14ac:dyDescent="0.2">
      <c r="A1085" s="275"/>
      <c r="B1085" s="78"/>
      <c r="C1085" s="189"/>
      <c r="D1085" s="185"/>
      <c r="E1085" s="186"/>
      <c r="F1085" s="187"/>
    </row>
    <row r="1086" spans="1:6" x14ac:dyDescent="0.2">
      <c r="A1086" s="275"/>
      <c r="B1086" s="78"/>
      <c r="C1086" s="189"/>
      <c r="D1086" s="185"/>
      <c r="E1086" s="186"/>
      <c r="F1086" s="187"/>
    </row>
    <row r="1087" spans="1:6" x14ac:dyDescent="0.2">
      <c r="A1087" s="275"/>
      <c r="B1087" s="78"/>
      <c r="C1087" s="189"/>
      <c r="D1087" s="185"/>
      <c r="E1087" s="186"/>
      <c r="F1087" s="187"/>
    </row>
    <row r="1088" spans="1:6" x14ac:dyDescent="0.2">
      <c r="A1088" s="275"/>
      <c r="B1088" s="78"/>
      <c r="C1088" s="189"/>
      <c r="D1088" s="185"/>
      <c r="E1088" s="186"/>
      <c r="F1088" s="187"/>
    </row>
    <row r="1089" spans="1:6" x14ac:dyDescent="0.2">
      <c r="A1089" s="275"/>
      <c r="B1089" s="78"/>
      <c r="C1089" s="189"/>
      <c r="D1089" s="185"/>
      <c r="E1089" s="186"/>
      <c r="F1089" s="187"/>
    </row>
    <row r="1090" spans="1:6" x14ac:dyDescent="0.2">
      <c r="A1090" s="275"/>
      <c r="B1090" s="78"/>
      <c r="C1090" s="189"/>
      <c r="D1090" s="185"/>
      <c r="E1090" s="186"/>
      <c r="F1090" s="187"/>
    </row>
    <row r="1091" spans="1:6" x14ac:dyDescent="0.2">
      <c r="A1091" s="275"/>
      <c r="B1091" s="78"/>
      <c r="C1091" s="189"/>
      <c r="D1091" s="185"/>
      <c r="E1091" s="186"/>
      <c r="F1091" s="187"/>
    </row>
    <row r="1092" spans="1:6" x14ac:dyDescent="0.2">
      <c r="A1092" s="275"/>
      <c r="B1092" s="78"/>
      <c r="C1092" s="189"/>
      <c r="D1092" s="185"/>
      <c r="E1092" s="186"/>
      <c r="F1092" s="187"/>
    </row>
    <row r="1093" spans="1:6" x14ac:dyDescent="0.2">
      <c r="A1093" s="275"/>
      <c r="B1093" s="78"/>
      <c r="C1093" s="189"/>
      <c r="D1093" s="185"/>
      <c r="E1093" s="186"/>
      <c r="F1093" s="187"/>
    </row>
    <row r="1094" spans="1:6" x14ac:dyDescent="0.2">
      <c r="A1094" s="275"/>
      <c r="B1094" s="78"/>
      <c r="C1094" s="189"/>
      <c r="D1094" s="185"/>
      <c r="E1094" s="186"/>
      <c r="F1094" s="187"/>
    </row>
    <row r="1095" spans="1:6" x14ac:dyDescent="0.2">
      <c r="A1095" s="275"/>
      <c r="B1095" s="78"/>
      <c r="C1095" s="189"/>
      <c r="D1095" s="185"/>
      <c r="E1095" s="186"/>
      <c r="F1095" s="187"/>
    </row>
    <row r="1096" spans="1:6" x14ac:dyDescent="0.2">
      <c r="A1096" s="275"/>
      <c r="B1096" s="78"/>
      <c r="C1096" s="189"/>
      <c r="D1096" s="185"/>
      <c r="E1096" s="186"/>
      <c r="F1096" s="187"/>
    </row>
    <row r="1097" spans="1:6" x14ac:dyDescent="0.2">
      <c r="A1097" s="275"/>
      <c r="B1097" s="78"/>
      <c r="C1097" s="189"/>
      <c r="D1097" s="185"/>
      <c r="E1097" s="186"/>
      <c r="F1097" s="187"/>
    </row>
    <row r="1098" spans="1:6" x14ac:dyDescent="0.2">
      <c r="A1098" s="275"/>
      <c r="B1098" s="78"/>
      <c r="C1098" s="189"/>
      <c r="D1098" s="185"/>
      <c r="E1098" s="186"/>
      <c r="F1098" s="187"/>
    </row>
    <row r="1099" spans="1:6" x14ac:dyDescent="0.2">
      <c r="A1099" s="275"/>
      <c r="B1099" s="78"/>
      <c r="C1099" s="189"/>
      <c r="D1099" s="185"/>
      <c r="E1099" s="186"/>
      <c r="F1099" s="187"/>
    </row>
    <row r="1100" spans="1:6" x14ac:dyDescent="0.2">
      <c r="A1100" s="275"/>
      <c r="B1100" s="78"/>
      <c r="C1100" s="189"/>
      <c r="D1100" s="185"/>
      <c r="E1100" s="186"/>
      <c r="F1100" s="187"/>
    </row>
    <row r="1101" spans="1:6" x14ac:dyDescent="0.2">
      <c r="A1101" s="275"/>
      <c r="B1101" s="78"/>
      <c r="C1101" s="189"/>
      <c r="D1101" s="185"/>
      <c r="E1101" s="186"/>
      <c r="F1101" s="187"/>
    </row>
    <row r="1102" spans="1:6" x14ac:dyDescent="0.2">
      <c r="A1102" s="275"/>
      <c r="B1102" s="78"/>
      <c r="C1102" s="189"/>
      <c r="D1102" s="185"/>
      <c r="E1102" s="186"/>
      <c r="F1102" s="187"/>
    </row>
    <row r="1103" spans="1:6" x14ac:dyDescent="0.2">
      <c r="A1103" s="275"/>
      <c r="B1103" s="78"/>
      <c r="C1103" s="189"/>
      <c r="D1103" s="185"/>
      <c r="E1103" s="186"/>
      <c r="F1103" s="187"/>
    </row>
    <row r="1104" spans="1:6" x14ac:dyDescent="0.2">
      <c r="A1104" s="275"/>
      <c r="B1104" s="78"/>
      <c r="C1104" s="189"/>
      <c r="D1104" s="185"/>
      <c r="E1104" s="186"/>
      <c r="F1104" s="187"/>
    </row>
    <row r="1105" spans="1:6" x14ac:dyDescent="0.2">
      <c r="A1105" s="275"/>
      <c r="B1105" s="78"/>
      <c r="C1105" s="189"/>
      <c r="D1105" s="185"/>
      <c r="E1105" s="186"/>
      <c r="F1105" s="187"/>
    </row>
    <row r="1106" spans="1:6" x14ac:dyDescent="0.2">
      <c r="A1106" s="275"/>
      <c r="B1106" s="78"/>
      <c r="C1106" s="189"/>
      <c r="D1106" s="185"/>
      <c r="E1106" s="186"/>
      <c r="F1106" s="187"/>
    </row>
    <row r="1107" spans="1:6" x14ac:dyDescent="0.2">
      <c r="A1107" s="275"/>
      <c r="B1107" s="78"/>
      <c r="C1107" s="189"/>
      <c r="D1107" s="185"/>
      <c r="E1107" s="186"/>
      <c r="F1107" s="187"/>
    </row>
    <row r="1108" spans="1:6" x14ac:dyDescent="0.2">
      <c r="A1108" s="275"/>
      <c r="B1108" s="78"/>
      <c r="C1108" s="189"/>
      <c r="D1108" s="185"/>
      <c r="E1108" s="186"/>
      <c r="F1108" s="187"/>
    </row>
    <row r="1109" spans="1:6" x14ac:dyDescent="0.2">
      <c r="A1109" s="275"/>
      <c r="B1109" s="78"/>
      <c r="C1109" s="189"/>
      <c r="D1109" s="185"/>
      <c r="E1109" s="186"/>
      <c r="F1109" s="187"/>
    </row>
    <row r="1110" spans="1:6" x14ac:dyDescent="0.2">
      <c r="A1110" s="275"/>
      <c r="B1110" s="78"/>
      <c r="C1110" s="189"/>
      <c r="D1110" s="185"/>
      <c r="E1110" s="186"/>
      <c r="F1110" s="187"/>
    </row>
    <row r="1111" spans="1:6" x14ac:dyDescent="0.2">
      <c r="A1111" s="275"/>
      <c r="B1111" s="78"/>
      <c r="C1111" s="189"/>
      <c r="D1111" s="185"/>
      <c r="E1111" s="186"/>
      <c r="F1111" s="187"/>
    </row>
    <row r="1112" spans="1:6" x14ac:dyDescent="0.2">
      <c r="A1112" s="275"/>
      <c r="B1112" s="78"/>
      <c r="C1112" s="189"/>
      <c r="D1112" s="185"/>
      <c r="E1112" s="186"/>
      <c r="F1112" s="187"/>
    </row>
    <row r="1113" spans="1:6" x14ac:dyDescent="0.2">
      <c r="A1113" s="275"/>
      <c r="B1113" s="78"/>
      <c r="C1113" s="189"/>
      <c r="D1113" s="185"/>
      <c r="E1113" s="186"/>
      <c r="F1113" s="187"/>
    </row>
    <row r="1114" spans="1:6" x14ac:dyDescent="0.2">
      <c r="A1114" s="275"/>
      <c r="B1114" s="78"/>
      <c r="C1114" s="189"/>
      <c r="D1114" s="185"/>
      <c r="E1114" s="186"/>
      <c r="F1114" s="187"/>
    </row>
    <row r="1115" spans="1:6" x14ac:dyDescent="0.2">
      <c r="A1115" s="275"/>
      <c r="B1115" s="78"/>
      <c r="C1115" s="189"/>
      <c r="D1115" s="185"/>
      <c r="E1115" s="186"/>
      <c r="F1115" s="187"/>
    </row>
    <row r="1116" spans="1:6" x14ac:dyDescent="0.2">
      <c r="A1116" s="275"/>
      <c r="B1116" s="78"/>
      <c r="C1116" s="189"/>
      <c r="D1116" s="185"/>
      <c r="E1116" s="186"/>
      <c r="F1116" s="187"/>
    </row>
    <row r="1117" spans="1:6" x14ac:dyDescent="0.2">
      <c r="A1117" s="275"/>
      <c r="B1117" s="78"/>
      <c r="C1117" s="189"/>
      <c r="D1117" s="185"/>
      <c r="E1117" s="186"/>
      <c r="F1117" s="187"/>
    </row>
    <row r="1118" spans="1:6" x14ac:dyDescent="0.2">
      <c r="A1118" s="275"/>
      <c r="B1118" s="78"/>
      <c r="C1118" s="189"/>
      <c r="D1118" s="185"/>
      <c r="E1118" s="186"/>
      <c r="F1118" s="187"/>
    </row>
    <row r="1119" spans="1:6" x14ac:dyDescent="0.2">
      <c r="A1119" s="275"/>
      <c r="B1119" s="78"/>
      <c r="C1119" s="189"/>
      <c r="D1119" s="185"/>
      <c r="E1119" s="186"/>
      <c r="F1119" s="187"/>
    </row>
    <row r="1120" spans="1:6" x14ac:dyDescent="0.2">
      <c r="A1120" s="275"/>
      <c r="B1120" s="78"/>
      <c r="C1120" s="189"/>
      <c r="D1120" s="185"/>
      <c r="E1120" s="186"/>
      <c r="F1120" s="187"/>
    </row>
    <row r="1121" spans="1:6" x14ac:dyDescent="0.2">
      <c r="A1121" s="275"/>
      <c r="B1121" s="78"/>
      <c r="C1121" s="189"/>
      <c r="D1121" s="185"/>
      <c r="E1121" s="186"/>
      <c r="F1121" s="187"/>
    </row>
    <row r="1122" spans="1:6" x14ac:dyDescent="0.2">
      <c r="A1122" s="275"/>
      <c r="B1122" s="78"/>
      <c r="C1122" s="189"/>
      <c r="D1122" s="185"/>
      <c r="E1122" s="186"/>
      <c r="F1122" s="187"/>
    </row>
    <row r="1123" spans="1:6" x14ac:dyDescent="0.2">
      <c r="A1123" s="275"/>
      <c r="B1123" s="78"/>
      <c r="C1123" s="189"/>
      <c r="D1123" s="185"/>
      <c r="E1123" s="186"/>
      <c r="F1123" s="187"/>
    </row>
    <row r="1124" spans="1:6" x14ac:dyDescent="0.2">
      <c r="A1124" s="275"/>
      <c r="B1124" s="78"/>
      <c r="C1124" s="189"/>
      <c r="D1124" s="185"/>
      <c r="E1124" s="186"/>
      <c r="F1124" s="187"/>
    </row>
    <row r="1125" spans="1:6" x14ac:dyDescent="0.2">
      <c r="A1125" s="275"/>
      <c r="B1125" s="78"/>
      <c r="C1125" s="189"/>
      <c r="D1125" s="185"/>
      <c r="E1125" s="186"/>
      <c r="F1125" s="187"/>
    </row>
    <row r="1126" spans="1:6" x14ac:dyDescent="0.2">
      <c r="A1126" s="275"/>
      <c r="B1126" s="78"/>
      <c r="C1126" s="189"/>
      <c r="D1126" s="185"/>
      <c r="E1126" s="186"/>
      <c r="F1126" s="187"/>
    </row>
    <row r="1127" spans="1:6" x14ac:dyDescent="0.2">
      <c r="A1127" s="275"/>
      <c r="B1127" s="78"/>
      <c r="C1127" s="189"/>
      <c r="D1127" s="185"/>
      <c r="E1127" s="186"/>
      <c r="F1127" s="187"/>
    </row>
    <row r="1128" spans="1:6" x14ac:dyDescent="0.2">
      <c r="A1128" s="275"/>
      <c r="B1128" s="78"/>
      <c r="C1128" s="189"/>
      <c r="D1128" s="185"/>
      <c r="E1128" s="186"/>
      <c r="F1128" s="187"/>
    </row>
    <row r="1129" spans="1:6" x14ac:dyDescent="0.2">
      <c r="A1129" s="275"/>
      <c r="B1129" s="78"/>
      <c r="C1129" s="189"/>
      <c r="D1129" s="185"/>
      <c r="E1129" s="186"/>
      <c r="F1129" s="187"/>
    </row>
    <row r="1130" spans="1:6" x14ac:dyDescent="0.2">
      <c r="A1130" s="275"/>
      <c r="B1130" s="78"/>
      <c r="C1130" s="189"/>
      <c r="D1130" s="185"/>
      <c r="E1130" s="186"/>
      <c r="F1130" s="187"/>
    </row>
    <row r="1131" spans="1:6" x14ac:dyDescent="0.2">
      <c r="A1131" s="275"/>
      <c r="B1131" s="78"/>
      <c r="C1131" s="189"/>
      <c r="D1131" s="185"/>
      <c r="E1131" s="186"/>
      <c r="F1131" s="187"/>
    </row>
    <row r="1132" spans="1:6" x14ac:dyDescent="0.2">
      <c r="A1132" s="275"/>
      <c r="B1132" s="78"/>
      <c r="C1132" s="189"/>
      <c r="D1132" s="185"/>
      <c r="E1132" s="186"/>
      <c r="F1132" s="187"/>
    </row>
    <row r="1133" spans="1:6" x14ac:dyDescent="0.2">
      <c r="A1133" s="275"/>
      <c r="B1133" s="78"/>
      <c r="C1133" s="189"/>
      <c r="D1133" s="185"/>
      <c r="E1133" s="186"/>
      <c r="F1133" s="187"/>
    </row>
    <row r="1134" spans="1:6" x14ac:dyDescent="0.2">
      <c r="A1134" s="275"/>
      <c r="B1134" s="78"/>
      <c r="C1134" s="189"/>
      <c r="D1134" s="185"/>
      <c r="E1134" s="186"/>
      <c r="F1134" s="187"/>
    </row>
    <row r="1135" spans="1:6" x14ac:dyDescent="0.2">
      <c r="A1135" s="275"/>
      <c r="B1135" s="78"/>
      <c r="C1135" s="189"/>
      <c r="D1135" s="185"/>
      <c r="E1135" s="186"/>
      <c r="F1135" s="187"/>
    </row>
    <row r="1136" spans="1:6" x14ac:dyDescent="0.2">
      <c r="A1136" s="275"/>
      <c r="B1136" s="78"/>
      <c r="C1136" s="189"/>
      <c r="D1136" s="185"/>
      <c r="E1136" s="186"/>
      <c r="F1136" s="187"/>
    </row>
    <row r="1137" spans="1:6" x14ac:dyDescent="0.2">
      <c r="A1137" s="275"/>
      <c r="B1137" s="78"/>
      <c r="C1137" s="189"/>
      <c r="D1137" s="185"/>
      <c r="E1137" s="186"/>
      <c r="F1137" s="187"/>
    </row>
    <row r="1138" spans="1:6" x14ac:dyDescent="0.2">
      <c r="A1138" s="275"/>
      <c r="B1138" s="78"/>
      <c r="C1138" s="189"/>
      <c r="D1138" s="185"/>
      <c r="E1138" s="186"/>
      <c r="F1138" s="187"/>
    </row>
    <row r="1139" spans="1:6" x14ac:dyDescent="0.2">
      <c r="A1139" s="275"/>
      <c r="B1139" s="78"/>
      <c r="C1139" s="189"/>
      <c r="D1139" s="185"/>
      <c r="E1139" s="186"/>
      <c r="F1139" s="187"/>
    </row>
    <row r="1140" spans="1:6" x14ac:dyDescent="0.2">
      <c r="A1140" s="275"/>
      <c r="B1140" s="78"/>
      <c r="C1140" s="189"/>
      <c r="D1140" s="185"/>
      <c r="E1140" s="186"/>
      <c r="F1140" s="187"/>
    </row>
    <row r="1141" spans="1:6" x14ac:dyDescent="0.2">
      <c r="A1141" s="275"/>
      <c r="B1141" s="78"/>
      <c r="C1141" s="189"/>
      <c r="D1141" s="185"/>
      <c r="E1141" s="186"/>
      <c r="F1141" s="187"/>
    </row>
    <row r="1142" spans="1:6" x14ac:dyDescent="0.2">
      <c r="A1142" s="275"/>
      <c r="B1142" s="78"/>
      <c r="C1142" s="189"/>
      <c r="D1142" s="185"/>
      <c r="E1142" s="186"/>
      <c r="F1142" s="187"/>
    </row>
    <row r="1143" spans="1:6" x14ac:dyDescent="0.2">
      <c r="A1143" s="275"/>
      <c r="B1143" s="78"/>
      <c r="C1143" s="189"/>
      <c r="D1143" s="185"/>
      <c r="E1143" s="186"/>
      <c r="F1143" s="187"/>
    </row>
    <row r="1144" spans="1:6" x14ac:dyDescent="0.2">
      <c r="A1144" s="275"/>
      <c r="B1144" s="78"/>
      <c r="C1144" s="189"/>
      <c r="D1144" s="185"/>
      <c r="E1144" s="186"/>
      <c r="F1144" s="187"/>
    </row>
    <row r="1145" spans="1:6" x14ac:dyDescent="0.2">
      <c r="A1145" s="275"/>
      <c r="B1145" s="78"/>
      <c r="C1145" s="189"/>
      <c r="D1145" s="185"/>
      <c r="E1145" s="186"/>
      <c r="F1145" s="187"/>
    </row>
    <row r="1146" spans="1:6" x14ac:dyDescent="0.2">
      <c r="A1146" s="275"/>
      <c r="B1146" s="78"/>
      <c r="C1146" s="189"/>
      <c r="D1146" s="185"/>
      <c r="E1146" s="186"/>
      <c r="F1146" s="187"/>
    </row>
    <row r="1147" spans="1:6" x14ac:dyDescent="0.2">
      <c r="A1147" s="275"/>
      <c r="B1147" s="78"/>
      <c r="C1147" s="189"/>
      <c r="D1147" s="185"/>
      <c r="E1147" s="186"/>
      <c r="F1147" s="187"/>
    </row>
    <row r="1148" spans="1:6" x14ac:dyDescent="0.2">
      <c r="A1148" s="275"/>
      <c r="B1148" s="78"/>
      <c r="C1148" s="189"/>
      <c r="D1148" s="185"/>
      <c r="E1148" s="186"/>
      <c r="F1148" s="187"/>
    </row>
    <row r="1149" spans="1:6" x14ac:dyDescent="0.2">
      <c r="A1149" s="275"/>
      <c r="B1149" s="78"/>
      <c r="C1149" s="189"/>
      <c r="D1149" s="185"/>
      <c r="E1149" s="186"/>
      <c r="F1149" s="187"/>
    </row>
    <row r="1150" spans="1:6" x14ac:dyDescent="0.2">
      <c r="A1150" s="275"/>
      <c r="B1150" s="78"/>
      <c r="C1150" s="189"/>
      <c r="D1150" s="185"/>
      <c r="E1150" s="186"/>
      <c r="F1150" s="187"/>
    </row>
    <row r="1151" spans="1:6" x14ac:dyDescent="0.2">
      <c r="A1151" s="275"/>
      <c r="B1151" s="78"/>
      <c r="C1151" s="189"/>
      <c r="D1151" s="185"/>
      <c r="E1151" s="186"/>
      <c r="F1151" s="187"/>
    </row>
    <row r="1152" spans="1:6" x14ac:dyDescent="0.2">
      <c r="A1152" s="275"/>
      <c r="B1152" s="78"/>
      <c r="C1152" s="189"/>
      <c r="D1152" s="185"/>
      <c r="E1152" s="186"/>
      <c r="F1152" s="187"/>
    </row>
    <row r="1153" spans="1:6" x14ac:dyDescent="0.2">
      <c r="A1153" s="275"/>
      <c r="B1153" s="78"/>
      <c r="C1153" s="189"/>
      <c r="D1153" s="185"/>
      <c r="E1153" s="186"/>
      <c r="F1153" s="187"/>
    </row>
    <row r="1154" spans="1:6" x14ac:dyDescent="0.2">
      <c r="A1154" s="275"/>
      <c r="B1154" s="78"/>
      <c r="C1154" s="189"/>
      <c r="D1154" s="185"/>
      <c r="E1154" s="186"/>
      <c r="F1154" s="187"/>
    </row>
    <row r="1155" spans="1:6" x14ac:dyDescent="0.2">
      <c r="A1155" s="275"/>
      <c r="B1155" s="78"/>
      <c r="C1155" s="189"/>
      <c r="D1155" s="185"/>
      <c r="E1155" s="186"/>
      <c r="F1155" s="187"/>
    </row>
    <row r="1156" spans="1:6" x14ac:dyDescent="0.2">
      <c r="A1156" s="275"/>
      <c r="B1156" s="78"/>
      <c r="C1156" s="189"/>
      <c r="D1156" s="185"/>
      <c r="E1156" s="186"/>
      <c r="F1156" s="187"/>
    </row>
    <row r="1157" spans="1:6" x14ac:dyDescent="0.2">
      <c r="A1157" s="275"/>
      <c r="B1157" s="78"/>
      <c r="C1157" s="189"/>
      <c r="D1157" s="185"/>
      <c r="E1157" s="186"/>
      <c r="F1157" s="187"/>
    </row>
    <row r="1158" spans="1:6" x14ac:dyDescent="0.2">
      <c r="A1158" s="275"/>
      <c r="B1158" s="78"/>
      <c r="C1158" s="189"/>
      <c r="D1158" s="185"/>
      <c r="E1158" s="186"/>
      <c r="F1158" s="187"/>
    </row>
    <row r="1159" spans="1:6" x14ac:dyDescent="0.2">
      <c r="A1159" s="275"/>
      <c r="B1159" s="78"/>
      <c r="C1159" s="189"/>
      <c r="D1159" s="185"/>
      <c r="E1159" s="186"/>
      <c r="F1159" s="187"/>
    </row>
    <row r="1160" spans="1:6" x14ac:dyDescent="0.2">
      <c r="A1160" s="275"/>
      <c r="B1160" s="78"/>
      <c r="C1160" s="189"/>
      <c r="D1160" s="185"/>
      <c r="E1160" s="186"/>
      <c r="F1160" s="187"/>
    </row>
    <row r="1161" spans="1:6" x14ac:dyDescent="0.2">
      <c r="A1161" s="275"/>
      <c r="B1161" s="78"/>
      <c r="C1161" s="189"/>
      <c r="D1161" s="185"/>
      <c r="E1161" s="186"/>
      <c r="F1161" s="187"/>
    </row>
    <row r="1162" spans="1:6" x14ac:dyDescent="0.2">
      <c r="A1162" s="275"/>
      <c r="B1162" s="78"/>
      <c r="C1162" s="189"/>
      <c r="D1162" s="185"/>
      <c r="E1162" s="186"/>
      <c r="F1162" s="187"/>
    </row>
    <row r="1163" spans="1:6" x14ac:dyDescent="0.2">
      <c r="A1163" s="275"/>
      <c r="B1163" s="78"/>
      <c r="C1163" s="189"/>
      <c r="D1163" s="185"/>
      <c r="E1163" s="186"/>
      <c r="F1163" s="187"/>
    </row>
    <row r="1164" spans="1:6" x14ac:dyDescent="0.2">
      <c r="A1164" s="275"/>
      <c r="B1164" s="78"/>
      <c r="C1164" s="189"/>
      <c r="D1164" s="185"/>
      <c r="E1164" s="186"/>
      <c r="F1164" s="187"/>
    </row>
    <row r="1165" spans="1:6" x14ac:dyDescent="0.2">
      <c r="A1165" s="275"/>
      <c r="B1165" s="78"/>
      <c r="C1165" s="189"/>
      <c r="D1165" s="185"/>
      <c r="E1165" s="186"/>
      <c r="F1165" s="187"/>
    </row>
    <row r="1166" spans="1:6" x14ac:dyDescent="0.2">
      <c r="A1166" s="275"/>
      <c r="B1166" s="78"/>
      <c r="C1166" s="189"/>
      <c r="D1166" s="185"/>
      <c r="E1166" s="186"/>
      <c r="F1166" s="187"/>
    </row>
    <row r="1167" spans="1:6" x14ac:dyDescent="0.2">
      <c r="A1167" s="275"/>
      <c r="B1167" s="78"/>
      <c r="C1167" s="189"/>
      <c r="D1167" s="185"/>
      <c r="E1167" s="186"/>
      <c r="F1167" s="187"/>
    </row>
    <row r="1168" spans="1:6" x14ac:dyDescent="0.2">
      <c r="A1168" s="275"/>
      <c r="B1168" s="78"/>
      <c r="C1168" s="189"/>
      <c r="D1168" s="185"/>
      <c r="E1168" s="186"/>
      <c r="F1168" s="187"/>
    </row>
    <row r="1169" spans="1:6" x14ac:dyDescent="0.2">
      <c r="A1169" s="275"/>
      <c r="B1169" s="78"/>
      <c r="C1169" s="189"/>
      <c r="D1169" s="185"/>
      <c r="E1169" s="186"/>
      <c r="F1169" s="187"/>
    </row>
    <row r="1170" spans="1:6" x14ac:dyDescent="0.2">
      <c r="A1170" s="275"/>
      <c r="B1170" s="78"/>
      <c r="C1170" s="189"/>
      <c r="D1170" s="185"/>
      <c r="E1170" s="186"/>
      <c r="F1170" s="187"/>
    </row>
    <row r="1171" spans="1:6" x14ac:dyDescent="0.2">
      <c r="A1171" s="275"/>
      <c r="B1171" s="78"/>
      <c r="C1171" s="189"/>
      <c r="D1171" s="185"/>
      <c r="E1171" s="186"/>
      <c r="F1171" s="187"/>
    </row>
    <row r="1172" spans="1:6" x14ac:dyDescent="0.2">
      <c r="A1172" s="275"/>
      <c r="B1172" s="78"/>
      <c r="C1172" s="189"/>
      <c r="D1172" s="185"/>
      <c r="E1172" s="186"/>
      <c r="F1172" s="187"/>
    </row>
    <row r="1173" spans="1:6" x14ac:dyDescent="0.2">
      <c r="A1173" s="275"/>
      <c r="B1173" s="78"/>
      <c r="C1173" s="189"/>
      <c r="D1173" s="185"/>
      <c r="E1173" s="186"/>
      <c r="F1173" s="187"/>
    </row>
    <row r="1174" spans="1:6" x14ac:dyDescent="0.2">
      <c r="A1174" s="275"/>
      <c r="B1174" s="78"/>
      <c r="C1174" s="189"/>
      <c r="D1174" s="185"/>
      <c r="E1174" s="186"/>
      <c r="F1174" s="187"/>
    </row>
    <row r="1175" spans="1:6" x14ac:dyDescent="0.2">
      <c r="A1175" s="275"/>
      <c r="B1175" s="78"/>
      <c r="C1175" s="189"/>
      <c r="D1175" s="185"/>
      <c r="E1175" s="186"/>
      <c r="F1175" s="187"/>
    </row>
    <row r="1176" spans="1:6" x14ac:dyDescent="0.2">
      <c r="A1176" s="275"/>
      <c r="B1176" s="78"/>
      <c r="C1176" s="189"/>
      <c r="D1176" s="185"/>
      <c r="E1176" s="186"/>
      <c r="F1176" s="187"/>
    </row>
    <row r="1177" spans="1:6" x14ac:dyDescent="0.2">
      <c r="A1177" s="275"/>
      <c r="B1177" s="78"/>
      <c r="C1177" s="189"/>
      <c r="D1177" s="185"/>
      <c r="E1177" s="186"/>
      <c r="F1177" s="187"/>
    </row>
    <row r="1178" spans="1:6" x14ac:dyDescent="0.2">
      <c r="A1178" s="275"/>
      <c r="B1178" s="78"/>
      <c r="C1178" s="189"/>
      <c r="D1178" s="185"/>
      <c r="E1178" s="186"/>
      <c r="F1178" s="187"/>
    </row>
    <row r="1179" spans="1:6" x14ac:dyDescent="0.2">
      <c r="A1179" s="275"/>
      <c r="B1179" s="78"/>
      <c r="C1179" s="189"/>
      <c r="D1179" s="185"/>
      <c r="E1179" s="186"/>
      <c r="F1179" s="187"/>
    </row>
    <row r="1180" spans="1:6" x14ac:dyDescent="0.2">
      <c r="A1180" s="275"/>
      <c r="B1180" s="78"/>
      <c r="C1180" s="189"/>
      <c r="D1180" s="185"/>
      <c r="E1180" s="186"/>
      <c r="F1180" s="187"/>
    </row>
    <row r="1181" spans="1:6" x14ac:dyDescent="0.2">
      <c r="A1181" s="275"/>
      <c r="B1181" s="78"/>
      <c r="C1181" s="189"/>
      <c r="D1181" s="185"/>
      <c r="E1181" s="186"/>
      <c r="F1181" s="187"/>
    </row>
    <row r="1182" spans="1:6" x14ac:dyDescent="0.2">
      <c r="A1182" s="275"/>
      <c r="B1182" s="78"/>
      <c r="C1182" s="189"/>
      <c r="D1182" s="185"/>
      <c r="E1182" s="186"/>
      <c r="F1182" s="187"/>
    </row>
    <row r="1183" spans="1:6" x14ac:dyDescent="0.2">
      <c r="A1183" s="275"/>
      <c r="B1183" s="78"/>
      <c r="C1183" s="189"/>
      <c r="D1183" s="185"/>
      <c r="E1183" s="186"/>
      <c r="F1183" s="187"/>
    </row>
    <row r="1184" spans="1:6" x14ac:dyDescent="0.2">
      <c r="A1184" s="275"/>
      <c r="B1184" s="78"/>
      <c r="C1184" s="189"/>
      <c r="D1184" s="185"/>
      <c r="E1184" s="186"/>
      <c r="F1184" s="187"/>
    </row>
    <row r="1185" spans="1:6" x14ac:dyDescent="0.2">
      <c r="A1185" s="275"/>
      <c r="B1185" s="78"/>
      <c r="C1185" s="189"/>
      <c r="D1185" s="185"/>
      <c r="E1185" s="186"/>
      <c r="F1185" s="187"/>
    </row>
    <row r="1186" spans="1:6" x14ac:dyDescent="0.2">
      <c r="A1186" s="275"/>
      <c r="B1186" s="78"/>
      <c r="C1186" s="189"/>
      <c r="D1186" s="185"/>
      <c r="E1186" s="186"/>
      <c r="F1186" s="187"/>
    </row>
    <row r="1187" spans="1:6" x14ac:dyDescent="0.2">
      <c r="A1187" s="275"/>
      <c r="B1187" s="78"/>
      <c r="C1187" s="189"/>
      <c r="D1187" s="185"/>
      <c r="E1187" s="186"/>
      <c r="F1187" s="187"/>
    </row>
    <row r="1188" spans="1:6" x14ac:dyDescent="0.2">
      <c r="A1188" s="275"/>
      <c r="B1188" s="78"/>
      <c r="C1188" s="189"/>
      <c r="D1188" s="185"/>
      <c r="E1188" s="186"/>
      <c r="F1188" s="187"/>
    </row>
    <row r="1189" spans="1:6" x14ac:dyDescent="0.2">
      <c r="A1189" s="275"/>
      <c r="B1189" s="78"/>
      <c r="C1189" s="189"/>
      <c r="D1189" s="185"/>
      <c r="E1189" s="186"/>
      <c r="F1189" s="187"/>
    </row>
    <row r="1190" spans="1:6" x14ac:dyDescent="0.2">
      <c r="A1190" s="275"/>
      <c r="B1190" s="78"/>
      <c r="C1190" s="189"/>
      <c r="D1190" s="185"/>
      <c r="E1190" s="186"/>
      <c r="F1190" s="187"/>
    </row>
    <row r="1191" spans="1:6" x14ac:dyDescent="0.2">
      <c r="A1191" s="275"/>
      <c r="B1191" s="78"/>
      <c r="C1191" s="189"/>
      <c r="D1191" s="185"/>
      <c r="E1191" s="186"/>
      <c r="F1191" s="187"/>
    </row>
    <row r="1192" spans="1:6" x14ac:dyDescent="0.2">
      <c r="A1192" s="275"/>
      <c r="B1192" s="78"/>
      <c r="C1192" s="189"/>
      <c r="D1192" s="185"/>
      <c r="E1192" s="186"/>
      <c r="F1192" s="187"/>
    </row>
    <row r="1193" spans="1:6" x14ac:dyDescent="0.2">
      <c r="A1193" s="275"/>
      <c r="B1193" s="78"/>
      <c r="C1193" s="189"/>
      <c r="D1193" s="185"/>
      <c r="E1193" s="186"/>
      <c r="F1193" s="187"/>
    </row>
    <row r="1194" spans="1:6" x14ac:dyDescent="0.2">
      <c r="A1194" s="275"/>
      <c r="B1194" s="78"/>
      <c r="C1194" s="189"/>
      <c r="D1194" s="185"/>
      <c r="E1194" s="186"/>
      <c r="F1194" s="187"/>
    </row>
    <row r="1195" spans="1:6" x14ac:dyDescent="0.2">
      <c r="A1195" s="275"/>
      <c r="B1195" s="78"/>
      <c r="C1195" s="189"/>
      <c r="D1195" s="185"/>
      <c r="E1195" s="186"/>
      <c r="F1195" s="187"/>
    </row>
    <row r="1196" spans="1:6" x14ac:dyDescent="0.2">
      <c r="A1196" s="275"/>
      <c r="B1196" s="78"/>
      <c r="C1196" s="189"/>
      <c r="D1196" s="185"/>
      <c r="E1196" s="186"/>
      <c r="F1196" s="187"/>
    </row>
    <row r="1197" spans="1:6" x14ac:dyDescent="0.2">
      <c r="A1197" s="275"/>
      <c r="B1197" s="78"/>
      <c r="C1197" s="189"/>
      <c r="D1197" s="185"/>
      <c r="E1197" s="186"/>
      <c r="F1197" s="187"/>
    </row>
    <row r="1198" spans="1:6" x14ac:dyDescent="0.2">
      <c r="A1198" s="275"/>
      <c r="B1198" s="78"/>
      <c r="C1198" s="189"/>
      <c r="D1198" s="185"/>
      <c r="E1198" s="186"/>
      <c r="F1198" s="187"/>
    </row>
    <row r="1199" spans="1:6" x14ac:dyDescent="0.2">
      <c r="A1199" s="275"/>
      <c r="B1199" s="78"/>
      <c r="C1199" s="189"/>
      <c r="D1199" s="185"/>
      <c r="E1199" s="186"/>
      <c r="F1199" s="187"/>
    </row>
    <row r="1200" spans="1:6" x14ac:dyDescent="0.2">
      <c r="A1200" s="275"/>
      <c r="B1200" s="78"/>
      <c r="C1200" s="189"/>
      <c r="D1200" s="185"/>
      <c r="E1200" s="186"/>
      <c r="F1200" s="187"/>
    </row>
    <row r="1201" spans="1:6" x14ac:dyDescent="0.2">
      <c r="A1201" s="275"/>
      <c r="B1201" s="78"/>
      <c r="C1201" s="189"/>
      <c r="D1201" s="185"/>
      <c r="E1201" s="186"/>
      <c r="F1201" s="187"/>
    </row>
    <row r="1202" spans="1:6" x14ac:dyDescent="0.2">
      <c r="A1202" s="275"/>
      <c r="B1202" s="78"/>
      <c r="C1202" s="189"/>
      <c r="D1202" s="185"/>
      <c r="E1202" s="186"/>
      <c r="F1202" s="187"/>
    </row>
    <row r="1203" spans="1:6" x14ac:dyDescent="0.2">
      <c r="A1203" s="275"/>
      <c r="B1203" s="78"/>
      <c r="C1203" s="189"/>
      <c r="D1203" s="185"/>
      <c r="E1203" s="186"/>
      <c r="F1203" s="187"/>
    </row>
    <row r="1204" spans="1:6" x14ac:dyDescent="0.2">
      <c r="A1204" s="275"/>
      <c r="B1204" s="78"/>
      <c r="C1204" s="189"/>
      <c r="D1204" s="185"/>
      <c r="E1204" s="186"/>
      <c r="F1204" s="187"/>
    </row>
    <row r="1205" spans="1:6" x14ac:dyDescent="0.2">
      <c r="A1205" s="275"/>
      <c r="B1205" s="78"/>
      <c r="C1205" s="189"/>
      <c r="D1205" s="185"/>
      <c r="E1205" s="186"/>
      <c r="F1205" s="187"/>
    </row>
    <row r="1206" spans="1:6" x14ac:dyDescent="0.2">
      <c r="A1206" s="275"/>
      <c r="B1206" s="78"/>
      <c r="C1206" s="189"/>
      <c r="D1206" s="185"/>
      <c r="E1206" s="186"/>
      <c r="F1206" s="187"/>
    </row>
    <row r="1207" spans="1:6" x14ac:dyDescent="0.2">
      <c r="A1207" s="275"/>
      <c r="B1207" s="78"/>
      <c r="C1207" s="189"/>
      <c r="D1207" s="185"/>
      <c r="E1207" s="186"/>
      <c r="F1207" s="187"/>
    </row>
    <row r="1208" spans="1:6" x14ac:dyDescent="0.2">
      <c r="A1208" s="275"/>
      <c r="B1208" s="78"/>
      <c r="C1208" s="189"/>
      <c r="D1208" s="185"/>
      <c r="E1208" s="186"/>
      <c r="F1208" s="187"/>
    </row>
    <row r="1209" spans="1:6" x14ac:dyDescent="0.2">
      <c r="A1209" s="275"/>
      <c r="B1209" s="78"/>
      <c r="C1209" s="189"/>
      <c r="D1209" s="185"/>
      <c r="E1209" s="186"/>
      <c r="F1209" s="187"/>
    </row>
    <row r="1210" spans="1:6" x14ac:dyDescent="0.2">
      <c r="A1210" s="275"/>
      <c r="B1210" s="78"/>
      <c r="C1210" s="189"/>
      <c r="D1210" s="185"/>
      <c r="E1210" s="186"/>
      <c r="F1210" s="187"/>
    </row>
    <row r="1211" spans="1:6" x14ac:dyDescent="0.2">
      <c r="A1211" s="275"/>
      <c r="B1211" s="78"/>
      <c r="C1211" s="189"/>
      <c r="D1211" s="185"/>
      <c r="E1211" s="186"/>
      <c r="F1211" s="187"/>
    </row>
    <row r="1212" spans="1:6" x14ac:dyDescent="0.2">
      <c r="A1212" s="275"/>
      <c r="B1212" s="78"/>
      <c r="C1212" s="189"/>
      <c r="D1212" s="185"/>
      <c r="E1212" s="186"/>
      <c r="F1212" s="187"/>
    </row>
    <row r="1213" spans="1:6" x14ac:dyDescent="0.2">
      <c r="A1213" s="275"/>
      <c r="B1213" s="78"/>
      <c r="C1213" s="189"/>
      <c r="D1213" s="185"/>
      <c r="E1213" s="186"/>
      <c r="F1213" s="187"/>
    </row>
    <row r="1214" spans="1:6" x14ac:dyDescent="0.2">
      <c r="A1214" s="275"/>
      <c r="B1214" s="78"/>
      <c r="C1214" s="189"/>
      <c r="D1214" s="185"/>
      <c r="E1214" s="186"/>
      <c r="F1214" s="187"/>
    </row>
    <row r="1215" spans="1:6" x14ac:dyDescent="0.2">
      <c r="A1215" s="275"/>
      <c r="B1215" s="78"/>
      <c r="C1215" s="189"/>
      <c r="D1215" s="185"/>
      <c r="E1215" s="186"/>
      <c r="F1215" s="187"/>
    </row>
    <row r="1216" spans="1:6" x14ac:dyDescent="0.2">
      <c r="A1216" s="275"/>
      <c r="B1216" s="78"/>
      <c r="C1216" s="189"/>
      <c r="D1216" s="185"/>
      <c r="E1216" s="186"/>
      <c r="F1216" s="187"/>
    </row>
    <row r="1217" spans="1:6" x14ac:dyDescent="0.2">
      <c r="A1217" s="275"/>
      <c r="B1217" s="78"/>
      <c r="C1217" s="189"/>
      <c r="D1217" s="185"/>
      <c r="E1217" s="186"/>
      <c r="F1217" s="187"/>
    </row>
    <row r="1218" spans="1:6" x14ac:dyDescent="0.2">
      <c r="A1218" s="275"/>
      <c r="B1218" s="78"/>
      <c r="C1218" s="189"/>
      <c r="D1218" s="185"/>
      <c r="E1218" s="186"/>
      <c r="F1218" s="187"/>
    </row>
    <row r="1219" spans="1:6" x14ac:dyDescent="0.2">
      <c r="A1219" s="275"/>
      <c r="B1219" s="78"/>
      <c r="C1219" s="189"/>
      <c r="D1219" s="185"/>
      <c r="E1219" s="186"/>
      <c r="F1219" s="187"/>
    </row>
    <row r="1220" spans="1:6" x14ac:dyDescent="0.2">
      <c r="A1220" s="275"/>
      <c r="B1220" s="78"/>
      <c r="C1220" s="189"/>
      <c r="D1220" s="185"/>
      <c r="E1220" s="186"/>
      <c r="F1220" s="187"/>
    </row>
    <row r="1221" spans="1:6" x14ac:dyDescent="0.2">
      <c r="A1221" s="275"/>
      <c r="B1221" s="78"/>
      <c r="C1221" s="189"/>
      <c r="D1221" s="185"/>
      <c r="E1221" s="186"/>
      <c r="F1221" s="187"/>
    </row>
    <row r="1222" spans="1:6" x14ac:dyDescent="0.2">
      <c r="A1222" s="275"/>
      <c r="B1222" s="78"/>
      <c r="C1222" s="189"/>
      <c r="D1222" s="185"/>
      <c r="E1222" s="186"/>
      <c r="F1222" s="187"/>
    </row>
    <row r="1223" spans="1:6" x14ac:dyDescent="0.2">
      <c r="A1223" s="275"/>
      <c r="B1223" s="78"/>
      <c r="C1223" s="189"/>
      <c r="D1223" s="185"/>
      <c r="E1223" s="186"/>
      <c r="F1223" s="187"/>
    </row>
    <row r="1224" spans="1:6" x14ac:dyDescent="0.2">
      <c r="A1224" s="275"/>
      <c r="B1224" s="78"/>
      <c r="C1224" s="189"/>
      <c r="D1224" s="185"/>
      <c r="E1224" s="186"/>
      <c r="F1224" s="187"/>
    </row>
    <row r="1225" spans="1:6" x14ac:dyDescent="0.2">
      <c r="A1225" s="275"/>
      <c r="B1225" s="78"/>
      <c r="C1225" s="189"/>
      <c r="D1225" s="185"/>
      <c r="E1225" s="186"/>
      <c r="F1225" s="187"/>
    </row>
    <row r="1226" spans="1:6" x14ac:dyDescent="0.2">
      <c r="A1226" s="275"/>
      <c r="B1226" s="78"/>
      <c r="C1226" s="189"/>
      <c r="D1226" s="185"/>
      <c r="E1226" s="186"/>
      <c r="F1226" s="187"/>
    </row>
    <row r="1227" spans="1:6" x14ac:dyDescent="0.2">
      <c r="A1227" s="275"/>
      <c r="B1227" s="78"/>
      <c r="C1227" s="189"/>
      <c r="D1227" s="185"/>
      <c r="E1227" s="186"/>
      <c r="F1227" s="187"/>
    </row>
    <row r="1228" spans="1:6" x14ac:dyDescent="0.2">
      <c r="A1228" s="275"/>
      <c r="B1228" s="78"/>
      <c r="C1228" s="189"/>
      <c r="D1228" s="185"/>
      <c r="E1228" s="186"/>
      <c r="F1228" s="187"/>
    </row>
    <row r="1229" spans="1:6" x14ac:dyDescent="0.2">
      <c r="A1229" s="275"/>
      <c r="B1229" s="78"/>
      <c r="C1229" s="189"/>
      <c r="D1229" s="185"/>
      <c r="E1229" s="186"/>
      <c r="F1229" s="187"/>
    </row>
    <row r="1230" spans="1:6" x14ac:dyDescent="0.2">
      <c r="A1230" s="275"/>
      <c r="B1230" s="78"/>
      <c r="C1230" s="189"/>
      <c r="D1230" s="185"/>
      <c r="E1230" s="186"/>
      <c r="F1230" s="187"/>
    </row>
    <row r="1231" spans="1:6" x14ac:dyDescent="0.2">
      <c r="A1231" s="275"/>
      <c r="B1231" s="78"/>
      <c r="C1231" s="189"/>
      <c r="D1231" s="185"/>
      <c r="E1231" s="186"/>
      <c r="F1231" s="187"/>
    </row>
    <row r="1232" spans="1:6" x14ac:dyDescent="0.2">
      <c r="A1232" s="275"/>
      <c r="B1232" s="78"/>
      <c r="C1232" s="189"/>
      <c r="D1232" s="185"/>
      <c r="E1232" s="186"/>
      <c r="F1232" s="187"/>
    </row>
    <row r="1233" spans="1:6" x14ac:dyDescent="0.2">
      <c r="A1233" s="275"/>
      <c r="B1233" s="78"/>
      <c r="C1233" s="189"/>
      <c r="D1233" s="185"/>
      <c r="E1233" s="186"/>
      <c r="F1233" s="187"/>
    </row>
    <row r="1234" spans="1:6" x14ac:dyDescent="0.2">
      <c r="A1234" s="275"/>
      <c r="B1234" s="78"/>
      <c r="C1234" s="189"/>
      <c r="D1234" s="185"/>
      <c r="E1234" s="186"/>
      <c r="F1234" s="187"/>
    </row>
    <row r="1235" spans="1:6" x14ac:dyDescent="0.2">
      <c r="A1235" s="275"/>
      <c r="B1235" s="78"/>
      <c r="C1235" s="189"/>
      <c r="D1235" s="185"/>
      <c r="E1235" s="186"/>
      <c r="F1235" s="187"/>
    </row>
    <row r="1236" spans="1:6" x14ac:dyDescent="0.2">
      <c r="A1236" s="275"/>
      <c r="B1236" s="78"/>
      <c r="C1236" s="189"/>
      <c r="D1236" s="185"/>
      <c r="E1236" s="186"/>
      <c r="F1236" s="187"/>
    </row>
    <row r="1237" spans="1:6" x14ac:dyDescent="0.2">
      <c r="A1237" s="275"/>
      <c r="B1237" s="78"/>
      <c r="C1237" s="189"/>
      <c r="D1237" s="185"/>
      <c r="E1237" s="186"/>
      <c r="F1237" s="187"/>
    </row>
    <row r="1238" spans="1:6" x14ac:dyDescent="0.2">
      <c r="A1238" s="275"/>
      <c r="B1238" s="78"/>
      <c r="C1238" s="189"/>
      <c r="D1238" s="185"/>
      <c r="E1238" s="186"/>
      <c r="F1238" s="187"/>
    </row>
    <row r="1239" spans="1:6" x14ac:dyDescent="0.2">
      <c r="A1239" s="275"/>
      <c r="B1239" s="78"/>
      <c r="C1239" s="189"/>
      <c r="D1239" s="185"/>
      <c r="E1239" s="186"/>
      <c r="F1239" s="187"/>
    </row>
    <row r="1240" spans="1:6" x14ac:dyDescent="0.2">
      <c r="A1240" s="275"/>
      <c r="B1240" s="78"/>
      <c r="C1240" s="189"/>
      <c r="D1240" s="185"/>
      <c r="E1240" s="186"/>
      <c r="F1240" s="187"/>
    </row>
    <row r="1241" spans="1:6" x14ac:dyDescent="0.2">
      <c r="A1241" s="275"/>
      <c r="B1241" s="78"/>
      <c r="C1241" s="189"/>
      <c r="D1241" s="185"/>
      <c r="E1241" s="186"/>
      <c r="F1241" s="187"/>
    </row>
    <row r="1242" spans="1:6" x14ac:dyDescent="0.2">
      <c r="A1242" s="275"/>
      <c r="B1242" s="78"/>
      <c r="C1242" s="189"/>
      <c r="D1242" s="185"/>
      <c r="E1242" s="186"/>
      <c r="F1242" s="187"/>
    </row>
    <row r="1243" spans="1:6" x14ac:dyDescent="0.2">
      <c r="A1243" s="275"/>
      <c r="B1243" s="78"/>
      <c r="C1243" s="189"/>
      <c r="D1243" s="185"/>
      <c r="E1243" s="186"/>
      <c r="F1243" s="187"/>
    </row>
    <row r="1244" spans="1:6" x14ac:dyDescent="0.2">
      <c r="A1244" s="275"/>
      <c r="B1244" s="78"/>
      <c r="C1244" s="189"/>
      <c r="D1244" s="185"/>
      <c r="E1244" s="186"/>
      <c r="F1244" s="187"/>
    </row>
    <row r="1245" spans="1:6" x14ac:dyDescent="0.2">
      <c r="A1245" s="275"/>
      <c r="B1245" s="78"/>
      <c r="C1245" s="189"/>
      <c r="D1245" s="185"/>
      <c r="E1245" s="186"/>
      <c r="F1245" s="187"/>
    </row>
    <row r="1246" spans="1:6" x14ac:dyDescent="0.2">
      <c r="A1246" s="275"/>
      <c r="B1246" s="78"/>
      <c r="C1246" s="189"/>
      <c r="D1246" s="185"/>
      <c r="E1246" s="186"/>
      <c r="F1246" s="187"/>
    </row>
    <row r="1247" spans="1:6" x14ac:dyDescent="0.2">
      <c r="A1247" s="275"/>
      <c r="B1247" s="78"/>
      <c r="C1247" s="189"/>
      <c r="D1247" s="185"/>
      <c r="E1247" s="186"/>
      <c r="F1247" s="187"/>
    </row>
    <row r="1248" spans="1:6" x14ac:dyDescent="0.2">
      <c r="A1248" s="275"/>
      <c r="B1248" s="78"/>
      <c r="C1248" s="189"/>
      <c r="D1248" s="185"/>
      <c r="E1248" s="186"/>
      <c r="F1248" s="187"/>
    </row>
    <row r="1249" spans="1:6" x14ac:dyDescent="0.2">
      <c r="A1249" s="275"/>
      <c r="B1249" s="78"/>
      <c r="C1249" s="189"/>
      <c r="D1249" s="185"/>
      <c r="E1249" s="186"/>
      <c r="F1249" s="187"/>
    </row>
    <row r="1250" spans="1:6" x14ac:dyDescent="0.2">
      <c r="A1250" s="275"/>
      <c r="B1250" s="78"/>
      <c r="C1250" s="189"/>
      <c r="D1250" s="185"/>
      <c r="E1250" s="186"/>
      <c r="F1250" s="187"/>
    </row>
    <row r="1251" spans="1:6" x14ac:dyDescent="0.2">
      <c r="A1251" s="275"/>
      <c r="B1251" s="78"/>
      <c r="C1251" s="189"/>
      <c r="D1251" s="185"/>
      <c r="E1251" s="186"/>
      <c r="F1251" s="187"/>
    </row>
    <row r="1252" spans="1:6" x14ac:dyDescent="0.2">
      <c r="A1252" s="275"/>
      <c r="B1252" s="78"/>
      <c r="C1252" s="189"/>
      <c r="D1252" s="185"/>
      <c r="E1252" s="186"/>
      <c r="F1252" s="187"/>
    </row>
    <row r="1253" spans="1:6" x14ac:dyDescent="0.2">
      <c r="A1253" s="275"/>
      <c r="B1253" s="78"/>
      <c r="C1253" s="189"/>
      <c r="D1253" s="185"/>
      <c r="E1253" s="186"/>
      <c r="F1253" s="187"/>
    </row>
    <row r="1254" spans="1:6" x14ac:dyDescent="0.2">
      <c r="A1254" s="275"/>
      <c r="B1254" s="78"/>
      <c r="C1254" s="189"/>
      <c r="D1254" s="185"/>
      <c r="E1254" s="186"/>
      <c r="F1254" s="187"/>
    </row>
    <row r="1255" spans="1:6" x14ac:dyDescent="0.2">
      <c r="A1255" s="275"/>
      <c r="B1255" s="78"/>
      <c r="C1255" s="189"/>
      <c r="D1255" s="185"/>
      <c r="E1255" s="186"/>
      <c r="F1255" s="187"/>
    </row>
    <row r="1256" spans="1:6" x14ac:dyDescent="0.2">
      <c r="A1256" s="275"/>
      <c r="B1256" s="78"/>
      <c r="C1256" s="189"/>
      <c r="D1256" s="185"/>
      <c r="E1256" s="186"/>
      <c r="F1256" s="187"/>
    </row>
    <row r="1257" spans="1:6" x14ac:dyDescent="0.2">
      <c r="A1257" s="275"/>
      <c r="B1257" s="78"/>
      <c r="C1257" s="189"/>
      <c r="D1257" s="185"/>
      <c r="E1257" s="186"/>
      <c r="F1257" s="187"/>
    </row>
    <row r="1258" spans="1:6" x14ac:dyDescent="0.2">
      <c r="A1258" s="275"/>
      <c r="B1258" s="78"/>
      <c r="C1258" s="189"/>
      <c r="D1258" s="185"/>
      <c r="E1258" s="186"/>
      <c r="F1258" s="187"/>
    </row>
    <row r="1259" spans="1:6" x14ac:dyDescent="0.2">
      <c r="A1259" s="275"/>
      <c r="B1259" s="78"/>
      <c r="C1259" s="189"/>
      <c r="D1259" s="185"/>
      <c r="E1259" s="186"/>
      <c r="F1259" s="187"/>
    </row>
    <row r="1260" spans="1:6" x14ac:dyDescent="0.2">
      <c r="A1260" s="275"/>
      <c r="B1260" s="78"/>
      <c r="C1260" s="189"/>
      <c r="D1260" s="185"/>
      <c r="E1260" s="186"/>
      <c r="F1260" s="187"/>
    </row>
    <row r="1261" spans="1:6" x14ac:dyDescent="0.2">
      <c r="A1261" s="275"/>
      <c r="B1261" s="78"/>
      <c r="C1261" s="189"/>
      <c r="D1261" s="185"/>
      <c r="E1261" s="186"/>
      <c r="F1261" s="187"/>
    </row>
    <row r="1262" spans="1:6" x14ac:dyDescent="0.2">
      <c r="A1262" s="275"/>
      <c r="B1262" s="78"/>
      <c r="C1262" s="189"/>
      <c r="D1262" s="185"/>
      <c r="E1262" s="186"/>
      <c r="F1262" s="187"/>
    </row>
    <row r="1263" spans="1:6" x14ac:dyDescent="0.2">
      <c r="A1263" s="275"/>
      <c r="B1263" s="78"/>
      <c r="C1263" s="189"/>
      <c r="D1263" s="185"/>
      <c r="E1263" s="186"/>
      <c r="F1263" s="187"/>
    </row>
    <row r="1264" spans="1:6" x14ac:dyDescent="0.2">
      <c r="A1264" s="275"/>
      <c r="B1264" s="78"/>
      <c r="C1264" s="189"/>
      <c r="D1264" s="185"/>
      <c r="E1264" s="186"/>
      <c r="F1264" s="187"/>
    </row>
    <row r="1265" spans="1:6" x14ac:dyDescent="0.2">
      <c r="A1265" s="275"/>
      <c r="B1265" s="78"/>
      <c r="C1265" s="189"/>
      <c r="D1265" s="185"/>
      <c r="E1265" s="186"/>
      <c r="F1265" s="187"/>
    </row>
    <row r="1266" spans="1:6" x14ac:dyDescent="0.2">
      <c r="A1266" s="275"/>
      <c r="B1266" s="78"/>
      <c r="C1266" s="189"/>
      <c r="D1266" s="185"/>
      <c r="E1266" s="186"/>
      <c r="F1266" s="187"/>
    </row>
    <row r="1267" spans="1:6" x14ac:dyDescent="0.2">
      <c r="A1267" s="275"/>
      <c r="B1267" s="78"/>
      <c r="C1267" s="189"/>
      <c r="D1267" s="185"/>
      <c r="E1267" s="186"/>
      <c r="F1267" s="187"/>
    </row>
    <row r="1268" spans="1:6" x14ac:dyDescent="0.2">
      <c r="A1268" s="275"/>
      <c r="B1268" s="78"/>
      <c r="C1268" s="189"/>
      <c r="D1268" s="185"/>
      <c r="E1268" s="186"/>
      <c r="F1268" s="187"/>
    </row>
    <row r="1269" spans="1:6" x14ac:dyDescent="0.2">
      <c r="A1269" s="275"/>
      <c r="B1269" s="78"/>
      <c r="C1269" s="189"/>
      <c r="D1269" s="185"/>
      <c r="E1269" s="186"/>
      <c r="F1269" s="187"/>
    </row>
    <row r="1270" spans="1:6" x14ac:dyDescent="0.2">
      <c r="A1270" s="275"/>
      <c r="B1270" s="78"/>
      <c r="C1270" s="189"/>
      <c r="D1270" s="185"/>
      <c r="E1270" s="186"/>
      <c r="F1270" s="187"/>
    </row>
    <row r="1271" spans="1:6" x14ac:dyDescent="0.2">
      <c r="A1271" s="275"/>
      <c r="B1271" s="78"/>
      <c r="C1271" s="189"/>
      <c r="D1271" s="185"/>
      <c r="E1271" s="186"/>
      <c r="F1271" s="187"/>
    </row>
    <row r="1272" spans="1:6" x14ac:dyDescent="0.2">
      <c r="A1272" s="275"/>
      <c r="B1272" s="78"/>
      <c r="C1272" s="189"/>
      <c r="D1272" s="185"/>
      <c r="E1272" s="186"/>
      <c r="F1272" s="187"/>
    </row>
    <row r="1273" spans="1:6" x14ac:dyDescent="0.2">
      <c r="A1273" s="275"/>
      <c r="B1273" s="78"/>
      <c r="C1273" s="189"/>
      <c r="D1273" s="185"/>
      <c r="E1273" s="186"/>
      <c r="F1273" s="187"/>
    </row>
    <row r="1274" spans="1:6" x14ac:dyDescent="0.2">
      <c r="A1274" s="275"/>
      <c r="B1274" s="78"/>
      <c r="C1274" s="189"/>
      <c r="D1274" s="185"/>
      <c r="E1274" s="186"/>
      <c r="F1274" s="187"/>
    </row>
    <row r="1275" spans="1:6" x14ac:dyDescent="0.2">
      <c r="A1275" s="275"/>
      <c r="B1275" s="78"/>
      <c r="C1275" s="189"/>
      <c r="D1275" s="185"/>
      <c r="E1275" s="186"/>
      <c r="F1275" s="187"/>
    </row>
    <row r="1276" spans="1:6" x14ac:dyDescent="0.2">
      <c r="A1276" s="275"/>
      <c r="B1276" s="78"/>
      <c r="C1276" s="189"/>
      <c r="D1276" s="185"/>
      <c r="E1276" s="186"/>
      <c r="F1276" s="187"/>
    </row>
    <row r="1277" spans="1:6" x14ac:dyDescent="0.2">
      <c r="A1277" s="275"/>
      <c r="B1277" s="78"/>
      <c r="C1277" s="189"/>
      <c r="D1277" s="185"/>
      <c r="E1277" s="186"/>
      <c r="F1277" s="187"/>
    </row>
    <row r="1278" spans="1:6" x14ac:dyDescent="0.2">
      <c r="A1278" s="275"/>
      <c r="B1278" s="78"/>
      <c r="C1278" s="189"/>
      <c r="D1278" s="185"/>
      <c r="E1278" s="186"/>
      <c r="F1278" s="187"/>
    </row>
    <row r="1279" spans="1:6" x14ac:dyDescent="0.2">
      <c r="A1279" s="275"/>
      <c r="B1279" s="78"/>
      <c r="C1279" s="189"/>
      <c r="D1279" s="185"/>
      <c r="E1279" s="186"/>
      <c r="F1279" s="187"/>
    </row>
    <row r="1280" spans="1:6" x14ac:dyDescent="0.2">
      <c r="A1280" s="275"/>
      <c r="B1280" s="78"/>
      <c r="C1280" s="189"/>
      <c r="D1280" s="185"/>
      <c r="E1280" s="186"/>
      <c r="F1280" s="187"/>
    </row>
    <row r="1281" spans="1:6" x14ac:dyDescent="0.2">
      <c r="A1281" s="275"/>
      <c r="B1281" s="78"/>
      <c r="C1281" s="189"/>
      <c r="D1281" s="185"/>
      <c r="E1281" s="186"/>
      <c r="F1281" s="187"/>
    </row>
    <row r="1282" spans="1:6" x14ac:dyDescent="0.2">
      <c r="A1282" s="275"/>
      <c r="B1282" s="78"/>
      <c r="C1282" s="189"/>
      <c r="D1282" s="185"/>
      <c r="E1282" s="186"/>
      <c r="F1282" s="187"/>
    </row>
    <row r="1283" spans="1:6" x14ac:dyDescent="0.2">
      <c r="A1283" s="275"/>
      <c r="B1283" s="78"/>
      <c r="C1283" s="189"/>
      <c r="D1283" s="185"/>
      <c r="E1283" s="186"/>
      <c r="F1283" s="187"/>
    </row>
    <row r="1284" spans="1:6" x14ac:dyDescent="0.2">
      <c r="A1284" s="275"/>
      <c r="B1284" s="78"/>
      <c r="C1284" s="189"/>
      <c r="D1284" s="185"/>
      <c r="E1284" s="186"/>
      <c r="F1284" s="187"/>
    </row>
    <row r="1285" spans="1:6" x14ac:dyDescent="0.2">
      <c r="A1285" s="275"/>
      <c r="B1285" s="78"/>
      <c r="C1285" s="189"/>
      <c r="D1285" s="185"/>
      <c r="E1285" s="186"/>
      <c r="F1285" s="187"/>
    </row>
    <row r="1286" spans="1:6" x14ac:dyDescent="0.2">
      <c r="A1286" s="275"/>
      <c r="B1286" s="78"/>
      <c r="C1286" s="189"/>
      <c r="D1286" s="185"/>
      <c r="E1286" s="186"/>
      <c r="F1286" s="187"/>
    </row>
    <row r="1287" spans="1:6" x14ac:dyDescent="0.2">
      <c r="A1287" s="275"/>
      <c r="B1287" s="78"/>
      <c r="C1287" s="189"/>
      <c r="D1287" s="185"/>
      <c r="E1287" s="186"/>
      <c r="F1287" s="187"/>
    </row>
    <row r="1288" spans="1:6" x14ac:dyDescent="0.2">
      <c r="A1288" s="275"/>
      <c r="B1288" s="78"/>
      <c r="C1288" s="189"/>
      <c r="D1288" s="185"/>
      <c r="E1288" s="186"/>
      <c r="F1288" s="187"/>
    </row>
    <row r="1289" spans="1:6" x14ac:dyDescent="0.2">
      <c r="A1289" s="275"/>
      <c r="B1289" s="78"/>
      <c r="C1289" s="189"/>
      <c r="D1289" s="185"/>
      <c r="E1289" s="186"/>
      <c r="F1289" s="187"/>
    </row>
    <row r="1290" spans="1:6" x14ac:dyDescent="0.2">
      <c r="A1290" s="275"/>
      <c r="B1290" s="78"/>
      <c r="C1290" s="189"/>
      <c r="D1290" s="185"/>
      <c r="E1290" s="186"/>
      <c r="F1290" s="187"/>
    </row>
    <row r="1291" spans="1:6" x14ac:dyDescent="0.2">
      <c r="A1291" s="275"/>
      <c r="B1291" s="78"/>
      <c r="C1291" s="189"/>
      <c r="D1291" s="185"/>
      <c r="E1291" s="186"/>
      <c r="F1291" s="187"/>
    </row>
    <row r="1292" spans="1:6" x14ac:dyDescent="0.2">
      <c r="A1292" s="275"/>
      <c r="B1292" s="78"/>
      <c r="C1292" s="189"/>
      <c r="D1292" s="185"/>
      <c r="E1292" s="186"/>
      <c r="F1292" s="187"/>
    </row>
    <row r="1293" spans="1:6" x14ac:dyDescent="0.2">
      <c r="A1293" s="275"/>
      <c r="B1293" s="78"/>
      <c r="C1293" s="189"/>
      <c r="D1293" s="185"/>
      <c r="E1293" s="186"/>
      <c r="F1293" s="187"/>
    </row>
    <row r="1294" spans="1:6" x14ac:dyDescent="0.2">
      <c r="A1294" s="275"/>
      <c r="B1294" s="78"/>
      <c r="C1294" s="189"/>
      <c r="D1294" s="185"/>
      <c r="E1294" s="186"/>
      <c r="F1294" s="187"/>
    </row>
    <row r="1295" spans="1:6" x14ac:dyDescent="0.2">
      <c r="A1295" s="275"/>
      <c r="B1295" s="78"/>
      <c r="C1295" s="189"/>
      <c r="D1295" s="185"/>
      <c r="E1295" s="186"/>
      <c r="F1295" s="187"/>
    </row>
    <row r="1296" spans="1:6" x14ac:dyDescent="0.2">
      <c r="A1296" s="275"/>
      <c r="B1296" s="78"/>
      <c r="C1296" s="189"/>
      <c r="D1296" s="185"/>
      <c r="E1296" s="186"/>
      <c r="F1296" s="187"/>
    </row>
    <row r="1297" spans="1:6" x14ac:dyDescent="0.2">
      <c r="A1297" s="275"/>
      <c r="B1297" s="78"/>
      <c r="C1297" s="189"/>
      <c r="D1297" s="185"/>
      <c r="E1297" s="186"/>
      <c r="F1297" s="187"/>
    </row>
    <row r="1298" spans="1:6" x14ac:dyDescent="0.2">
      <c r="A1298" s="275"/>
      <c r="B1298" s="78"/>
      <c r="C1298" s="189"/>
      <c r="D1298" s="185"/>
      <c r="E1298" s="186"/>
      <c r="F1298" s="187"/>
    </row>
    <row r="1299" spans="1:6" x14ac:dyDescent="0.2">
      <c r="A1299" s="275"/>
      <c r="B1299" s="78"/>
      <c r="C1299" s="189"/>
      <c r="D1299" s="185"/>
      <c r="E1299" s="186"/>
      <c r="F1299" s="187"/>
    </row>
    <row r="1300" spans="1:6" x14ac:dyDescent="0.2">
      <c r="A1300" s="275"/>
      <c r="B1300" s="78"/>
      <c r="C1300" s="189"/>
      <c r="D1300" s="185"/>
      <c r="E1300" s="186"/>
      <c r="F1300" s="187"/>
    </row>
    <row r="1301" spans="1:6" x14ac:dyDescent="0.2">
      <c r="A1301" s="275"/>
      <c r="B1301" s="78"/>
      <c r="C1301" s="189"/>
      <c r="D1301" s="185"/>
      <c r="E1301" s="186"/>
      <c r="F1301" s="187"/>
    </row>
    <row r="1302" spans="1:6" x14ac:dyDescent="0.2">
      <c r="A1302" s="275"/>
      <c r="B1302" s="78"/>
      <c r="C1302" s="189"/>
      <c r="D1302" s="185"/>
      <c r="E1302" s="186"/>
      <c r="F1302" s="187"/>
    </row>
    <row r="1303" spans="1:6" x14ac:dyDescent="0.2">
      <c r="A1303" s="275"/>
      <c r="B1303" s="78"/>
      <c r="C1303" s="189"/>
      <c r="D1303" s="185"/>
      <c r="E1303" s="186"/>
      <c r="F1303" s="187"/>
    </row>
    <row r="1304" spans="1:6" x14ac:dyDescent="0.2">
      <c r="A1304" s="275"/>
      <c r="B1304" s="78"/>
      <c r="C1304" s="189"/>
      <c r="D1304" s="185"/>
      <c r="E1304" s="186"/>
      <c r="F1304" s="187"/>
    </row>
    <row r="1305" spans="1:6" x14ac:dyDescent="0.2">
      <c r="A1305" s="275"/>
      <c r="B1305" s="78"/>
      <c r="C1305" s="189"/>
      <c r="D1305" s="185"/>
      <c r="E1305" s="186"/>
      <c r="F1305" s="187"/>
    </row>
    <row r="1306" spans="1:6" x14ac:dyDescent="0.2">
      <c r="A1306" s="275"/>
      <c r="B1306" s="78"/>
      <c r="C1306" s="189"/>
      <c r="D1306" s="185"/>
      <c r="E1306" s="186"/>
      <c r="F1306" s="187"/>
    </row>
    <row r="1307" spans="1:6" x14ac:dyDescent="0.2">
      <c r="A1307" s="275"/>
      <c r="B1307" s="78"/>
      <c r="C1307" s="189"/>
      <c r="D1307" s="185"/>
      <c r="E1307" s="186"/>
      <c r="F1307" s="187"/>
    </row>
    <row r="1308" spans="1:6" x14ac:dyDescent="0.2">
      <c r="A1308" s="275"/>
      <c r="B1308" s="78"/>
      <c r="C1308" s="189"/>
      <c r="D1308" s="185"/>
      <c r="E1308" s="186"/>
      <c r="F1308" s="187"/>
    </row>
    <row r="1309" spans="1:6" x14ac:dyDescent="0.2">
      <c r="A1309" s="275"/>
      <c r="B1309" s="78"/>
      <c r="C1309" s="189"/>
      <c r="D1309" s="185"/>
      <c r="E1309" s="186"/>
      <c r="F1309" s="187"/>
    </row>
    <row r="1310" spans="1:6" x14ac:dyDescent="0.2">
      <c r="A1310" s="275"/>
      <c r="B1310" s="78"/>
      <c r="C1310" s="189"/>
      <c r="D1310" s="185"/>
      <c r="E1310" s="186"/>
      <c r="F1310" s="187"/>
    </row>
    <row r="1311" spans="1:6" x14ac:dyDescent="0.2">
      <c r="A1311" s="275"/>
      <c r="B1311" s="78"/>
      <c r="C1311" s="189"/>
      <c r="D1311" s="185"/>
      <c r="E1311" s="186"/>
      <c r="F1311" s="187"/>
    </row>
    <row r="1312" spans="1:6" x14ac:dyDescent="0.2">
      <c r="A1312" s="275"/>
      <c r="B1312" s="78"/>
      <c r="C1312" s="189"/>
      <c r="D1312" s="185"/>
      <c r="E1312" s="186"/>
      <c r="F1312" s="187"/>
    </row>
    <row r="1313" spans="1:6" x14ac:dyDescent="0.2">
      <c r="A1313" s="275"/>
      <c r="B1313" s="78"/>
      <c r="C1313" s="189"/>
      <c r="D1313" s="185"/>
      <c r="E1313" s="186"/>
      <c r="F1313" s="187"/>
    </row>
    <row r="1314" spans="1:6" x14ac:dyDescent="0.2">
      <c r="A1314" s="275"/>
      <c r="B1314" s="78"/>
      <c r="C1314" s="189"/>
      <c r="D1314" s="185"/>
      <c r="E1314" s="186"/>
      <c r="F1314" s="187"/>
    </row>
    <row r="1315" spans="1:6" x14ac:dyDescent="0.2">
      <c r="A1315" s="275"/>
      <c r="B1315" s="78"/>
      <c r="C1315" s="189"/>
      <c r="D1315" s="185"/>
      <c r="E1315" s="186"/>
      <c r="F1315" s="187"/>
    </row>
    <row r="1316" spans="1:6" x14ac:dyDescent="0.2">
      <c r="A1316" s="275"/>
      <c r="B1316" s="78"/>
      <c r="C1316" s="189"/>
      <c r="D1316" s="185"/>
      <c r="E1316" s="186"/>
      <c r="F1316" s="187"/>
    </row>
    <row r="1317" spans="1:6" x14ac:dyDescent="0.2">
      <c r="A1317" s="275"/>
      <c r="B1317" s="78"/>
      <c r="C1317" s="189"/>
      <c r="D1317" s="185"/>
      <c r="E1317" s="186"/>
      <c r="F1317" s="187"/>
    </row>
    <row r="1318" spans="1:6" x14ac:dyDescent="0.2">
      <c r="A1318" s="275"/>
      <c r="B1318" s="78"/>
      <c r="C1318" s="189"/>
      <c r="D1318" s="185"/>
      <c r="E1318" s="186"/>
      <c r="F1318" s="187"/>
    </row>
    <row r="1319" spans="1:6" x14ac:dyDescent="0.2">
      <c r="A1319" s="275"/>
      <c r="B1319" s="78"/>
      <c r="C1319" s="189"/>
      <c r="D1319" s="185"/>
      <c r="E1319" s="186"/>
      <c r="F1319" s="187"/>
    </row>
    <row r="1320" spans="1:6" x14ac:dyDescent="0.2">
      <c r="A1320" s="275"/>
      <c r="B1320" s="78"/>
      <c r="C1320" s="189"/>
      <c r="D1320" s="185"/>
      <c r="E1320" s="186"/>
      <c r="F1320" s="187"/>
    </row>
    <row r="1321" spans="1:6" x14ac:dyDescent="0.2">
      <c r="A1321" s="275"/>
      <c r="B1321" s="78"/>
      <c r="C1321" s="189"/>
      <c r="D1321" s="185"/>
      <c r="E1321" s="186"/>
      <c r="F1321" s="187"/>
    </row>
    <row r="1322" spans="1:6" x14ac:dyDescent="0.2">
      <c r="A1322" s="275"/>
      <c r="B1322" s="78"/>
      <c r="C1322" s="189"/>
      <c r="D1322" s="185"/>
      <c r="E1322" s="186"/>
      <c r="F1322" s="187"/>
    </row>
    <row r="1323" spans="1:6" x14ac:dyDescent="0.2">
      <c r="A1323" s="275"/>
      <c r="B1323" s="78"/>
      <c r="C1323" s="189"/>
      <c r="D1323" s="185"/>
      <c r="E1323" s="186"/>
      <c r="F1323" s="187"/>
    </row>
    <row r="1324" spans="1:6" x14ac:dyDescent="0.2">
      <c r="A1324" s="275"/>
      <c r="B1324" s="78"/>
      <c r="C1324" s="189"/>
      <c r="D1324" s="185"/>
      <c r="E1324" s="186"/>
      <c r="F1324" s="187"/>
    </row>
    <row r="1325" spans="1:6" x14ac:dyDescent="0.2">
      <c r="A1325" s="275"/>
      <c r="B1325" s="78"/>
      <c r="C1325" s="189"/>
      <c r="D1325" s="185"/>
      <c r="E1325" s="186"/>
      <c r="F1325" s="187"/>
    </row>
    <row r="1326" spans="1:6" x14ac:dyDescent="0.2">
      <c r="A1326" s="275"/>
      <c r="B1326" s="78"/>
      <c r="C1326" s="189"/>
      <c r="D1326" s="185"/>
      <c r="E1326" s="186"/>
      <c r="F1326" s="187"/>
    </row>
    <row r="1327" spans="1:6" x14ac:dyDescent="0.2">
      <c r="A1327" s="275"/>
      <c r="B1327" s="78"/>
      <c r="C1327" s="189"/>
      <c r="D1327" s="185"/>
      <c r="E1327" s="186"/>
      <c r="F1327" s="187"/>
    </row>
    <row r="1328" spans="1:6" x14ac:dyDescent="0.2">
      <c r="A1328" s="275"/>
      <c r="B1328" s="78"/>
      <c r="C1328" s="189"/>
      <c r="D1328" s="185"/>
      <c r="E1328" s="186"/>
      <c r="F1328" s="187"/>
    </row>
    <row r="1329" spans="1:6" x14ac:dyDescent="0.2">
      <c r="A1329" s="275"/>
      <c r="B1329" s="78"/>
      <c r="C1329" s="189"/>
      <c r="D1329" s="185"/>
      <c r="E1329" s="186"/>
      <c r="F1329" s="187"/>
    </row>
    <row r="1330" spans="1:6" x14ac:dyDescent="0.2">
      <c r="A1330" s="275"/>
      <c r="B1330" s="78"/>
      <c r="C1330" s="189"/>
      <c r="D1330" s="185"/>
      <c r="E1330" s="186"/>
      <c r="F1330" s="187"/>
    </row>
    <row r="1331" spans="1:6" x14ac:dyDescent="0.2">
      <c r="A1331" s="275"/>
      <c r="B1331" s="78"/>
      <c r="C1331" s="189"/>
      <c r="D1331" s="185"/>
      <c r="E1331" s="186"/>
      <c r="F1331" s="187"/>
    </row>
    <row r="1332" spans="1:6" x14ac:dyDescent="0.2">
      <c r="A1332" s="275"/>
      <c r="B1332" s="78"/>
      <c r="C1332" s="189"/>
      <c r="D1332" s="185"/>
      <c r="E1332" s="186"/>
      <c r="F1332" s="187"/>
    </row>
    <row r="1333" spans="1:6" x14ac:dyDescent="0.2">
      <c r="A1333" s="275"/>
      <c r="B1333" s="78"/>
      <c r="C1333" s="189"/>
      <c r="D1333" s="185"/>
      <c r="E1333" s="186"/>
      <c r="F1333" s="187"/>
    </row>
    <row r="1334" spans="1:6" x14ac:dyDescent="0.2">
      <c r="A1334" s="275"/>
      <c r="B1334" s="78"/>
      <c r="C1334" s="189"/>
      <c r="D1334" s="185"/>
      <c r="E1334" s="186"/>
      <c r="F1334" s="187"/>
    </row>
    <row r="1335" spans="1:6" x14ac:dyDescent="0.2">
      <c r="A1335" s="275"/>
      <c r="B1335" s="78"/>
      <c r="C1335" s="189"/>
      <c r="D1335" s="185"/>
      <c r="E1335" s="186"/>
      <c r="F1335" s="187"/>
    </row>
    <row r="1336" spans="1:6" x14ac:dyDescent="0.2">
      <c r="A1336" s="275"/>
      <c r="B1336" s="78"/>
      <c r="C1336" s="189"/>
      <c r="D1336" s="185"/>
      <c r="E1336" s="186"/>
      <c r="F1336" s="187"/>
    </row>
    <row r="1337" spans="1:6" x14ac:dyDescent="0.2">
      <c r="A1337" s="275"/>
      <c r="B1337" s="78"/>
      <c r="C1337" s="189"/>
      <c r="D1337" s="185"/>
      <c r="E1337" s="186"/>
      <c r="F1337" s="187"/>
    </row>
    <row r="1338" spans="1:6" x14ac:dyDescent="0.2">
      <c r="A1338" s="275"/>
      <c r="B1338" s="78"/>
      <c r="C1338" s="189"/>
      <c r="D1338" s="185"/>
      <c r="E1338" s="186"/>
      <c r="F1338" s="187"/>
    </row>
    <row r="1339" spans="1:6" x14ac:dyDescent="0.2">
      <c r="A1339" s="275"/>
      <c r="B1339" s="78"/>
      <c r="C1339" s="189"/>
      <c r="D1339" s="185"/>
      <c r="E1339" s="186"/>
      <c r="F1339" s="187"/>
    </row>
    <row r="1340" spans="1:6" x14ac:dyDescent="0.2">
      <c r="A1340" s="275"/>
      <c r="B1340" s="78"/>
      <c r="C1340" s="189"/>
      <c r="D1340" s="185"/>
      <c r="E1340" s="186"/>
      <c r="F1340" s="187"/>
    </row>
    <row r="1341" spans="1:6" x14ac:dyDescent="0.2">
      <c r="A1341" s="275"/>
      <c r="B1341" s="78"/>
      <c r="C1341" s="189"/>
      <c r="D1341" s="185"/>
      <c r="E1341" s="186"/>
      <c r="F1341" s="187"/>
    </row>
    <row r="1342" spans="1:6" x14ac:dyDescent="0.2">
      <c r="A1342" s="275"/>
      <c r="B1342" s="78"/>
      <c r="C1342" s="189"/>
      <c r="D1342" s="185"/>
      <c r="E1342" s="186"/>
      <c r="F1342" s="187"/>
    </row>
    <row r="1343" spans="1:6" x14ac:dyDescent="0.2">
      <c r="A1343" s="275"/>
      <c r="B1343" s="78"/>
      <c r="C1343" s="189"/>
      <c r="D1343" s="185"/>
      <c r="E1343" s="186"/>
      <c r="F1343" s="187"/>
    </row>
    <row r="1344" spans="1:6" x14ac:dyDescent="0.2">
      <c r="A1344" s="275"/>
      <c r="B1344" s="78"/>
      <c r="C1344" s="189"/>
      <c r="D1344" s="185"/>
      <c r="E1344" s="186"/>
      <c r="F1344" s="187"/>
    </row>
    <row r="1345" spans="1:6" x14ac:dyDescent="0.2">
      <c r="A1345" s="275"/>
      <c r="B1345" s="78"/>
      <c r="C1345" s="189"/>
      <c r="D1345" s="185"/>
      <c r="E1345" s="186"/>
      <c r="F1345" s="187"/>
    </row>
    <row r="1346" spans="1:6" x14ac:dyDescent="0.2">
      <c r="A1346" s="275"/>
      <c r="B1346" s="78"/>
      <c r="C1346" s="189"/>
      <c r="D1346" s="185"/>
      <c r="E1346" s="186"/>
      <c r="F1346" s="187"/>
    </row>
    <row r="1347" spans="1:6" x14ac:dyDescent="0.2">
      <c r="A1347" s="275"/>
      <c r="B1347" s="78"/>
      <c r="C1347" s="189"/>
      <c r="D1347" s="185"/>
      <c r="E1347" s="186"/>
      <c r="F1347" s="187"/>
    </row>
    <row r="1348" spans="1:6" x14ac:dyDescent="0.2">
      <c r="A1348" s="275"/>
      <c r="B1348" s="78"/>
      <c r="C1348" s="189"/>
      <c r="D1348" s="185"/>
      <c r="E1348" s="186"/>
      <c r="F1348" s="187"/>
    </row>
    <row r="1349" spans="1:6" x14ac:dyDescent="0.2">
      <c r="A1349" s="275"/>
      <c r="B1349" s="78"/>
      <c r="C1349" s="189"/>
      <c r="D1349" s="185"/>
      <c r="E1349" s="186"/>
      <c r="F1349" s="187"/>
    </row>
    <row r="1350" spans="1:6" x14ac:dyDescent="0.2">
      <c r="A1350" s="275"/>
      <c r="B1350" s="78"/>
      <c r="C1350" s="189"/>
      <c r="D1350" s="185"/>
      <c r="E1350" s="186"/>
      <c r="F1350" s="187"/>
    </row>
    <row r="1351" spans="1:6" x14ac:dyDescent="0.2">
      <c r="A1351" s="275"/>
      <c r="B1351" s="78"/>
      <c r="C1351" s="189"/>
      <c r="D1351" s="185"/>
      <c r="E1351" s="186"/>
      <c r="F1351" s="187"/>
    </row>
    <row r="1352" spans="1:6" x14ac:dyDescent="0.2">
      <c r="A1352" s="275"/>
      <c r="B1352" s="78"/>
      <c r="C1352" s="189"/>
      <c r="D1352" s="185"/>
      <c r="E1352" s="186"/>
      <c r="F1352" s="187"/>
    </row>
    <row r="1353" spans="1:6" x14ac:dyDescent="0.2">
      <c r="A1353" s="275"/>
      <c r="B1353" s="78"/>
      <c r="C1353" s="189"/>
      <c r="D1353" s="185"/>
      <c r="E1353" s="186"/>
      <c r="F1353" s="187"/>
    </row>
    <row r="1354" spans="1:6" x14ac:dyDescent="0.2">
      <c r="A1354" s="275"/>
      <c r="B1354" s="78"/>
      <c r="C1354" s="189"/>
      <c r="D1354" s="185"/>
      <c r="E1354" s="186"/>
      <c r="F1354" s="187"/>
    </row>
    <row r="1355" spans="1:6" x14ac:dyDescent="0.2">
      <c r="A1355" s="275"/>
      <c r="B1355" s="78"/>
      <c r="C1355" s="189"/>
      <c r="D1355" s="185"/>
      <c r="E1355" s="186"/>
      <c r="F1355" s="187"/>
    </row>
    <row r="1356" spans="1:6" x14ac:dyDescent="0.2">
      <c r="A1356" s="275"/>
      <c r="B1356" s="78"/>
      <c r="C1356" s="189"/>
      <c r="D1356" s="185"/>
      <c r="E1356" s="186"/>
      <c r="F1356" s="187"/>
    </row>
    <row r="1357" spans="1:6" x14ac:dyDescent="0.2">
      <c r="A1357" s="275"/>
      <c r="B1357" s="78"/>
      <c r="C1357" s="189"/>
      <c r="D1357" s="185"/>
      <c r="E1357" s="186"/>
      <c r="F1357" s="187"/>
    </row>
    <row r="1358" spans="1:6" x14ac:dyDescent="0.2">
      <c r="A1358" s="275"/>
      <c r="B1358" s="78"/>
      <c r="C1358" s="189"/>
      <c r="D1358" s="185"/>
      <c r="E1358" s="186"/>
      <c r="F1358" s="187"/>
    </row>
    <row r="1359" spans="1:6" x14ac:dyDescent="0.2">
      <c r="A1359" s="275"/>
      <c r="B1359" s="78"/>
      <c r="C1359" s="189"/>
      <c r="D1359" s="185"/>
      <c r="E1359" s="186"/>
      <c r="F1359" s="187"/>
    </row>
    <row r="1360" spans="1:6" x14ac:dyDescent="0.2">
      <c r="A1360" s="275"/>
      <c r="B1360" s="78"/>
      <c r="C1360" s="189"/>
      <c r="D1360" s="185"/>
      <c r="E1360" s="186"/>
      <c r="F1360" s="187"/>
    </row>
    <row r="1361" spans="1:6" x14ac:dyDescent="0.2">
      <c r="A1361" s="275"/>
      <c r="B1361" s="78"/>
      <c r="C1361" s="189"/>
      <c r="D1361" s="185"/>
      <c r="E1361" s="186"/>
      <c r="F1361" s="187"/>
    </row>
    <row r="1362" spans="1:6" x14ac:dyDescent="0.2">
      <c r="A1362" s="275"/>
      <c r="B1362" s="78"/>
      <c r="C1362" s="189"/>
      <c r="D1362" s="185"/>
      <c r="E1362" s="186"/>
      <c r="F1362" s="187"/>
    </row>
    <row r="1363" spans="1:6" x14ac:dyDescent="0.2">
      <c r="A1363" s="275"/>
      <c r="B1363" s="78"/>
      <c r="C1363" s="189"/>
      <c r="D1363" s="185"/>
      <c r="E1363" s="186"/>
      <c r="F1363" s="187"/>
    </row>
    <row r="1364" spans="1:6" x14ac:dyDescent="0.2">
      <c r="A1364" s="275"/>
      <c r="B1364" s="78"/>
      <c r="C1364" s="189"/>
      <c r="D1364" s="185"/>
      <c r="E1364" s="186"/>
      <c r="F1364" s="187"/>
    </row>
    <row r="1365" spans="1:6" x14ac:dyDescent="0.2">
      <c r="A1365" s="275"/>
      <c r="B1365" s="78"/>
      <c r="C1365" s="189"/>
      <c r="D1365" s="185"/>
      <c r="E1365" s="186"/>
      <c r="F1365" s="187"/>
    </row>
    <row r="1366" spans="1:6" x14ac:dyDescent="0.2">
      <c r="A1366" s="275"/>
      <c r="B1366" s="78"/>
      <c r="C1366" s="189"/>
      <c r="D1366" s="185"/>
      <c r="E1366" s="186"/>
      <c r="F1366" s="187"/>
    </row>
    <row r="1367" spans="1:6" x14ac:dyDescent="0.2">
      <c r="A1367" s="275"/>
      <c r="B1367" s="78"/>
      <c r="C1367" s="189"/>
      <c r="D1367" s="185"/>
      <c r="E1367" s="186"/>
      <c r="F1367" s="187"/>
    </row>
    <row r="1368" spans="1:6" x14ac:dyDescent="0.2">
      <c r="A1368" s="275"/>
      <c r="B1368" s="78"/>
      <c r="C1368" s="189"/>
      <c r="D1368" s="185"/>
      <c r="E1368" s="186"/>
      <c r="F1368" s="187"/>
    </row>
    <row r="1369" spans="1:6" x14ac:dyDescent="0.2">
      <c r="A1369" s="275"/>
      <c r="B1369" s="78"/>
      <c r="C1369" s="189"/>
      <c r="D1369" s="185"/>
      <c r="E1369" s="186"/>
      <c r="F1369" s="187"/>
    </row>
    <row r="1370" spans="1:6" x14ac:dyDescent="0.2">
      <c r="A1370" s="275"/>
      <c r="B1370" s="78"/>
      <c r="C1370" s="189"/>
      <c r="D1370" s="185"/>
      <c r="E1370" s="186"/>
      <c r="F1370" s="187"/>
    </row>
    <row r="1371" spans="1:6" x14ac:dyDescent="0.2">
      <c r="A1371" s="275"/>
      <c r="B1371" s="78"/>
      <c r="C1371" s="189"/>
      <c r="D1371" s="185"/>
      <c r="E1371" s="186"/>
      <c r="F1371" s="187"/>
    </row>
    <row r="1372" spans="1:6" x14ac:dyDescent="0.2">
      <c r="A1372" s="275"/>
      <c r="B1372" s="78"/>
      <c r="C1372" s="189"/>
      <c r="D1372" s="185"/>
      <c r="E1372" s="186"/>
      <c r="F1372" s="187"/>
    </row>
    <row r="1373" spans="1:6" x14ac:dyDescent="0.2">
      <c r="A1373" s="275"/>
      <c r="B1373" s="78"/>
      <c r="C1373" s="189"/>
      <c r="D1373" s="185"/>
      <c r="E1373" s="186"/>
      <c r="F1373" s="187"/>
    </row>
    <row r="1374" spans="1:6" x14ac:dyDescent="0.2">
      <c r="A1374" s="275"/>
      <c r="B1374" s="78"/>
      <c r="C1374" s="189"/>
      <c r="D1374" s="185"/>
      <c r="E1374" s="186"/>
      <c r="F1374" s="187"/>
    </row>
    <row r="1375" spans="1:6" x14ac:dyDescent="0.2">
      <c r="A1375" s="275"/>
      <c r="B1375" s="78"/>
      <c r="C1375" s="189"/>
      <c r="D1375" s="185"/>
      <c r="E1375" s="186"/>
      <c r="F1375" s="187"/>
    </row>
    <row r="1376" spans="1:6" x14ac:dyDescent="0.2">
      <c r="A1376" s="275"/>
      <c r="B1376" s="78"/>
      <c r="C1376" s="189"/>
      <c r="D1376" s="185"/>
      <c r="E1376" s="186"/>
      <c r="F1376" s="187"/>
    </row>
    <row r="1377" spans="1:6" x14ac:dyDescent="0.2">
      <c r="A1377" s="275"/>
      <c r="B1377" s="78"/>
      <c r="C1377" s="189"/>
      <c r="D1377" s="185"/>
      <c r="E1377" s="186"/>
      <c r="F1377" s="187"/>
    </row>
    <row r="1378" spans="1:6" x14ac:dyDescent="0.2">
      <c r="A1378" s="275"/>
      <c r="B1378" s="78"/>
      <c r="C1378" s="189"/>
      <c r="D1378" s="185"/>
      <c r="E1378" s="186"/>
      <c r="F1378" s="187"/>
    </row>
    <row r="1379" spans="1:6" x14ac:dyDescent="0.2">
      <c r="A1379" s="275"/>
      <c r="B1379" s="78"/>
      <c r="C1379" s="189"/>
      <c r="D1379" s="185"/>
      <c r="E1379" s="186"/>
      <c r="F1379" s="187"/>
    </row>
    <row r="1380" spans="1:6" x14ac:dyDescent="0.2">
      <c r="A1380" s="275"/>
      <c r="B1380" s="78"/>
      <c r="C1380" s="189"/>
      <c r="D1380" s="185"/>
      <c r="E1380" s="186"/>
      <c r="F1380" s="187"/>
    </row>
    <row r="1381" spans="1:6" x14ac:dyDescent="0.2">
      <c r="A1381" s="275"/>
      <c r="B1381" s="78"/>
      <c r="C1381" s="189"/>
      <c r="D1381" s="185"/>
      <c r="E1381" s="186"/>
      <c r="F1381" s="187"/>
    </row>
    <row r="1382" spans="1:6" x14ac:dyDescent="0.2">
      <c r="A1382" s="275"/>
      <c r="B1382" s="78"/>
      <c r="C1382" s="189"/>
      <c r="D1382" s="185"/>
      <c r="E1382" s="186"/>
      <c r="F1382" s="187"/>
    </row>
    <row r="1383" spans="1:6" x14ac:dyDescent="0.2">
      <c r="A1383" s="275"/>
      <c r="B1383" s="78"/>
      <c r="C1383" s="189"/>
      <c r="D1383" s="185"/>
      <c r="E1383" s="186"/>
      <c r="F1383" s="187"/>
    </row>
    <row r="1384" spans="1:6" x14ac:dyDescent="0.2">
      <c r="A1384" s="275"/>
      <c r="B1384" s="78"/>
      <c r="C1384" s="189"/>
      <c r="D1384" s="185"/>
      <c r="E1384" s="186"/>
      <c r="F1384" s="187"/>
    </row>
    <row r="1385" spans="1:6" x14ac:dyDescent="0.2">
      <c r="A1385" s="275"/>
      <c r="B1385" s="78"/>
      <c r="C1385" s="189"/>
      <c r="D1385" s="185"/>
      <c r="E1385" s="186"/>
      <c r="F1385" s="187"/>
    </row>
    <row r="1386" spans="1:6" x14ac:dyDescent="0.2">
      <c r="A1386" s="275"/>
      <c r="B1386" s="78"/>
      <c r="C1386" s="189"/>
      <c r="D1386" s="185"/>
      <c r="E1386" s="186"/>
      <c r="F1386" s="187"/>
    </row>
    <row r="1387" spans="1:6" x14ac:dyDescent="0.2">
      <c r="A1387" s="275"/>
      <c r="B1387" s="78"/>
      <c r="C1387" s="189"/>
      <c r="D1387" s="185"/>
      <c r="E1387" s="186"/>
      <c r="F1387" s="187"/>
    </row>
    <row r="1388" spans="1:6" x14ac:dyDescent="0.2">
      <c r="A1388" s="275"/>
      <c r="B1388" s="78"/>
      <c r="C1388" s="189"/>
      <c r="D1388" s="185"/>
      <c r="E1388" s="186"/>
      <c r="F1388" s="187"/>
    </row>
    <row r="1389" spans="1:6" x14ac:dyDescent="0.2">
      <c r="A1389" s="275"/>
      <c r="B1389" s="78"/>
      <c r="C1389" s="189"/>
      <c r="D1389" s="185"/>
      <c r="E1389" s="186"/>
      <c r="F1389" s="187"/>
    </row>
    <row r="1390" spans="1:6" x14ac:dyDescent="0.2">
      <c r="A1390" s="275"/>
      <c r="B1390" s="78"/>
      <c r="C1390" s="189"/>
      <c r="D1390" s="185"/>
      <c r="E1390" s="186"/>
      <c r="F1390" s="187"/>
    </row>
    <row r="1391" spans="1:6" x14ac:dyDescent="0.2">
      <c r="A1391" s="275"/>
      <c r="B1391" s="78"/>
      <c r="C1391" s="189"/>
      <c r="D1391" s="185"/>
      <c r="E1391" s="186"/>
      <c r="F1391" s="187"/>
    </row>
    <row r="1392" spans="1:6" x14ac:dyDescent="0.2">
      <c r="A1392" s="275"/>
      <c r="B1392" s="78"/>
      <c r="C1392" s="189"/>
      <c r="D1392" s="185"/>
      <c r="E1392" s="186"/>
      <c r="F1392" s="187"/>
    </row>
    <row r="1393" spans="1:6" x14ac:dyDescent="0.2">
      <c r="A1393" s="275"/>
      <c r="B1393" s="78"/>
      <c r="C1393" s="189"/>
      <c r="D1393" s="185"/>
      <c r="E1393" s="186"/>
      <c r="F1393" s="187"/>
    </row>
    <row r="1394" spans="1:6" x14ac:dyDescent="0.2">
      <c r="A1394" s="275"/>
      <c r="B1394" s="78"/>
      <c r="C1394" s="189"/>
      <c r="D1394" s="185"/>
      <c r="E1394" s="186"/>
      <c r="F1394" s="187"/>
    </row>
    <row r="1395" spans="1:6" x14ac:dyDescent="0.2">
      <c r="A1395" s="275"/>
      <c r="B1395" s="78"/>
      <c r="C1395" s="189"/>
      <c r="D1395" s="185"/>
      <c r="E1395" s="186"/>
      <c r="F1395" s="187"/>
    </row>
    <row r="1396" spans="1:6" x14ac:dyDescent="0.2">
      <c r="A1396" s="275"/>
      <c r="B1396" s="78"/>
      <c r="C1396" s="189"/>
      <c r="D1396" s="185"/>
      <c r="E1396" s="186"/>
      <c r="F1396" s="187"/>
    </row>
    <row r="1397" spans="1:6" x14ac:dyDescent="0.2">
      <c r="A1397" s="275"/>
      <c r="B1397" s="78"/>
      <c r="C1397" s="189"/>
      <c r="D1397" s="185"/>
      <c r="E1397" s="186"/>
      <c r="F1397" s="187"/>
    </row>
    <row r="1398" spans="1:6" x14ac:dyDescent="0.2">
      <c r="A1398" s="275"/>
      <c r="B1398" s="78"/>
      <c r="C1398" s="189"/>
      <c r="D1398" s="185"/>
      <c r="E1398" s="186"/>
      <c r="F1398" s="187"/>
    </row>
    <row r="1399" spans="1:6" x14ac:dyDescent="0.2">
      <c r="A1399" s="275"/>
      <c r="B1399" s="78"/>
      <c r="C1399" s="189"/>
      <c r="D1399" s="185"/>
      <c r="E1399" s="186"/>
      <c r="F1399" s="187"/>
    </row>
    <row r="1400" spans="1:6" x14ac:dyDescent="0.2">
      <c r="A1400" s="275"/>
      <c r="B1400" s="78"/>
      <c r="C1400" s="189"/>
      <c r="D1400" s="185"/>
      <c r="E1400" s="186"/>
      <c r="F1400" s="187"/>
    </row>
    <row r="1401" spans="1:6" x14ac:dyDescent="0.2">
      <c r="A1401" s="275"/>
      <c r="B1401" s="78"/>
      <c r="C1401" s="189"/>
      <c r="D1401" s="185"/>
      <c r="E1401" s="186"/>
      <c r="F1401" s="187"/>
    </row>
    <row r="1402" spans="1:6" x14ac:dyDescent="0.2">
      <c r="A1402" s="275"/>
      <c r="B1402" s="78"/>
      <c r="C1402" s="189"/>
      <c r="D1402" s="185"/>
      <c r="E1402" s="186"/>
      <c r="F1402" s="187"/>
    </row>
    <row r="1403" spans="1:6" x14ac:dyDescent="0.2">
      <c r="A1403" s="275"/>
      <c r="B1403" s="78"/>
      <c r="C1403" s="189"/>
      <c r="D1403" s="185"/>
      <c r="E1403" s="186"/>
      <c r="F1403" s="187"/>
    </row>
    <row r="1404" spans="1:6" x14ac:dyDescent="0.2">
      <c r="A1404" s="275"/>
      <c r="B1404" s="78"/>
      <c r="C1404" s="189"/>
      <c r="D1404" s="185"/>
      <c r="E1404" s="186"/>
      <c r="F1404" s="187"/>
    </row>
    <row r="1405" spans="1:6" x14ac:dyDescent="0.2">
      <c r="A1405" s="275"/>
      <c r="B1405" s="78"/>
      <c r="C1405" s="189"/>
      <c r="D1405" s="185"/>
      <c r="E1405" s="186"/>
      <c r="F1405" s="187"/>
    </row>
    <row r="1406" spans="1:6" x14ac:dyDescent="0.2">
      <c r="A1406" s="275"/>
      <c r="B1406" s="78"/>
      <c r="C1406" s="189"/>
      <c r="D1406" s="185"/>
      <c r="E1406" s="186"/>
      <c r="F1406" s="187"/>
    </row>
    <row r="1407" spans="1:6" x14ac:dyDescent="0.2">
      <c r="A1407" s="275"/>
      <c r="B1407" s="78"/>
      <c r="C1407" s="189"/>
      <c r="D1407" s="185"/>
      <c r="E1407" s="186"/>
      <c r="F1407" s="187"/>
    </row>
    <row r="1408" spans="1:6" x14ac:dyDescent="0.2">
      <c r="A1408" s="275"/>
      <c r="B1408" s="78"/>
      <c r="C1408" s="189"/>
      <c r="D1408" s="185"/>
      <c r="E1408" s="186"/>
      <c r="F1408" s="187"/>
    </row>
    <row r="1409" spans="1:6" x14ac:dyDescent="0.2">
      <c r="A1409" s="275"/>
      <c r="B1409" s="78"/>
      <c r="C1409" s="189"/>
      <c r="D1409" s="185"/>
      <c r="E1409" s="186"/>
      <c r="F1409" s="187"/>
    </row>
    <row r="1410" spans="1:6" x14ac:dyDescent="0.2">
      <c r="A1410" s="275"/>
      <c r="B1410" s="78"/>
      <c r="C1410" s="189"/>
      <c r="D1410" s="185"/>
      <c r="E1410" s="186"/>
      <c r="F1410" s="187"/>
    </row>
    <row r="1411" spans="1:6" x14ac:dyDescent="0.2">
      <c r="A1411" s="275"/>
      <c r="B1411" s="78"/>
      <c r="C1411" s="189"/>
      <c r="D1411" s="185"/>
      <c r="E1411" s="186"/>
      <c r="F1411" s="187"/>
    </row>
    <row r="1412" spans="1:6" x14ac:dyDescent="0.2">
      <c r="A1412" s="275"/>
      <c r="B1412" s="78"/>
      <c r="C1412" s="189"/>
      <c r="D1412" s="185"/>
      <c r="E1412" s="186"/>
      <c r="F1412" s="187"/>
    </row>
    <row r="1413" spans="1:6" x14ac:dyDescent="0.2">
      <c r="A1413" s="275"/>
      <c r="B1413" s="78"/>
      <c r="C1413" s="189"/>
      <c r="D1413" s="185"/>
      <c r="E1413" s="186"/>
      <c r="F1413" s="187"/>
    </row>
    <row r="1414" spans="1:6" x14ac:dyDescent="0.2">
      <c r="A1414" s="275"/>
      <c r="B1414" s="78"/>
      <c r="C1414" s="189"/>
      <c r="D1414" s="185"/>
      <c r="E1414" s="186"/>
      <c r="F1414" s="187"/>
    </row>
    <row r="1415" spans="1:6" x14ac:dyDescent="0.2">
      <c r="A1415" s="275"/>
      <c r="B1415" s="78"/>
      <c r="C1415" s="189"/>
      <c r="D1415" s="185"/>
      <c r="E1415" s="186"/>
      <c r="F1415" s="187"/>
    </row>
    <row r="1416" spans="1:6" x14ac:dyDescent="0.2">
      <c r="A1416" s="275"/>
      <c r="B1416" s="78"/>
      <c r="C1416" s="189"/>
      <c r="D1416" s="185"/>
      <c r="E1416" s="186"/>
      <c r="F1416" s="187"/>
    </row>
    <row r="1417" spans="1:6" x14ac:dyDescent="0.2">
      <c r="A1417" s="275"/>
      <c r="B1417" s="78"/>
      <c r="C1417" s="189"/>
      <c r="D1417" s="185"/>
      <c r="E1417" s="186"/>
      <c r="F1417" s="187"/>
    </row>
    <row r="1418" spans="1:6" x14ac:dyDescent="0.2">
      <c r="A1418" s="275"/>
      <c r="B1418" s="78"/>
      <c r="C1418" s="189"/>
      <c r="D1418" s="185"/>
      <c r="E1418" s="186"/>
      <c r="F1418" s="187"/>
    </row>
    <row r="1419" spans="1:6" x14ac:dyDescent="0.2">
      <c r="A1419" s="275"/>
      <c r="B1419" s="78"/>
      <c r="C1419" s="189"/>
      <c r="D1419" s="185"/>
      <c r="E1419" s="186"/>
      <c r="F1419" s="187"/>
    </row>
    <row r="1420" spans="1:6" x14ac:dyDescent="0.2">
      <c r="A1420" s="275"/>
      <c r="B1420" s="78"/>
      <c r="C1420" s="189"/>
      <c r="D1420" s="185"/>
      <c r="E1420" s="186"/>
      <c r="F1420" s="187"/>
    </row>
    <row r="1421" spans="1:6" x14ac:dyDescent="0.2">
      <c r="A1421" s="275"/>
      <c r="B1421" s="78"/>
      <c r="C1421" s="189"/>
      <c r="D1421" s="185"/>
      <c r="E1421" s="186"/>
      <c r="F1421" s="187"/>
    </row>
    <row r="1422" spans="1:6" x14ac:dyDescent="0.2">
      <c r="A1422" s="275"/>
      <c r="B1422" s="78"/>
      <c r="C1422" s="189"/>
      <c r="D1422" s="185"/>
      <c r="E1422" s="186"/>
      <c r="F1422" s="187"/>
    </row>
    <row r="1423" spans="1:6" x14ac:dyDescent="0.2">
      <c r="A1423" s="275"/>
      <c r="B1423" s="78"/>
      <c r="C1423" s="189"/>
      <c r="D1423" s="185"/>
      <c r="E1423" s="186"/>
      <c r="F1423" s="187"/>
    </row>
    <row r="1424" spans="1:6" x14ac:dyDescent="0.2">
      <c r="A1424" s="275"/>
      <c r="B1424" s="78"/>
      <c r="C1424" s="189"/>
      <c r="D1424" s="185"/>
      <c r="E1424" s="186"/>
      <c r="F1424" s="187"/>
    </row>
    <row r="1425" spans="1:6" x14ac:dyDescent="0.2">
      <c r="A1425" s="275"/>
      <c r="B1425" s="78"/>
      <c r="C1425" s="189"/>
      <c r="D1425" s="185"/>
      <c r="E1425" s="186"/>
      <c r="F1425" s="187"/>
    </row>
    <row r="1426" spans="1:6" x14ac:dyDescent="0.2">
      <c r="A1426" s="275"/>
      <c r="B1426" s="78"/>
      <c r="C1426" s="189"/>
      <c r="D1426" s="185"/>
      <c r="E1426" s="186"/>
      <c r="F1426" s="187"/>
    </row>
    <row r="1427" spans="1:6" x14ac:dyDescent="0.2">
      <c r="A1427" s="275"/>
      <c r="B1427" s="78"/>
      <c r="C1427" s="189"/>
      <c r="D1427" s="185"/>
      <c r="E1427" s="186"/>
      <c r="F1427" s="187"/>
    </row>
    <row r="1428" spans="1:6" x14ac:dyDescent="0.2">
      <c r="A1428" s="275"/>
      <c r="B1428" s="78"/>
      <c r="C1428" s="189"/>
      <c r="D1428" s="185"/>
      <c r="E1428" s="186"/>
      <c r="F1428" s="187"/>
    </row>
    <row r="1429" spans="1:6" x14ac:dyDescent="0.2">
      <c r="A1429" s="275"/>
      <c r="B1429" s="78"/>
      <c r="C1429" s="189"/>
      <c r="D1429" s="185"/>
      <c r="E1429" s="186"/>
      <c r="F1429" s="187"/>
    </row>
    <row r="1430" spans="1:6" x14ac:dyDescent="0.2">
      <c r="A1430" s="275"/>
      <c r="B1430" s="78"/>
      <c r="C1430" s="189"/>
      <c r="D1430" s="185"/>
      <c r="E1430" s="186"/>
      <c r="F1430" s="187"/>
    </row>
    <row r="1431" spans="1:6" x14ac:dyDescent="0.2">
      <c r="A1431" s="275"/>
      <c r="B1431" s="78"/>
      <c r="C1431" s="189"/>
      <c r="D1431" s="185"/>
      <c r="E1431" s="186"/>
      <c r="F1431" s="187"/>
    </row>
    <row r="1432" spans="1:6" x14ac:dyDescent="0.2">
      <c r="A1432" s="275"/>
      <c r="B1432" s="78"/>
      <c r="C1432" s="189"/>
      <c r="D1432" s="185"/>
      <c r="E1432" s="186"/>
      <c r="F1432" s="187"/>
    </row>
    <row r="1433" spans="1:6" x14ac:dyDescent="0.2">
      <c r="A1433" s="275"/>
      <c r="B1433" s="78"/>
      <c r="C1433" s="189"/>
      <c r="D1433" s="185"/>
      <c r="E1433" s="186"/>
      <c r="F1433" s="187"/>
    </row>
    <row r="1434" spans="1:6" x14ac:dyDescent="0.2">
      <c r="A1434" s="275"/>
      <c r="B1434" s="78"/>
      <c r="C1434" s="189"/>
      <c r="D1434" s="185"/>
      <c r="E1434" s="186"/>
      <c r="F1434" s="187"/>
    </row>
    <row r="1435" spans="1:6" x14ac:dyDescent="0.2">
      <c r="A1435" s="275"/>
      <c r="B1435" s="78"/>
      <c r="C1435" s="189"/>
      <c r="D1435" s="185"/>
      <c r="E1435" s="186"/>
      <c r="F1435" s="187"/>
    </row>
    <row r="1436" spans="1:6" x14ac:dyDescent="0.2">
      <c r="A1436" s="275"/>
      <c r="B1436" s="78"/>
      <c r="C1436" s="189"/>
      <c r="D1436" s="185"/>
      <c r="E1436" s="186"/>
      <c r="F1436" s="187"/>
    </row>
    <row r="1437" spans="1:6" x14ac:dyDescent="0.2">
      <c r="A1437" s="275"/>
      <c r="B1437" s="78"/>
      <c r="C1437" s="189"/>
      <c r="D1437" s="185"/>
      <c r="E1437" s="186"/>
      <c r="F1437" s="187"/>
    </row>
    <row r="1438" spans="1:6" x14ac:dyDescent="0.2">
      <c r="A1438" s="275"/>
      <c r="B1438" s="78"/>
      <c r="C1438" s="189"/>
      <c r="D1438" s="185"/>
      <c r="E1438" s="186"/>
      <c r="F1438" s="187"/>
    </row>
    <row r="1439" spans="1:6" x14ac:dyDescent="0.2">
      <c r="A1439" s="275"/>
      <c r="B1439" s="78"/>
      <c r="C1439" s="189"/>
      <c r="D1439" s="185"/>
      <c r="E1439" s="186"/>
      <c r="F1439" s="187"/>
    </row>
    <row r="1440" spans="1:6" x14ac:dyDescent="0.2">
      <c r="A1440" s="275"/>
      <c r="B1440" s="78"/>
      <c r="C1440" s="189"/>
      <c r="D1440" s="185"/>
      <c r="E1440" s="186"/>
      <c r="F1440" s="187"/>
    </row>
    <row r="1441" spans="1:6" x14ac:dyDescent="0.2">
      <c r="A1441" s="275"/>
      <c r="B1441" s="78"/>
      <c r="C1441" s="189"/>
      <c r="D1441" s="185"/>
      <c r="E1441" s="186"/>
      <c r="F1441" s="187"/>
    </row>
    <row r="1442" spans="1:6" x14ac:dyDescent="0.2">
      <c r="A1442" s="275"/>
      <c r="B1442" s="78"/>
      <c r="C1442" s="189"/>
      <c r="D1442" s="185"/>
      <c r="E1442" s="186"/>
      <c r="F1442" s="187"/>
    </row>
    <row r="1443" spans="1:6" x14ac:dyDescent="0.2">
      <c r="A1443" s="275"/>
      <c r="B1443" s="78"/>
      <c r="C1443" s="189"/>
      <c r="D1443" s="185"/>
      <c r="E1443" s="186"/>
      <c r="F1443" s="187"/>
    </row>
    <row r="1444" spans="1:6" x14ac:dyDescent="0.2">
      <c r="A1444" s="275"/>
      <c r="B1444" s="78"/>
      <c r="C1444" s="189"/>
      <c r="D1444" s="185"/>
      <c r="E1444" s="186"/>
      <c r="F1444" s="187"/>
    </row>
    <row r="1445" spans="1:6" x14ac:dyDescent="0.2">
      <c r="A1445" s="275"/>
      <c r="B1445" s="78"/>
      <c r="C1445" s="189"/>
      <c r="D1445" s="185"/>
      <c r="E1445" s="186"/>
      <c r="F1445" s="187"/>
    </row>
    <row r="1446" spans="1:6" x14ac:dyDescent="0.2">
      <c r="A1446" s="275"/>
      <c r="B1446" s="78"/>
      <c r="C1446" s="189"/>
      <c r="D1446" s="185"/>
      <c r="E1446" s="186"/>
      <c r="F1446" s="187"/>
    </row>
    <row r="1447" spans="1:6" x14ac:dyDescent="0.2">
      <c r="A1447" s="275"/>
      <c r="B1447" s="78"/>
      <c r="C1447" s="189"/>
      <c r="D1447" s="185"/>
      <c r="E1447" s="186"/>
      <c r="F1447" s="187"/>
    </row>
    <row r="1448" spans="1:6" x14ac:dyDescent="0.2">
      <c r="A1448" s="275"/>
      <c r="B1448" s="78"/>
      <c r="C1448" s="189"/>
      <c r="D1448" s="185"/>
      <c r="E1448" s="186"/>
      <c r="F1448" s="187"/>
    </row>
    <row r="1449" spans="1:6" x14ac:dyDescent="0.2">
      <c r="A1449" s="275"/>
      <c r="B1449" s="78"/>
      <c r="C1449" s="189"/>
      <c r="D1449" s="185"/>
      <c r="E1449" s="186"/>
      <c r="F1449" s="187"/>
    </row>
    <row r="1450" spans="1:6" x14ac:dyDescent="0.2">
      <c r="A1450" s="275"/>
      <c r="B1450" s="78"/>
      <c r="C1450" s="189"/>
      <c r="D1450" s="185"/>
      <c r="E1450" s="186"/>
      <c r="F1450" s="187"/>
    </row>
    <row r="1451" spans="1:6" x14ac:dyDescent="0.2">
      <c r="A1451" s="275"/>
      <c r="B1451" s="78"/>
      <c r="C1451" s="189"/>
      <c r="D1451" s="185"/>
      <c r="E1451" s="186"/>
      <c r="F1451" s="187"/>
    </row>
    <row r="1452" spans="1:6" x14ac:dyDescent="0.2">
      <c r="A1452" s="275"/>
      <c r="B1452" s="78"/>
      <c r="C1452" s="189"/>
      <c r="D1452" s="185"/>
      <c r="E1452" s="186"/>
      <c r="F1452" s="187"/>
    </row>
    <row r="1453" spans="1:6" x14ac:dyDescent="0.2">
      <c r="A1453" s="275"/>
      <c r="B1453" s="78"/>
      <c r="C1453" s="189"/>
      <c r="D1453" s="185"/>
      <c r="E1453" s="186"/>
      <c r="F1453" s="187"/>
    </row>
    <row r="1454" spans="1:6" x14ac:dyDescent="0.2">
      <c r="A1454" s="275"/>
      <c r="B1454" s="78"/>
      <c r="C1454" s="189"/>
      <c r="D1454" s="185"/>
      <c r="E1454" s="186"/>
      <c r="F1454" s="187"/>
    </row>
    <row r="1455" spans="1:6" x14ac:dyDescent="0.2">
      <c r="A1455" s="275"/>
      <c r="B1455" s="78"/>
      <c r="C1455" s="189"/>
      <c r="D1455" s="185"/>
      <c r="E1455" s="186"/>
      <c r="F1455" s="187"/>
    </row>
    <row r="1456" spans="1:6" x14ac:dyDescent="0.2">
      <c r="A1456" s="275"/>
      <c r="B1456" s="78"/>
      <c r="C1456" s="189"/>
      <c r="D1456" s="185"/>
      <c r="E1456" s="186"/>
      <c r="F1456" s="187"/>
    </row>
    <row r="1457" spans="1:6" x14ac:dyDescent="0.2">
      <c r="A1457" s="275"/>
      <c r="B1457" s="78"/>
      <c r="C1457" s="189"/>
      <c r="D1457" s="185"/>
      <c r="E1457" s="186"/>
      <c r="F1457" s="187"/>
    </row>
    <row r="1458" spans="1:6" x14ac:dyDescent="0.2">
      <c r="A1458" s="275"/>
      <c r="B1458" s="78"/>
      <c r="C1458" s="189"/>
      <c r="D1458" s="185"/>
      <c r="E1458" s="186"/>
      <c r="F1458" s="187"/>
    </row>
    <row r="1459" spans="1:6" x14ac:dyDescent="0.2">
      <c r="A1459" s="275"/>
      <c r="B1459" s="78"/>
      <c r="C1459" s="189"/>
      <c r="D1459" s="185"/>
      <c r="E1459" s="186"/>
      <c r="F1459" s="187"/>
    </row>
    <row r="1460" spans="1:6" x14ac:dyDescent="0.2">
      <c r="A1460" s="275"/>
      <c r="B1460" s="78"/>
      <c r="C1460" s="189"/>
      <c r="D1460" s="185"/>
      <c r="E1460" s="186"/>
      <c r="F1460" s="187"/>
    </row>
    <row r="1461" spans="1:6" x14ac:dyDescent="0.2">
      <c r="A1461" s="275"/>
      <c r="B1461" s="78"/>
      <c r="C1461" s="189"/>
      <c r="D1461" s="185"/>
      <c r="E1461" s="186"/>
      <c r="F1461" s="187"/>
    </row>
    <row r="1462" spans="1:6" x14ac:dyDescent="0.2">
      <c r="A1462" s="275"/>
      <c r="B1462" s="78"/>
      <c r="C1462" s="189"/>
      <c r="D1462" s="185"/>
      <c r="E1462" s="186"/>
      <c r="F1462" s="187"/>
    </row>
    <row r="1463" spans="1:6" x14ac:dyDescent="0.2">
      <c r="A1463" s="275"/>
      <c r="B1463" s="78"/>
      <c r="C1463" s="189"/>
      <c r="D1463" s="185"/>
      <c r="E1463" s="186"/>
      <c r="F1463" s="187"/>
    </row>
    <row r="1464" spans="1:6" x14ac:dyDescent="0.2">
      <c r="A1464" s="275"/>
      <c r="B1464" s="78"/>
      <c r="C1464" s="189"/>
      <c r="D1464" s="185"/>
      <c r="E1464" s="186"/>
      <c r="F1464" s="187"/>
    </row>
    <row r="1465" spans="1:6" x14ac:dyDescent="0.2">
      <c r="A1465" s="275"/>
      <c r="B1465" s="78"/>
      <c r="C1465" s="189"/>
      <c r="D1465" s="185"/>
      <c r="E1465" s="186"/>
      <c r="F1465" s="187"/>
    </row>
    <row r="1466" spans="1:6" x14ac:dyDescent="0.2">
      <c r="A1466" s="275"/>
      <c r="B1466" s="78"/>
      <c r="C1466" s="189"/>
      <c r="D1466" s="185"/>
      <c r="E1466" s="186"/>
      <c r="F1466" s="187"/>
    </row>
    <row r="1467" spans="1:6" x14ac:dyDescent="0.2">
      <c r="A1467" s="275"/>
      <c r="B1467" s="78"/>
      <c r="C1467" s="189"/>
      <c r="D1467" s="185"/>
      <c r="E1467" s="186"/>
      <c r="F1467" s="187"/>
    </row>
    <row r="1468" spans="1:6" x14ac:dyDescent="0.2">
      <c r="A1468" s="275"/>
      <c r="B1468" s="78"/>
      <c r="C1468" s="189"/>
      <c r="D1468" s="185"/>
      <c r="E1468" s="186"/>
      <c r="F1468" s="187"/>
    </row>
    <row r="1469" spans="1:6" x14ac:dyDescent="0.2">
      <c r="A1469" s="275"/>
      <c r="B1469" s="78"/>
      <c r="C1469" s="189"/>
      <c r="D1469" s="185"/>
      <c r="E1469" s="186"/>
      <c r="F1469" s="187"/>
    </row>
    <row r="1470" spans="1:6" x14ac:dyDescent="0.2">
      <c r="A1470" s="275"/>
      <c r="B1470" s="78"/>
      <c r="C1470" s="189"/>
      <c r="D1470" s="185"/>
      <c r="E1470" s="186"/>
      <c r="F1470" s="187"/>
    </row>
    <row r="1471" spans="1:6" x14ac:dyDescent="0.2">
      <c r="A1471" s="275"/>
      <c r="B1471" s="78"/>
      <c r="C1471" s="189"/>
      <c r="D1471" s="185"/>
      <c r="E1471" s="186"/>
      <c r="F1471" s="187"/>
    </row>
    <row r="1472" spans="1:6" x14ac:dyDescent="0.2">
      <c r="A1472" s="275"/>
      <c r="B1472" s="78"/>
      <c r="C1472" s="189"/>
      <c r="D1472" s="185"/>
      <c r="E1472" s="186"/>
      <c r="F1472" s="187"/>
    </row>
    <row r="1473" spans="1:6" x14ac:dyDescent="0.2">
      <c r="A1473" s="275"/>
      <c r="B1473" s="78"/>
      <c r="C1473" s="189"/>
      <c r="D1473" s="185"/>
      <c r="E1473" s="186"/>
      <c r="F1473" s="187"/>
    </row>
    <row r="1474" spans="1:6" x14ac:dyDescent="0.2">
      <c r="A1474" s="275"/>
      <c r="B1474" s="78"/>
      <c r="C1474" s="189"/>
      <c r="D1474" s="185"/>
      <c r="E1474" s="186"/>
      <c r="F1474" s="187"/>
    </row>
    <row r="1475" spans="1:6" x14ac:dyDescent="0.2">
      <c r="A1475" s="275"/>
      <c r="B1475" s="78"/>
      <c r="C1475" s="189"/>
      <c r="D1475" s="185"/>
      <c r="E1475" s="186"/>
      <c r="F1475" s="187"/>
    </row>
    <row r="1476" spans="1:6" x14ac:dyDescent="0.2">
      <c r="A1476" s="275"/>
      <c r="B1476" s="78"/>
      <c r="C1476" s="189"/>
      <c r="D1476" s="185"/>
      <c r="E1476" s="186"/>
      <c r="F1476" s="187"/>
    </row>
    <row r="1477" spans="1:6" x14ac:dyDescent="0.2">
      <c r="A1477" s="275"/>
      <c r="B1477" s="78"/>
      <c r="C1477" s="189"/>
      <c r="D1477" s="185"/>
      <c r="E1477" s="186"/>
      <c r="F1477" s="187"/>
    </row>
    <row r="1478" spans="1:6" x14ac:dyDescent="0.2">
      <c r="A1478" s="275"/>
      <c r="B1478" s="78"/>
      <c r="C1478" s="189"/>
      <c r="D1478" s="185"/>
      <c r="E1478" s="186"/>
      <c r="F1478" s="187"/>
    </row>
    <row r="1479" spans="1:6" x14ac:dyDescent="0.2">
      <c r="A1479" s="275"/>
      <c r="B1479" s="78"/>
      <c r="C1479" s="189"/>
      <c r="D1479" s="185"/>
      <c r="E1479" s="186"/>
      <c r="F1479" s="187"/>
    </row>
    <row r="1480" spans="1:6" x14ac:dyDescent="0.2">
      <c r="A1480" s="275"/>
      <c r="B1480" s="78"/>
      <c r="C1480" s="189"/>
      <c r="D1480" s="185"/>
      <c r="E1480" s="186"/>
      <c r="F1480" s="187"/>
    </row>
    <row r="1481" spans="1:6" x14ac:dyDescent="0.2">
      <c r="A1481" s="275"/>
      <c r="B1481" s="78"/>
      <c r="C1481" s="189"/>
      <c r="D1481" s="185"/>
      <c r="E1481" s="186"/>
      <c r="F1481" s="187"/>
    </row>
    <row r="1482" spans="1:6" x14ac:dyDescent="0.2">
      <c r="A1482" s="275"/>
      <c r="B1482" s="78"/>
      <c r="C1482" s="189"/>
      <c r="D1482" s="185"/>
      <c r="E1482" s="186"/>
      <c r="F1482" s="187"/>
    </row>
    <row r="1483" spans="1:6" x14ac:dyDescent="0.2">
      <c r="A1483" s="275"/>
      <c r="B1483" s="78"/>
      <c r="C1483" s="189"/>
      <c r="D1483" s="185"/>
      <c r="E1483" s="186"/>
      <c r="F1483" s="187"/>
    </row>
    <row r="1484" spans="1:6" x14ac:dyDescent="0.2">
      <c r="A1484" s="275"/>
      <c r="B1484" s="78"/>
      <c r="C1484" s="189"/>
      <c r="D1484" s="185"/>
      <c r="E1484" s="186"/>
      <c r="F1484" s="187"/>
    </row>
    <row r="1485" spans="1:6" x14ac:dyDescent="0.2">
      <c r="A1485" s="275"/>
      <c r="B1485" s="78"/>
      <c r="C1485" s="189"/>
      <c r="D1485" s="185"/>
      <c r="E1485" s="186"/>
      <c r="F1485" s="187"/>
    </row>
    <row r="1486" spans="1:6" x14ac:dyDescent="0.2">
      <c r="A1486" s="275"/>
      <c r="B1486" s="78"/>
      <c r="C1486" s="189"/>
      <c r="D1486" s="185"/>
      <c r="E1486" s="186"/>
      <c r="F1486" s="187"/>
    </row>
    <row r="1487" spans="1:6" x14ac:dyDescent="0.2">
      <c r="A1487" s="275"/>
      <c r="B1487" s="78"/>
      <c r="C1487" s="189"/>
      <c r="D1487" s="185"/>
      <c r="E1487" s="186"/>
      <c r="F1487" s="187"/>
    </row>
    <row r="1488" spans="1:6" x14ac:dyDescent="0.2">
      <c r="A1488" s="275"/>
      <c r="B1488" s="78"/>
      <c r="C1488" s="189"/>
      <c r="D1488" s="185"/>
      <c r="E1488" s="186"/>
      <c r="F1488" s="187"/>
    </row>
    <row r="1489" spans="1:6" x14ac:dyDescent="0.2">
      <c r="A1489" s="275"/>
      <c r="B1489" s="78"/>
      <c r="C1489" s="189"/>
      <c r="D1489" s="185"/>
      <c r="E1489" s="186"/>
      <c r="F1489" s="187"/>
    </row>
    <row r="1490" spans="1:6" x14ac:dyDescent="0.2">
      <c r="A1490" s="275"/>
      <c r="B1490" s="78"/>
      <c r="C1490" s="189"/>
      <c r="D1490" s="185"/>
      <c r="E1490" s="186"/>
      <c r="F1490" s="187"/>
    </row>
    <row r="1491" spans="1:6" x14ac:dyDescent="0.2">
      <c r="A1491" s="275"/>
      <c r="B1491" s="78"/>
      <c r="C1491" s="189"/>
      <c r="D1491" s="185"/>
      <c r="E1491" s="186"/>
      <c r="F1491" s="187"/>
    </row>
    <row r="1492" spans="1:6" x14ac:dyDescent="0.2">
      <c r="A1492" s="275"/>
      <c r="B1492" s="78"/>
      <c r="C1492" s="189"/>
      <c r="D1492" s="185"/>
      <c r="E1492" s="186"/>
      <c r="F1492" s="187"/>
    </row>
    <row r="1493" spans="1:6" x14ac:dyDescent="0.2">
      <c r="A1493" s="275"/>
      <c r="B1493" s="78"/>
      <c r="C1493" s="189"/>
      <c r="D1493" s="185"/>
      <c r="E1493" s="186"/>
      <c r="F1493" s="187"/>
    </row>
    <row r="1494" spans="1:6" x14ac:dyDescent="0.2">
      <c r="A1494" s="275"/>
      <c r="B1494" s="78"/>
      <c r="C1494" s="189"/>
      <c r="D1494" s="185"/>
      <c r="E1494" s="186"/>
      <c r="F1494" s="187"/>
    </row>
    <row r="1495" spans="1:6" x14ac:dyDescent="0.2">
      <c r="A1495" s="275"/>
      <c r="B1495" s="78"/>
      <c r="C1495" s="189"/>
      <c r="D1495" s="185"/>
      <c r="E1495" s="186"/>
      <c r="F1495" s="187"/>
    </row>
    <row r="1496" spans="1:6" x14ac:dyDescent="0.2">
      <c r="A1496" s="275"/>
      <c r="B1496" s="78"/>
      <c r="C1496" s="189"/>
      <c r="D1496" s="185"/>
      <c r="E1496" s="186"/>
      <c r="F1496" s="187"/>
    </row>
    <row r="1497" spans="1:6" x14ac:dyDescent="0.2">
      <c r="A1497" s="275"/>
      <c r="B1497" s="78"/>
      <c r="C1497" s="189"/>
      <c r="D1497" s="185"/>
      <c r="E1497" s="186"/>
      <c r="F1497" s="187"/>
    </row>
    <row r="1498" spans="1:6" x14ac:dyDescent="0.2">
      <c r="A1498" s="275"/>
      <c r="B1498" s="78"/>
      <c r="C1498" s="189"/>
      <c r="D1498" s="185"/>
      <c r="E1498" s="186"/>
      <c r="F1498" s="187"/>
    </row>
    <row r="1499" spans="1:6" x14ac:dyDescent="0.2">
      <c r="A1499" s="275"/>
      <c r="B1499" s="78"/>
      <c r="C1499" s="189"/>
      <c r="D1499" s="185"/>
      <c r="E1499" s="186"/>
      <c r="F1499" s="187"/>
    </row>
    <row r="1500" spans="1:6" x14ac:dyDescent="0.2">
      <c r="A1500" s="275"/>
      <c r="B1500" s="78"/>
      <c r="C1500" s="189"/>
      <c r="D1500" s="185"/>
      <c r="E1500" s="186"/>
      <c r="F1500" s="187"/>
    </row>
    <row r="1501" spans="1:6" x14ac:dyDescent="0.2">
      <c r="A1501" s="275"/>
      <c r="B1501" s="78"/>
      <c r="C1501" s="189"/>
      <c r="D1501" s="185"/>
      <c r="E1501" s="186"/>
      <c r="F1501" s="187"/>
    </row>
    <row r="1502" spans="1:6" x14ac:dyDescent="0.2">
      <c r="A1502" s="275"/>
      <c r="B1502" s="78"/>
      <c r="C1502" s="189"/>
      <c r="D1502" s="185"/>
      <c r="E1502" s="186"/>
      <c r="F1502" s="187"/>
    </row>
    <row r="1503" spans="1:6" x14ac:dyDescent="0.2">
      <c r="A1503" s="275"/>
      <c r="B1503" s="78"/>
      <c r="C1503" s="189"/>
      <c r="D1503" s="185"/>
      <c r="E1503" s="186"/>
      <c r="F1503" s="187"/>
    </row>
    <row r="1504" spans="1:6" x14ac:dyDescent="0.2">
      <c r="A1504" s="275"/>
      <c r="B1504" s="78"/>
      <c r="C1504" s="189"/>
      <c r="D1504" s="185"/>
      <c r="E1504" s="186"/>
      <c r="F1504" s="187"/>
    </row>
    <row r="1505" spans="1:6" x14ac:dyDescent="0.2">
      <c r="A1505" s="275"/>
      <c r="B1505" s="78"/>
      <c r="C1505" s="189"/>
      <c r="D1505" s="185"/>
      <c r="E1505" s="186"/>
      <c r="F1505" s="187"/>
    </row>
    <row r="1506" spans="1:6" x14ac:dyDescent="0.2">
      <c r="A1506" s="275"/>
      <c r="B1506" s="78"/>
      <c r="C1506" s="189"/>
      <c r="D1506" s="185"/>
      <c r="E1506" s="186"/>
      <c r="F1506" s="187"/>
    </row>
    <row r="1507" spans="1:6" x14ac:dyDescent="0.2">
      <c r="A1507" s="275"/>
      <c r="B1507" s="78"/>
      <c r="C1507" s="189"/>
      <c r="D1507" s="185"/>
      <c r="E1507" s="186"/>
      <c r="F1507" s="187"/>
    </row>
    <row r="1508" spans="1:6" x14ac:dyDescent="0.2">
      <c r="A1508" s="275"/>
      <c r="B1508" s="78"/>
      <c r="C1508" s="189"/>
      <c r="D1508" s="185"/>
      <c r="E1508" s="186"/>
      <c r="F1508" s="187"/>
    </row>
    <row r="1509" spans="1:6" x14ac:dyDescent="0.2">
      <c r="A1509" s="275"/>
      <c r="B1509" s="78"/>
      <c r="C1509" s="189"/>
      <c r="D1509" s="185"/>
      <c r="E1509" s="186"/>
      <c r="F1509" s="187"/>
    </row>
    <row r="1510" spans="1:6" x14ac:dyDescent="0.2">
      <c r="A1510" s="275"/>
      <c r="B1510" s="78"/>
      <c r="C1510" s="189"/>
      <c r="D1510" s="185"/>
      <c r="E1510" s="186"/>
      <c r="F1510" s="187"/>
    </row>
    <row r="1511" spans="1:6" x14ac:dyDescent="0.2">
      <c r="A1511" s="275"/>
      <c r="B1511" s="78"/>
      <c r="C1511" s="189"/>
      <c r="D1511" s="185"/>
      <c r="E1511" s="186"/>
      <c r="F1511" s="187"/>
    </row>
    <row r="1512" spans="1:6" x14ac:dyDescent="0.2">
      <c r="A1512" s="275"/>
      <c r="B1512" s="78"/>
      <c r="C1512" s="189"/>
      <c r="D1512" s="185"/>
      <c r="E1512" s="186"/>
      <c r="F1512" s="187"/>
    </row>
    <row r="1513" spans="1:6" x14ac:dyDescent="0.2">
      <c r="A1513" s="275"/>
      <c r="B1513" s="78"/>
      <c r="C1513" s="189"/>
      <c r="D1513" s="185"/>
      <c r="E1513" s="186"/>
      <c r="F1513" s="187"/>
    </row>
    <row r="1514" spans="1:6" x14ac:dyDescent="0.2">
      <c r="A1514" s="275"/>
      <c r="B1514" s="78"/>
      <c r="C1514" s="189"/>
      <c r="D1514" s="185"/>
      <c r="E1514" s="186"/>
      <c r="F1514" s="187"/>
    </row>
    <row r="1515" spans="1:6" x14ac:dyDescent="0.2">
      <c r="A1515" s="275"/>
      <c r="B1515" s="78"/>
      <c r="C1515" s="189"/>
      <c r="D1515" s="185"/>
      <c r="E1515" s="186"/>
      <c r="F1515" s="187"/>
    </row>
    <row r="1516" spans="1:6" x14ac:dyDescent="0.2">
      <c r="A1516" s="275"/>
      <c r="B1516" s="78"/>
      <c r="C1516" s="189"/>
      <c r="D1516" s="185"/>
      <c r="E1516" s="186"/>
      <c r="F1516" s="187"/>
    </row>
    <row r="1517" spans="1:6" x14ac:dyDescent="0.2">
      <c r="A1517" s="275"/>
      <c r="B1517" s="78"/>
      <c r="C1517" s="189"/>
      <c r="D1517" s="185"/>
      <c r="E1517" s="186"/>
      <c r="F1517" s="187"/>
    </row>
    <row r="1518" spans="1:6" x14ac:dyDescent="0.2">
      <c r="A1518" s="275"/>
      <c r="B1518" s="78"/>
      <c r="C1518" s="189"/>
      <c r="D1518" s="185"/>
      <c r="E1518" s="186"/>
      <c r="F1518" s="187"/>
    </row>
    <row r="1519" spans="1:6" x14ac:dyDescent="0.2">
      <c r="A1519" s="275"/>
      <c r="B1519" s="78"/>
      <c r="C1519" s="189"/>
      <c r="D1519" s="185"/>
      <c r="E1519" s="186"/>
      <c r="F1519" s="187"/>
    </row>
    <row r="1520" spans="1:6" x14ac:dyDescent="0.2">
      <c r="A1520" s="275"/>
      <c r="B1520" s="78"/>
      <c r="C1520" s="189"/>
      <c r="D1520" s="185"/>
      <c r="E1520" s="186"/>
      <c r="F1520" s="187"/>
    </row>
    <row r="1521" spans="1:6" x14ac:dyDescent="0.2">
      <c r="A1521" s="275"/>
      <c r="B1521" s="78"/>
      <c r="C1521" s="189"/>
      <c r="D1521" s="185"/>
      <c r="E1521" s="186"/>
      <c r="F1521" s="187"/>
    </row>
    <row r="1522" spans="1:6" x14ac:dyDescent="0.2">
      <c r="A1522" s="275"/>
      <c r="B1522" s="78"/>
      <c r="C1522" s="189"/>
      <c r="D1522" s="185"/>
      <c r="E1522" s="186"/>
      <c r="F1522" s="187"/>
    </row>
    <row r="1523" spans="1:6" x14ac:dyDescent="0.2">
      <c r="A1523" s="275"/>
      <c r="B1523" s="78"/>
      <c r="C1523" s="189"/>
      <c r="D1523" s="185"/>
      <c r="E1523" s="186"/>
      <c r="F1523" s="187"/>
    </row>
    <row r="1524" spans="1:6" x14ac:dyDescent="0.2">
      <c r="A1524" s="275"/>
      <c r="B1524" s="78"/>
      <c r="C1524" s="189"/>
      <c r="D1524" s="185"/>
      <c r="E1524" s="186"/>
      <c r="F1524" s="187"/>
    </row>
    <row r="1525" spans="1:6" x14ac:dyDescent="0.2">
      <c r="A1525" s="275"/>
      <c r="B1525" s="78"/>
      <c r="C1525" s="189"/>
      <c r="D1525" s="185"/>
      <c r="E1525" s="186"/>
      <c r="F1525" s="187"/>
    </row>
    <row r="1526" spans="1:6" x14ac:dyDescent="0.2">
      <c r="A1526" s="275"/>
      <c r="B1526" s="78"/>
      <c r="C1526" s="189"/>
      <c r="D1526" s="185"/>
      <c r="E1526" s="186"/>
      <c r="F1526" s="187"/>
    </row>
    <row r="1527" spans="1:6" x14ac:dyDescent="0.2">
      <c r="A1527" s="275"/>
      <c r="B1527" s="78"/>
      <c r="C1527" s="189"/>
      <c r="D1527" s="185"/>
      <c r="E1527" s="186"/>
      <c r="F1527" s="187"/>
    </row>
    <row r="1528" spans="1:6" x14ac:dyDescent="0.2">
      <c r="A1528" s="275"/>
      <c r="B1528" s="78"/>
      <c r="C1528" s="189"/>
      <c r="D1528" s="185"/>
      <c r="E1528" s="186"/>
      <c r="F1528" s="187"/>
    </row>
    <row r="1529" spans="1:6" x14ac:dyDescent="0.2">
      <c r="A1529" s="275"/>
      <c r="B1529" s="78"/>
      <c r="C1529" s="189"/>
      <c r="D1529" s="185"/>
      <c r="E1529" s="186"/>
      <c r="F1529" s="187"/>
    </row>
    <row r="1530" spans="1:6" x14ac:dyDescent="0.2">
      <c r="A1530" s="275"/>
      <c r="B1530" s="78"/>
      <c r="C1530" s="189"/>
      <c r="D1530" s="185"/>
      <c r="E1530" s="186"/>
      <c r="F1530" s="187"/>
    </row>
    <row r="1531" spans="1:6" x14ac:dyDescent="0.2">
      <c r="A1531" s="275"/>
      <c r="B1531" s="78"/>
      <c r="C1531" s="189"/>
      <c r="D1531" s="185"/>
      <c r="E1531" s="186"/>
      <c r="F1531" s="187"/>
    </row>
    <row r="1532" spans="1:6" x14ac:dyDescent="0.2">
      <c r="A1532" s="275"/>
      <c r="B1532" s="78"/>
      <c r="C1532" s="189"/>
      <c r="D1532" s="185"/>
      <c r="E1532" s="186"/>
      <c r="F1532" s="187"/>
    </row>
    <row r="1533" spans="1:6" x14ac:dyDescent="0.2">
      <c r="A1533" s="275"/>
      <c r="B1533" s="78"/>
      <c r="C1533" s="189"/>
      <c r="D1533" s="185"/>
      <c r="E1533" s="186"/>
      <c r="F1533" s="187"/>
    </row>
    <row r="1534" spans="1:6" x14ac:dyDescent="0.2">
      <c r="A1534" s="275"/>
      <c r="B1534" s="78"/>
      <c r="C1534" s="189"/>
      <c r="D1534" s="185"/>
      <c r="E1534" s="186"/>
      <c r="F1534" s="187"/>
    </row>
    <row r="1535" spans="1:6" x14ac:dyDescent="0.2">
      <c r="A1535" s="275"/>
      <c r="B1535" s="78"/>
      <c r="C1535" s="189"/>
      <c r="D1535" s="185"/>
      <c r="E1535" s="186"/>
      <c r="F1535" s="187"/>
    </row>
    <row r="1536" spans="1:6" x14ac:dyDescent="0.2">
      <c r="A1536" s="275"/>
      <c r="B1536" s="78"/>
      <c r="C1536" s="189"/>
      <c r="D1536" s="185"/>
      <c r="E1536" s="186"/>
      <c r="F1536" s="187"/>
    </row>
    <row r="1537" spans="1:6" x14ac:dyDescent="0.2">
      <c r="A1537" s="275"/>
      <c r="B1537" s="78"/>
      <c r="C1537" s="189"/>
      <c r="D1537" s="185"/>
      <c r="E1537" s="186"/>
      <c r="F1537" s="187"/>
    </row>
    <row r="1538" spans="1:6" x14ac:dyDescent="0.2">
      <c r="A1538" s="275"/>
      <c r="B1538" s="78"/>
      <c r="C1538" s="189"/>
      <c r="D1538" s="185"/>
      <c r="E1538" s="186"/>
      <c r="F1538" s="187"/>
    </row>
    <row r="1539" spans="1:6" x14ac:dyDescent="0.2">
      <c r="A1539" s="275"/>
      <c r="B1539" s="78"/>
      <c r="C1539" s="189"/>
      <c r="D1539" s="185"/>
      <c r="E1539" s="186"/>
      <c r="F1539" s="187"/>
    </row>
    <row r="1540" spans="1:6" x14ac:dyDescent="0.2">
      <c r="A1540" s="275"/>
      <c r="B1540" s="78"/>
      <c r="C1540" s="189"/>
      <c r="D1540" s="185"/>
      <c r="E1540" s="186"/>
      <c r="F1540" s="187"/>
    </row>
    <row r="1541" spans="1:6" x14ac:dyDescent="0.2">
      <c r="A1541" s="275"/>
      <c r="B1541" s="78"/>
      <c r="C1541" s="189"/>
      <c r="D1541" s="185"/>
      <c r="E1541" s="186"/>
      <c r="F1541" s="187"/>
    </row>
    <row r="1542" spans="1:6" x14ac:dyDescent="0.2">
      <c r="A1542" s="275"/>
      <c r="B1542" s="78"/>
      <c r="C1542" s="189"/>
      <c r="D1542" s="185"/>
      <c r="E1542" s="186"/>
      <c r="F1542" s="187"/>
    </row>
    <row r="1543" spans="1:6" x14ac:dyDescent="0.2">
      <c r="A1543" s="275"/>
      <c r="B1543" s="78"/>
      <c r="C1543" s="189"/>
      <c r="D1543" s="185"/>
      <c r="E1543" s="186"/>
      <c r="F1543" s="187"/>
    </row>
    <row r="1544" spans="1:6" x14ac:dyDescent="0.2">
      <c r="A1544" s="275"/>
      <c r="B1544" s="78"/>
      <c r="C1544" s="189"/>
      <c r="D1544" s="185"/>
      <c r="E1544" s="186"/>
      <c r="F1544" s="187"/>
    </row>
    <row r="1545" spans="1:6" x14ac:dyDescent="0.2">
      <c r="A1545" s="275"/>
      <c r="B1545" s="78"/>
      <c r="C1545" s="189"/>
      <c r="D1545" s="185"/>
      <c r="E1545" s="186"/>
      <c r="F1545" s="187"/>
    </row>
    <row r="1546" spans="1:6" x14ac:dyDescent="0.2">
      <c r="A1546" s="275"/>
      <c r="B1546" s="78"/>
      <c r="C1546" s="189"/>
      <c r="D1546" s="185"/>
      <c r="E1546" s="186"/>
      <c r="F1546" s="187"/>
    </row>
    <row r="1547" spans="1:6" x14ac:dyDescent="0.2">
      <c r="A1547" s="275"/>
      <c r="B1547" s="78"/>
      <c r="C1547" s="189"/>
      <c r="D1547" s="185"/>
      <c r="E1547" s="186"/>
      <c r="F1547" s="187"/>
    </row>
    <row r="1548" spans="1:6" x14ac:dyDescent="0.2">
      <c r="A1548" s="275"/>
      <c r="B1548" s="78"/>
      <c r="C1548" s="189"/>
      <c r="D1548" s="185"/>
      <c r="E1548" s="186"/>
      <c r="F1548" s="187"/>
    </row>
    <row r="1549" spans="1:6" x14ac:dyDescent="0.2">
      <c r="A1549" s="275"/>
      <c r="B1549" s="78"/>
      <c r="C1549" s="189"/>
      <c r="D1549" s="185"/>
      <c r="E1549" s="186"/>
      <c r="F1549" s="187"/>
    </row>
    <row r="1550" spans="1:6" x14ac:dyDescent="0.2">
      <c r="A1550" s="275"/>
      <c r="B1550" s="78"/>
      <c r="C1550" s="189"/>
      <c r="D1550" s="185"/>
      <c r="E1550" s="186"/>
      <c r="F1550" s="187"/>
    </row>
    <row r="1551" spans="1:6" x14ac:dyDescent="0.2">
      <c r="A1551" s="275"/>
      <c r="B1551" s="78"/>
      <c r="C1551" s="189"/>
      <c r="D1551" s="185"/>
      <c r="E1551" s="186"/>
      <c r="F1551" s="187"/>
    </row>
    <row r="1552" spans="1:6" x14ac:dyDescent="0.2">
      <c r="A1552" s="275"/>
      <c r="B1552" s="78"/>
      <c r="C1552" s="189"/>
      <c r="D1552" s="185"/>
      <c r="E1552" s="186"/>
      <c r="F1552" s="187"/>
    </row>
    <row r="1553" spans="1:6" x14ac:dyDescent="0.2">
      <c r="A1553" s="275"/>
      <c r="B1553" s="78"/>
      <c r="C1553" s="189"/>
      <c r="D1553" s="185"/>
      <c r="E1553" s="186"/>
      <c r="F1553" s="187"/>
    </row>
    <row r="1554" spans="1:6" x14ac:dyDescent="0.2">
      <c r="A1554" s="275"/>
      <c r="B1554" s="78"/>
      <c r="C1554" s="189"/>
      <c r="D1554" s="185"/>
      <c r="E1554" s="186"/>
      <c r="F1554" s="187"/>
    </row>
    <row r="1555" spans="1:6" x14ac:dyDescent="0.2">
      <c r="A1555" s="275"/>
      <c r="B1555" s="78"/>
      <c r="C1555" s="189"/>
      <c r="D1555" s="185"/>
      <c r="E1555" s="186"/>
      <c r="F1555" s="187"/>
    </row>
    <row r="1556" spans="1:6" x14ac:dyDescent="0.2">
      <c r="A1556" s="275"/>
      <c r="B1556" s="78"/>
      <c r="C1556" s="189"/>
      <c r="D1556" s="185"/>
      <c r="E1556" s="186"/>
      <c r="F1556" s="187"/>
    </row>
    <row r="1557" spans="1:6" x14ac:dyDescent="0.2">
      <c r="A1557" s="275"/>
      <c r="B1557" s="78"/>
      <c r="C1557" s="189"/>
      <c r="D1557" s="185"/>
      <c r="E1557" s="186"/>
      <c r="F1557" s="187"/>
    </row>
    <row r="1558" spans="1:6" x14ac:dyDescent="0.2">
      <c r="A1558" s="275"/>
      <c r="B1558" s="78"/>
      <c r="C1558" s="189"/>
      <c r="D1558" s="185"/>
      <c r="E1558" s="186"/>
      <c r="F1558" s="187"/>
    </row>
    <row r="1559" spans="1:6" x14ac:dyDescent="0.2">
      <c r="A1559" s="275"/>
      <c r="B1559" s="78"/>
      <c r="C1559" s="189"/>
      <c r="D1559" s="185"/>
      <c r="E1559" s="186"/>
      <c r="F1559" s="187"/>
    </row>
    <row r="1560" spans="1:6" x14ac:dyDescent="0.2">
      <c r="A1560" s="275"/>
      <c r="B1560" s="78"/>
      <c r="C1560" s="189"/>
      <c r="D1560" s="185"/>
      <c r="E1560" s="186"/>
      <c r="F1560" s="187"/>
    </row>
    <row r="1561" spans="1:6" x14ac:dyDescent="0.2">
      <c r="A1561" s="275"/>
      <c r="B1561" s="78"/>
      <c r="C1561" s="189"/>
      <c r="D1561" s="185"/>
      <c r="E1561" s="186"/>
      <c r="F1561" s="187"/>
    </row>
    <row r="1562" spans="1:6" x14ac:dyDescent="0.2">
      <c r="A1562" s="275"/>
      <c r="B1562" s="78"/>
      <c r="C1562" s="189"/>
      <c r="D1562" s="185"/>
      <c r="E1562" s="186"/>
      <c r="F1562" s="187"/>
    </row>
    <row r="1563" spans="1:6" x14ac:dyDescent="0.2">
      <c r="A1563" s="275"/>
      <c r="B1563" s="78"/>
      <c r="C1563" s="189"/>
      <c r="D1563" s="185"/>
      <c r="E1563" s="186"/>
      <c r="F1563" s="187"/>
    </row>
    <row r="1564" spans="1:6" x14ac:dyDescent="0.2">
      <c r="A1564" s="275"/>
      <c r="B1564" s="78"/>
      <c r="C1564" s="189"/>
      <c r="D1564" s="185"/>
      <c r="E1564" s="186"/>
      <c r="F1564" s="187"/>
    </row>
    <row r="1565" spans="1:6" x14ac:dyDescent="0.2">
      <c r="A1565" s="275"/>
      <c r="B1565" s="78"/>
      <c r="C1565" s="189"/>
      <c r="D1565" s="185"/>
      <c r="E1565" s="186"/>
      <c r="F1565" s="187"/>
    </row>
    <row r="1566" spans="1:6" x14ac:dyDescent="0.2">
      <c r="A1566" s="275"/>
      <c r="B1566" s="78"/>
      <c r="C1566" s="189"/>
      <c r="D1566" s="185"/>
      <c r="E1566" s="186"/>
      <c r="F1566" s="187"/>
    </row>
    <row r="1567" spans="1:6" x14ac:dyDescent="0.2">
      <c r="A1567" s="275"/>
      <c r="B1567" s="78"/>
      <c r="C1567" s="189"/>
      <c r="D1567" s="185"/>
      <c r="E1567" s="186"/>
      <c r="F1567" s="187"/>
    </row>
    <row r="1568" spans="1:6" x14ac:dyDescent="0.2">
      <c r="A1568" s="275"/>
      <c r="B1568" s="78"/>
      <c r="C1568" s="189"/>
      <c r="D1568" s="185"/>
      <c r="E1568" s="186"/>
      <c r="F1568" s="187"/>
    </row>
    <row r="1569" spans="1:6" x14ac:dyDescent="0.2">
      <c r="A1569" s="275"/>
      <c r="B1569" s="78"/>
      <c r="C1569" s="189"/>
      <c r="D1569" s="185"/>
      <c r="E1569" s="186"/>
      <c r="F1569" s="187"/>
    </row>
    <row r="1570" spans="1:6" x14ac:dyDescent="0.2">
      <c r="A1570" s="275"/>
      <c r="B1570" s="78"/>
      <c r="C1570" s="189"/>
      <c r="D1570" s="185"/>
      <c r="E1570" s="186"/>
      <c r="F1570" s="187"/>
    </row>
    <row r="1571" spans="1:6" x14ac:dyDescent="0.2">
      <c r="A1571" s="275"/>
      <c r="B1571" s="78"/>
      <c r="C1571" s="189"/>
      <c r="D1571" s="185"/>
      <c r="E1571" s="186"/>
      <c r="F1571" s="187"/>
    </row>
    <row r="1572" spans="1:6" x14ac:dyDescent="0.2">
      <c r="A1572" s="275"/>
      <c r="B1572" s="78"/>
      <c r="C1572" s="189"/>
      <c r="D1572" s="185"/>
      <c r="E1572" s="186"/>
      <c r="F1572" s="187"/>
    </row>
    <row r="1573" spans="1:6" x14ac:dyDescent="0.2">
      <c r="A1573" s="275"/>
      <c r="B1573" s="78"/>
      <c r="C1573" s="189"/>
      <c r="D1573" s="185"/>
      <c r="E1573" s="186"/>
      <c r="F1573" s="187"/>
    </row>
    <row r="1574" spans="1:6" x14ac:dyDescent="0.2">
      <c r="A1574" s="275"/>
      <c r="B1574" s="78"/>
      <c r="C1574" s="189"/>
      <c r="D1574" s="185"/>
      <c r="E1574" s="186"/>
      <c r="F1574" s="187"/>
    </row>
    <row r="1575" spans="1:6" x14ac:dyDescent="0.2">
      <c r="A1575" s="275"/>
      <c r="B1575" s="78"/>
      <c r="C1575" s="189"/>
      <c r="D1575" s="185"/>
      <c r="E1575" s="186"/>
      <c r="F1575" s="187"/>
    </row>
    <row r="1576" spans="1:6" x14ac:dyDescent="0.2">
      <c r="A1576" s="275"/>
      <c r="B1576" s="78"/>
      <c r="C1576" s="189"/>
      <c r="D1576" s="185"/>
      <c r="E1576" s="186"/>
      <c r="F1576" s="187"/>
    </row>
    <row r="1577" spans="1:6" x14ac:dyDescent="0.2">
      <c r="A1577" s="275"/>
      <c r="B1577" s="78"/>
      <c r="C1577" s="189"/>
      <c r="D1577" s="185"/>
      <c r="E1577" s="186"/>
      <c r="F1577" s="187"/>
    </row>
    <row r="1578" spans="1:6" x14ac:dyDescent="0.2">
      <c r="A1578" s="275"/>
      <c r="B1578" s="78"/>
      <c r="C1578" s="189"/>
      <c r="D1578" s="185"/>
      <c r="E1578" s="186"/>
      <c r="F1578" s="187"/>
    </row>
    <row r="1579" spans="1:6" x14ac:dyDescent="0.2">
      <c r="A1579" s="275"/>
      <c r="B1579" s="78"/>
      <c r="C1579" s="189"/>
      <c r="D1579" s="185"/>
      <c r="E1579" s="186"/>
      <c r="F1579" s="187"/>
    </row>
    <row r="1580" spans="1:6" x14ac:dyDescent="0.2">
      <c r="A1580" s="275"/>
      <c r="B1580" s="78"/>
      <c r="C1580" s="189"/>
      <c r="D1580" s="185"/>
      <c r="E1580" s="186"/>
      <c r="F1580" s="187"/>
    </row>
    <row r="1581" spans="1:6" x14ac:dyDescent="0.2">
      <c r="A1581" s="275"/>
      <c r="B1581" s="78"/>
      <c r="C1581" s="189"/>
      <c r="D1581" s="185"/>
      <c r="E1581" s="186"/>
      <c r="F1581" s="187"/>
    </row>
    <row r="1582" spans="1:6" x14ac:dyDescent="0.2">
      <c r="A1582" s="275"/>
      <c r="B1582" s="78"/>
      <c r="C1582" s="189"/>
      <c r="D1582" s="185"/>
      <c r="E1582" s="186"/>
      <c r="F1582" s="187"/>
    </row>
    <row r="1583" spans="1:6" x14ac:dyDescent="0.2">
      <c r="A1583" s="275"/>
      <c r="B1583" s="78"/>
      <c r="C1583" s="189"/>
      <c r="D1583" s="185"/>
      <c r="E1583" s="186"/>
      <c r="F1583" s="187"/>
    </row>
    <row r="1584" spans="1:6" x14ac:dyDescent="0.2">
      <c r="A1584" s="275"/>
      <c r="B1584" s="78"/>
      <c r="C1584" s="189"/>
      <c r="D1584" s="185"/>
      <c r="E1584" s="186"/>
      <c r="F1584" s="187"/>
    </row>
    <row r="1585" spans="1:6" x14ac:dyDescent="0.2">
      <c r="A1585" s="275"/>
      <c r="B1585" s="78"/>
      <c r="C1585" s="189"/>
      <c r="D1585" s="185"/>
      <c r="E1585" s="186"/>
      <c r="F1585" s="187"/>
    </row>
    <row r="1586" spans="1:6" x14ac:dyDescent="0.2">
      <c r="A1586" s="275"/>
      <c r="B1586" s="78"/>
      <c r="C1586" s="189"/>
      <c r="D1586" s="185"/>
      <c r="E1586" s="186"/>
      <c r="F1586" s="187"/>
    </row>
    <row r="1587" spans="1:6" x14ac:dyDescent="0.2">
      <c r="A1587" s="275"/>
      <c r="B1587" s="78"/>
      <c r="C1587" s="189"/>
      <c r="D1587" s="185"/>
      <c r="E1587" s="186"/>
      <c r="F1587" s="187"/>
    </row>
    <row r="1588" spans="1:6" x14ac:dyDescent="0.2">
      <c r="A1588" s="275"/>
      <c r="B1588" s="78"/>
      <c r="C1588" s="189"/>
      <c r="D1588" s="185"/>
      <c r="E1588" s="186"/>
      <c r="F1588" s="187"/>
    </row>
    <row r="1589" spans="1:6" x14ac:dyDescent="0.2">
      <c r="A1589" s="275"/>
      <c r="B1589" s="78"/>
      <c r="C1589" s="189"/>
      <c r="D1589" s="185"/>
      <c r="E1589" s="186"/>
      <c r="F1589" s="187"/>
    </row>
    <row r="1590" spans="1:6" x14ac:dyDescent="0.2">
      <c r="A1590" s="275"/>
      <c r="B1590" s="78"/>
      <c r="C1590" s="189"/>
      <c r="D1590" s="185"/>
      <c r="E1590" s="186"/>
      <c r="F1590" s="187"/>
    </row>
    <row r="1591" spans="1:6" x14ac:dyDescent="0.2">
      <c r="A1591" s="275"/>
      <c r="B1591" s="78"/>
      <c r="C1591" s="189"/>
      <c r="D1591" s="185"/>
      <c r="E1591" s="186"/>
      <c r="F1591" s="187"/>
    </row>
    <row r="1592" spans="1:6" x14ac:dyDescent="0.2">
      <c r="A1592" s="275"/>
      <c r="B1592" s="78"/>
      <c r="C1592" s="189"/>
      <c r="D1592" s="185"/>
      <c r="E1592" s="186"/>
      <c r="F1592" s="187"/>
    </row>
    <row r="1593" spans="1:6" x14ac:dyDescent="0.2">
      <c r="A1593" s="275"/>
      <c r="B1593" s="78"/>
      <c r="C1593" s="189"/>
      <c r="D1593" s="185"/>
      <c r="E1593" s="186"/>
      <c r="F1593" s="187"/>
    </row>
    <row r="1594" spans="1:6" x14ac:dyDescent="0.2">
      <c r="A1594" s="275"/>
      <c r="B1594" s="78"/>
      <c r="C1594" s="189"/>
      <c r="D1594" s="185"/>
      <c r="E1594" s="186"/>
      <c r="F1594" s="187"/>
    </row>
    <row r="1595" spans="1:6" x14ac:dyDescent="0.2">
      <c r="A1595" s="275"/>
      <c r="B1595" s="78"/>
      <c r="C1595" s="189"/>
      <c r="D1595" s="185"/>
      <c r="E1595" s="186"/>
      <c r="F1595" s="187"/>
    </row>
    <row r="1596" spans="1:6" x14ac:dyDescent="0.2">
      <c r="A1596" s="275"/>
      <c r="B1596" s="78"/>
      <c r="C1596" s="189"/>
      <c r="D1596" s="185"/>
      <c r="E1596" s="186"/>
      <c r="F1596" s="187"/>
    </row>
    <row r="1597" spans="1:6" x14ac:dyDescent="0.2">
      <c r="A1597" s="275"/>
      <c r="B1597" s="78"/>
      <c r="C1597" s="189"/>
      <c r="D1597" s="185"/>
      <c r="E1597" s="186"/>
      <c r="F1597" s="187"/>
    </row>
    <row r="1598" spans="1:6" x14ac:dyDescent="0.2">
      <c r="A1598" s="275"/>
      <c r="B1598" s="78"/>
      <c r="C1598" s="189"/>
      <c r="D1598" s="185"/>
      <c r="E1598" s="186"/>
      <c r="F1598" s="187"/>
    </row>
    <row r="1599" spans="1:6" x14ac:dyDescent="0.2">
      <c r="A1599" s="275"/>
      <c r="B1599" s="78"/>
      <c r="C1599" s="189"/>
      <c r="D1599" s="185"/>
      <c r="E1599" s="186"/>
      <c r="F1599" s="187"/>
    </row>
    <row r="1600" spans="1:6" x14ac:dyDescent="0.2">
      <c r="A1600" s="275"/>
      <c r="B1600" s="78"/>
      <c r="C1600" s="189"/>
      <c r="D1600" s="185"/>
      <c r="E1600" s="186"/>
      <c r="F1600" s="187"/>
    </row>
    <row r="1601" spans="1:6" x14ac:dyDescent="0.2">
      <c r="A1601" s="275"/>
      <c r="B1601" s="78"/>
      <c r="C1601" s="189"/>
      <c r="D1601" s="185"/>
      <c r="E1601" s="186"/>
      <c r="F1601" s="187"/>
    </row>
    <row r="1602" spans="1:6" x14ac:dyDescent="0.2">
      <c r="A1602" s="275"/>
      <c r="B1602" s="78"/>
      <c r="C1602" s="189"/>
      <c r="D1602" s="185"/>
      <c r="E1602" s="186"/>
      <c r="F1602" s="187"/>
    </row>
    <row r="1603" spans="1:6" x14ac:dyDescent="0.2">
      <c r="A1603" s="275"/>
      <c r="B1603" s="78"/>
      <c r="C1603" s="189"/>
      <c r="D1603" s="185"/>
      <c r="E1603" s="186"/>
      <c r="F1603" s="187"/>
    </row>
    <row r="1604" spans="1:6" x14ac:dyDescent="0.2">
      <c r="A1604" s="275"/>
      <c r="B1604" s="78"/>
      <c r="C1604" s="189"/>
      <c r="D1604" s="185"/>
      <c r="E1604" s="186"/>
      <c r="F1604" s="187"/>
    </row>
    <row r="1605" spans="1:6" x14ac:dyDescent="0.2">
      <c r="A1605" s="275"/>
      <c r="B1605" s="78"/>
      <c r="C1605" s="189"/>
      <c r="D1605" s="185"/>
      <c r="E1605" s="186"/>
      <c r="F1605" s="187"/>
    </row>
    <row r="1606" spans="1:6" x14ac:dyDescent="0.2">
      <c r="A1606" s="275"/>
      <c r="B1606" s="78"/>
      <c r="C1606" s="189"/>
      <c r="D1606" s="185"/>
      <c r="E1606" s="186"/>
      <c r="F1606" s="187"/>
    </row>
    <row r="1607" spans="1:6" x14ac:dyDescent="0.2">
      <c r="A1607" s="275"/>
      <c r="B1607" s="78"/>
      <c r="C1607" s="189"/>
      <c r="D1607" s="185"/>
      <c r="E1607" s="186"/>
      <c r="F1607" s="187"/>
    </row>
    <row r="1608" spans="1:6" x14ac:dyDescent="0.2">
      <c r="A1608" s="275"/>
      <c r="B1608" s="78"/>
      <c r="C1608" s="189"/>
      <c r="D1608" s="185"/>
      <c r="E1608" s="186"/>
      <c r="F1608" s="187"/>
    </row>
    <row r="1609" spans="1:6" x14ac:dyDescent="0.2">
      <c r="A1609" s="275"/>
      <c r="B1609" s="78"/>
      <c r="C1609" s="189"/>
      <c r="D1609" s="185"/>
      <c r="E1609" s="186"/>
      <c r="F1609" s="187"/>
    </row>
    <row r="1610" spans="1:6" x14ac:dyDescent="0.2">
      <c r="A1610" s="275"/>
      <c r="B1610" s="78"/>
      <c r="C1610" s="189"/>
      <c r="D1610" s="185"/>
      <c r="E1610" s="186"/>
      <c r="F1610" s="187"/>
    </row>
    <row r="1611" spans="1:6" x14ac:dyDescent="0.2">
      <c r="A1611" s="275"/>
      <c r="B1611" s="78"/>
      <c r="C1611" s="189"/>
      <c r="D1611" s="185"/>
      <c r="E1611" s="186"/>
      <c r="F1611" s="187"/>
    </row>
    <row r="1612" spans="1:6" x14ac:dyDescent="0.2">
      <c r="A1612" s="275"/>
      <c r="B1612" s="78"/>
      <c r="C1612" s="189"/>
      <c r="D1612" s="185"/>
      <c r="E1612" s="186"/>
      <c r="F1612" s="187"/>
    </row>
    <row r="1613" spans="1:6" x14ac:dyDescent="0.2">
      <c r="A1613" s="275"/>
      <c r="B1613" s="78"/>
      <c r="C1613" s="189"/>
      <c r="D1613" s="185"/>
      <c r="E1613" s="186"/>
      <c r="F1613" s="187"/>
    </row>
    <row r="1614" spans="1:6" x14ac:dyDescent="0.2">
      <c r="A1614" s="275"/>
      <c r="B1614" s="78"/>
      <c r="C1614" s="189"/>
      <c r="D1614" s="185"/>
      <c r="E1614" s="186"/>
      <c r="F1614" s="187"/>
    </row>
    <row r="1615" spans="1:6" x14ac:dyDescent="0.2">
      <c r="A1615" s="275"/>
      <c r="B1615" s="78"/>
      <c r="C1615" s="189"/>
      <c r="D1615" s="185"/>
      <c r="E1615" s="186"/>
      <c r="F1615" s="187"/>
    </row>
    <row r="1616" spans="1:6" x14ac:dyDescent="0.2">
      <c r="A1616" s="275"/>
      <c r="B1616" s="78"/>
      <c r="C1616" s="189"/>
      <c r="D1616" s="185"/>
      <c r="E1616" s="186"/>
      <c r="F1616" s="187"/>
    </row>
    <row r="1617" spans="1:6" x14ac:dyDescent="0.2">
      <c r="A1617" s="275"/>
      <c r="B1617" s="78"/>
      <c r="C1617" s="189"/>
      <c r="D1617" s="185"/>
      <c r="E1617" s="186"/>
      <c r="F1617" s="187"/>
    </row>
    <row r="1618" spans="1:6" x14ac:dyDescent="0.2">
      <c r="A1618" s="275"/>
      <c r="B1618" s="78"/>
      <c r="C1618" s="189"/>
      <c r="D1618" s="185"/>
      <c r="E1618" s="186"/>
      <c r="F1618" s="187"/>
    </row>
    <row r="1619" spans="1:6" x14ac:dyDescent="0.2">
      <c r="A1619" s="275"/>
      <c r="B1619" s="78"/>
      <c r="C1619" s="189"/>
      <c r="D1619" s="185"/>
      <c r="E1619" s="186"/>
      <c r="F1619" s="187"/>
    </row>
    <row r="1620" spans="1:6" x14ac:dyDescent="0.2">
      <c r="A1620" s="275"/>
      <c r="B1620" s="78"/>
      <c r="C1620" s="189"/>
      <c r="D1620" s="185"/>
      <c r="E1620" s="186"/>
      <c r="F1620" s="187"/>
    </row>
    <row r="1621" spans="1:6" x14ac:dyDescent="0.2">
      <c r="A1621" s="275"/>
      <c r="B1621" s="78"/>
      <c r="C1621" s="189"/>
      <c r="D1621" s="185"/>
      <c r="E1621" s="186"/>
      <c r="F1621" s="187"/>
    </row>
    <row r="1622" spans="1:6" x14ac:dyDescent="0.2">
      <c r="A1622" s="275"/>
      <c r="B1622" s="78"/>
      <c r="C1622" s="189"/>
      <c r="D1622" s="185"/>
      <c r="E1622" s="186"/>
      <c r="F1622" s="187"/>
    </row>
    <row r="1623" spans="1:6" x14ac:dyDescent="0.2">
      <c r="A1623" s="275"/>
      <c r="B1623" s="78"/>
      <c r="C1623" s="189"/>
      <c r="D1623" s="185"/>
      <c r="E1623" s="186"/>
      <c r="F1623" s="187"/>
    </row>
    <row r="1624" spans="1:6" x14ac:dyDescent="0.2">
      <c r="A1624" s="275"/>
      <c r="B1624" s="78"/>
      <c r="C1624" s="189"/>
      <c r="D1624" s="185"/>
      <c r="E1624" s="186"/>
      <c r="F1624" s="187"/>
    </row>
    <row r="1625" spans="1:6" x14ac:dyDescent="0.2">
      <c r="A1625" s="275"/>
      <c r="B1625" s="78"/>
      <c r="C1625" s="189"/>
      <c r="D1625" s="185"/>
      <c r="E1625" s="186"/>
      <c r="F1625" s="187"/>
    </row>
    <row r="1626" spans="1:6" x14ac:dyDescent="0.2">
      <c r="A1626" s="275"/>
      <c r="B1626" s="78"/>
      <c r="C1626" s="189"/>
      <c r="D1626" s="185"/>
      <c r="E1626" s="186"/>
      <c r="F1626" s="187"/>
    </row>
    <row r="1627" spans="1:6" x14ac:dyDescent="0.2">
      <c r="A1627" s="275"/>
      <c r="B1627" s="78"/>
      <c r="C1627" s="189"/>
      <c r="D1627" s="185"/>
      <c r="E1627" s="186"/>
      <c r="F1627" s="187"/>
    </row>
    <row r="1628" spans="1:6" x14ac:dyDescent="0.2">
      <c r="A1628" s="275"/>
      <c r="B1628" s="78"/>
      <c r="C1628" s="189"/>
      <c r="D1628" s="185"/>
      <c r="E1628" s="186"/>
      <c r="F1628" s="187"/>
    </row>
    <row r="1629" spans="1:6" x14ac:dyDescent="0.2">
      <c r="A1629" s="275"/>
      <c r="B1629" s="78"/>
      <c r="C1629" s="189"/>
      <c r="D1629" s="185"/>
      <c r="E1629" s="186"/>
      <c r="F1629" s="187"/>
    </row>
    <row r="1630" spans="1:6" x14ac:dyDescent="0.2">
      <c r="A1630" s="275"/>
      <c r="B1630" s="78"/>
      <c r="C1630" s="189"/>
      <c r="D1630" s="185"/>
      <c r="E1630" s="186"/>
      <c r="F1630" s="187"/>
    </row>
    <row r="1631" spans="1:6" x14ac:dyDescent="0.2">
      <c r="A1631" s="275"/>
      <c r="B1631" s="78"/>
      <c r="C1631" s="189"/>
      <c r="D1631" s="185"/>
      <c r="E1631" s="186"/>
      <c r="F1631" s="187"/>
    </row>
    <row r="1632" spans="1:6" x14ac:dyDescent="0.2">
      <c r="A1632" s="275"/>
      <c r="B1632" s="78"/>
      <c r="C1632" s="189"/>
      <c r="D1632" s="185"/>
      <c r="E1632" s="186"/>
      <c r="F1632" s="187"/>
    </row>
    <row r="1633" spans="1:6" x14ac:dyDescent="0.2">
      <c r="A1633" s="275"/>
      <c r="B1633" s="78"/>
      <c r="C1633" s="189"/>
      <c r="D1633" s="185"/>
      <c r="E1633" s="186"/>
      <c r="F1633" s="187"/>
    </row>
    <row r="1634" spans="1:6" x14ac:dyDescent="0.2">
      <c r="A1634" s="275"/>
      <c r="B1634" s="78"/>
      <c r="C1634" s="189"/>
      <c r="D1634" s="185"/>
      <c r="E1634" s="186"/>
      <c r="F1634" s="187"/>
    </row>
    <row r="1635" spans="1:6" x14ac:dyDescent="0.2">
      <c r="A1635" s="275"/>
      <c r="B1635" s="78"/>
      <c r="C1635" s="189"/>
      <c r="D1635" s="185"/>
      <c r="E1635" s="186"/>
      <c r="F1635" s="187"/>
    </row>
    <row r="1636" spans="1:6" x14ac:dyDescent="0.2">
      <c r="A1636" s="275"/>
      <c r="B1636" s="78"/>
      <c r="C1636" s="189"/>
      <c r="D1636" s="185"/>
      <c r="E1636" s="186"/>
      <c r="F1636" s="187"/>
    </row>
    <row r="1637" spans="1:6" x14ac:dyDescent="0.2">
      <c r="A1637" s="275"/>
      <c r="B1637" s="78"/>
      <c r="C1637" s="189"/>
      <c r="D1637" s="185"/>
      <c r="E1637" s="186"/>
      <c r="F1637" s="187"/>
    </row>
    <row r="1638" spans="1:6" x14ac:dyDescent="0.2">
      <c r="A1638" s="275"/>
      <c r="B1638" s="78"/>
      <c r="C1638" s="189"/>
      <c r="D1638" s="185"/>
      <c r="E1638" s="186"/>
      <c r="F1638" s="187"/>
    </row>
    <row r="1639" spans="1:6" x14ac:dyDescent="0.2">
      <c r="A1639" s="275"/>
      <c r="B1639" s="78"/>
      <c r="C1639" s="189"/>
      <c r="D1639" s="185"/>
      <c r="E1639" s="186"/>
      <c r="F1639" s="187"/>
    </row>
    <row r="1640" spans="1:6" x14ac:dyDescent="0.2">
      <c r="A1640" s="275"/>
      <c r="B1640" s="78"/>
      <c r="C1640" s="189"/>
      <c r="D1640" s="185"/>
      <c r="E1640" s="186"/>
      <c r="F1640" s="187"/>
    </row>
    <row r="1641" spans="1:6" x14ac:dyDescent="0.2">
      <c r="A1641" s="275"/>
      <c r="B1641" s="78"/>
      <c r="C1641" s="189"/>
      <c r="D1641" s="185"/>
      <c r="E1641" s="186"/>
      <c r="F1641" s="187"/>
    </row>
    <row r="1642" spans="1:6" x14ac:dyDescent="0.2">
      <c r="A1642" s="275"/>
      <c r="B1642" s="78"/>
      <c r="C1642" s="189"/>
      <c r="D1642" s="185"/>
      <c r="E1642" s="186"/>
      <c r="F1642" s="187"/>
    </row>
    <row r="1643" spans="1:6" x14ac:dyDescent="0.2">
      <c r="A1643" s="275"/>
      <c r="B1643" s="78"/>
      <c r="C1643" s="189"/>
      <c r="D1643" s="185"/>
      <c r="E1643" s="186"/>
      <c r="F1643" s="187"/>
    </row>
    <row r="1644" spans="1:6" x14ac:dyDescent="0.2">
      <c r="A1644" s="275"/>
      <c r="B1644" s="78"/>
      <c r="C1644" s="189"/>
      <c r="D1644" s="185"/>
      <c r="E1644" s="186"/>
      <c r="F1644" s="187"/>
    </row>
    <row r="1645" spans="1:6" x14ac:dyDescent="0.2">
      <c r="A1645" s="275"/>
      <c r="B1645" s="78"/>
      <c r="C1645" s="189"/>
      <c r="D1645" s="185"/>
      <c r="E1645" s="186"/>
      <c r="F1645" s="187"/>
    </row>
    <row r="1646" spans="1:6" x14ac:dyDescent="0.2">
      <c r="A1646" s="275"/>
      <c r="B1646" s="78"/>
      <c r="C1646" s="189"/>
      <c r="D1646" s="185"/>
      <c r="E1646" s="186"/>
      <c r="F1646" s="187"/>
    </row>
    <row r="1647" spans="1:6" x14ac:dyDescent="0.2">
      <c r="A1647" s="275"/>
      <c r="B1647" s="78"/>
      <c r="C1647" s="189"/>
      <c r="D1647" s="185"/>
      <c r="E1647" s="186"/>
      <c r="F1647" s="187"/>
    </row>
    <row r="1648" spans="1:6" x14ac:dyDescent="0.2">
      <c r="A1648" s="275"/>
      <c r="B1648" s="78"/>
      <c r="C1648" s="189"/>
      <c r="D1648" s="185"/>
      <c r="E1648" s="186"/>
      <c r="F1648" s="187"/>
    </row>
    <row r="1649" spans="1:6" x14ac:dyDescent="0.2">
      <c r="A1649" s="275"/>
      <c r="B1649" s="78"/>
      <c r="C1649" s="189"/>
      <c r="D1649" s="185"/>
      <c r="E1649" s="186"/>
      <c r="F1649" s="187"/>
    </row>
    <row r="1650" spans="1:6" x14ac:dyDescent="0.2">
      <c r="A1650" s="275"/>
      <c r="B1650" s="78"/>
      <c r="C1650" s="189"/>
      <c r="D1650" s="185"/>
      <c r="E1650" s="186"/>
      <c r="F1650" s="187"/>
    </row>
    <row r="1651" spans="1:6" x14ac:dyDescent="0.2">
      <c r="A1651" s="275"/>
      <c r="B1651" s="78"/>
      <c r="C1651" s="189"/>
      <c r="D1651" s="185"/>
      <c r="E1651" s="186"/>
      <c r="F1651" s="187"/>
    </row>
    <row r="1652" spans="1:6" x14ac:dyDescent="0.2">
      <c r="A1652" s="275"/>
      <c r="B1652" s="78"/>
      <c r="C1652" s="189"/>
      <c r="D1652" s="185"/>
      <c r="E1652" s="186"/>
      <c r="F1652" s="187"/>
    </row>
    <row r="1653" spans="1:6" x14ac:dyDescent="0.2">
      <c r="A1653" s="275"/>
      <c r="B1653" s="78"/>
      <c r="C1653" s="189"/>
      <c r="D1653" s="185"/>
      <c r="E1653" s="186"/>
      <c r="F1653" s="187"/>
    </row>
    <row r="1654" spans="1:6" x14ac:dyDescent="0.2">
      <c r="A1654" s="275"/>
      <c r="B1654" s="78"/>
      <c r="C1654" s="189"/>
      <c r="D1654" s="185"/>
      <c r="E1654" s="186"/>
      <c r="F1654" s="187"/>
    </row>
    <row r="1655" spans="1:6" x14ac:dyDescent="0.2">
      <c r="A1655" s="275"/>
      <c r="B1655" s="78"/>
      <c r="C1655" s="189"/>
      <c r="D1655" s="185"/>
      <c r="E1655" s="186"/>
      <c r="F1655" s="187"/>
    </row>
    <row r="1656" spans="1:6" x14ac:dyDescent="0.2">
      <c r="A1656" s="275"/>
      <c r="B1656" s="78"/>
      <c r="C1656" s="189"/>
      <c r="D1656" s="185"/>
      <c r="E1656" s="186"/>
      <c r="F1656" s="187"/>
    </row>
    <row r="1657" spans="1:6" x14ac:dyDescent="0.2">
      <c r="A1657" s="275"/>
      <c r="B1657" s="78"/>
      <c r="C1657" s="189"/>
      <c r="D1657" s="185"/>
      <c r="E1657" s="186"/>
      <c r="F1657" s="187"/>
    </row>
    <row r="1658" spans="1:6" x14ac:dyDescent="0.2">
      <c r="A1658" s="275"/>
      <c r="B1658" s="78"/>
      <c r="C1658" s="189"/>
      <c r="D1658" s="185"/>
      <c r="E1658" s="186"/>
      <c r="F1658" s="187"/>
    </row>
    <row r="1659" spans="1:6" x14ac:dyDescent="0.2">
      <c r="A1659" s="275"/>
      <c r="B1659" s="78"/>
      <c r="C1659" s="189"/>
      <c r="D1659" s="185"/>
      <c r="E1659" s="186"/>
      <c r="F1659" s="187"/>
    </row>
    <row r="1660" spans="1:6" x14ac:dyDescent="0.2">
      <c r="A1660" s="275"/>
      <c r="B1660" s="78"/>
      <c r="C1660" s="189"/>
      <c r="D1660" s="185"/>
      <c r="E1660" s="186"/>
      <c r="F1660" s="187"/>
    </row>
    <row r="1661" spans="1:6" x14ac:dyDescent="0.2">
      <c r="A1661" s="275"/>
      <c r="B1661" s="78"/>
      <c r="C1661" s="189"/>
      <c r="D1661" s="185"/>
      <c r="E1661" s="186"/>
      <c r="F1661" s="187"/>
    </row>
    <row r="1662" spans="1:6" x14ac:dyDescent="0.2">
      <c r="A1662" s="275"/>
      <c r="B1662" s="78"/>
      <c r="C1662" s="189"/>
      <c r="D1662" s="185"/>
      <c r="E1662" s="186"/>
      <c r="F1662" s="187"/>
    </row>
    <row r="1663" spans="1:6" x14ac:dyDescent="0.2">
      <c r="A1663" s="275"/>
      <c r="B1663" s="78"/>
      <c r="C1663" s="189"/>
      <c r="D1663" s="185"/>
      <c r="E1663" s="186"/>
      <c r="F1663" s="187"/>
    </row>
    <row r="1664" spans="1:6" x14ac:dyDescent="0.2">
      <c r="A1664" s="275"/>
      <c r="B1664" s="78"/>
      <c r="C1664" s="189"/>
      <c r="D1664" s="185"/>
      <c r="E1664" s="186"/>
      <c r="F1664" s="187"/>
    </row>
    <row r="1665" spans="1:6" x14ac:dyDescent="0.2">
      <c r="A1665" s="275"/>
      <c r="B1665" s="78"/>
      <c r="C1665" s="189"/>
      <c r="D1665" s="185"/>
      <c r="E1665" s="186"/>
      <c r="F1665" s="187"/>
    </row>
    <row r="1666" spans="1:6" x14ac:dyDescent="0.2">
      <c r="A1666" s="275"/>
      <c r="B1666" s="78"/>
      <c r="C1666" s="189"/>
      <c r="D1666" s="185"/>
      <c r="E1666" s="186"/>
      <c r="F1666" s="187"/>
    </row>
    <row r="1667" spans="1:6" x14ac:dyDescent="0.2">
      <c r="A1667" s="275"/>
      <c r="B1667" s="78"/>
      <c r="C1667" s="189"/>
      <c r="D1667" s="185"/>
      <c r="E1667" s="186"/>
      <c r="F1667" s="187"/>
    </row>
    <row r="1668" spans="1:6" x14ac:dyDescent="0.2">
      <c r="A1668" s="275"/>
      <c r="B1668" s="78"/>
      <c r="C1668" s="189"/>
      <c r="D1668" s="185"/>
      <c r="E1668" s="186"/>
      <c r="F1668" s="187"/>
    </row>
    <row r="1669" spans="1:6" x14ac:dyDescent="0.2">
      <c r="A1669" s="275"/>
      <c r="B1669" s="78"/>
      <c r="C1669" s="189"/>
      <c r="D1669" s="185"/>
      <c r="E1669" s="186"/>
      <c r="F1669" s="187"/>
    </row>
    <row r="1670" spans="1:6" x14ac:dyDescent="0.2">
      <c r="A1670" s="275"/>
      <c r="B1670" s="78"/>
      <c r="C1670" s="189"/>
      <c r="D1670" s="185"/>
      <c r="E1670" s="186"/>
      <c r="F1670" s="187"/>
    </row>
    <row r="1671" spans="1:6" x14ac:dyDescent="0.2">
      <c r="A1671" s="275"/>
      <c r="B1671" s="78"/>
      <c r="C1671" s="189"/>
      <c r="D1671" s="185"/>
      <c r="E1671" s="186"/>
      <c r="F1671" s="187"/>
    </row>
    <row r="1672" spans="1:6" x14ac:dyDescent="0.2">
      <c r="A1672" s="275"/>
      <c r="B1672" s="78"/>
      <c r="C1672" s="189"/>
      <c r="D1672" s="185"/>
      <c r="E1672" s="186"/>
      <c r="F1672" s="187"/>
    </row>
    <row r="1673" spans="1:6" x14ac:dyDescent="0.2">
      <c r="A1673" s="275"/>
      <c r="B1673" s="78"/>
      <c r="C1673" s="189"/>
      <c r="D1673" s="185"/>
      <c r="E1673" s="186"/>
      <c r="F1673" s="187"/>
    </row>
    <row r="1674" spans="1:6" x14ac:dyDescent="0.2">
      <c r="A1674" s="275"/>
      <c r="B1674" s="78"/>
      <c r="C1674" s="189"/>
      <c r="D1674" s="185"/>
      <c r="E1674" s="186"/>
      <c r="F1674" s="187"/>
    </row>
    <row r="1675" spans="1:6" x14ac:dyDescent="0.2">
      <c r="A1675" s="275"/>
      <c r="B1675" s="78"/>
      <c r="C1675" s="189"/>
      <c r="D1675" s="185"/>
      <c r="E1675" s="186"/>
      <c r="F1675" s="187"/>
    </row>
    <row r="1676" spans="1:6" x14ac:dyDescent="0.2">
      <c r="A1676" s="275"/>
      <c r="B1676" s="78"/>
      <c r="C1676" s="189"/>
      <c r="D1676" s="185"/>
      <c r="E1676" s="186"/>
      <c r="F1676" s="187"/>
    </row>
    <row r="1677" spans="1:6" x14ac:dyDescent="0.2">
      <c r="A1677" s="275"/>
      <c r="B1677" s="78"/>
      <c r="C1677" s="189"/>
      <c r="D1677" s="185"/>
      <c r="E1677" s="186"/>
      <c r="F1677" s="187"/>
    </row>
    <row r="1678" spans="1:6" x14ac:dyDescent="0.2">
      <c r="A1678" s="275"/>
      <c r="B1678" s="78"/>
      <c r="C1678" s="189"/>
      <c r="D1678" s="185"/>
      <c r="E1678" s="186"/>
      <c r="F1678" s="187"/>
    </row>
    <row r="1679" spans="1:6" x14ac:dyDescent="0.2">
      <c r="A1679" s="275"/>
      <c r="B1679" s="78"/>
      <c r="C1679" s="189"/>
      <c r="D1679" s="185"/>
      <c r="E1679" s="186"/>
      <c r="F1679" s="187"/>
    </row>
    <row r="1680" spans="1:6" x14ac:dyDescent="0.2">
      <c r="A1680" s="275"/>
      <c r="B1680" s="78"/>
      <c r="C1680" s="189"/>
      <c r="D1680" s="185"/>
      <c r="E1680" s="186"/>
      <c r="F1680" s="187"/>
    </row>
    <row r="1681" spans="1:6" x14ac:dyDescent="0.2">
      <c r="A1681" s="275"/>
      <c r="B1681" s="78"/>
      <c r="C1681" s="189"/>
      <c r="D1681" s="185"/>
      <c r="E1681" s="186"/>
      <c r="F1681" s="187"/>
    </row>
    <row r="1682" spans="1:6" x14ac:dyDescent="0.2">
      <c r="A1682" s="275"/>
      <c r="B1682" s="78"/>
      <c r="C1682" s="189"/>
      <c r="D1682" s="185"/>
      <c r="E1682" s="186"/>
      <c r="F1682" s="187"/>
    </row>
    <row r="1683" spans="1:6" x14ac:dyDescent="0.2">
      <c r="A1683" s="275"/>
      <c r="B1683" s="78"/>
      <c r="C1683" s="189"/>
      <c r="D1683" s="185"/>
      <c r="E1683" s="186"/>
      <c r="F1683" s="187"/>
    </row>
    <row r="1684" spans="1:6" x14ac:dyDescent="0.2">
      <c r="A1684" s="275"/>
      <c r="B1684" s="78"/>
      <c r="C1684" s="189"/>
      <c r="D1684" s="185"/>
      <c r="E1684" s="186"/>
      <c r="F1684" s="187"/>
    </row>
    <row r="1685" spans="1:6" x14ac:dyDescent="0.2">
      <c r="A1685" s="275"/>
      <c r="B1685" s="78"/>
      <c r="C1685" s="189"/>
      <c r="D1685" s="185"/>
      <c r="E1685" s="186"/>
      <c r="F1685" s="187"/>
    </row>
    <row r="1686" spans="1:6" x14ac:dyDescent="0.2">
      <c r="A1686" s="275"/>
      <c r="B1686" s="78"/>
      <c r="C1686" s="189"/>
      <c r="D1686" s="185"/>
      <c r="E1686" s="186"/>
      <c r="F1686" s="187"/>
    </row>
    <row r="1687" spans="1:6" x14ac:dyDescent="0.2">
      <c r="A1687" s="275"/>
      <c r="B1687" s="78"/>
      <c r="C1687" s="189"/>
      <c r="D1687" s="185"/>
      <c r="E1687" s="186"/>
      <c r="F1687" s="187"/>
    </row>
    <row r="1688" spans="1:6" x14ac:dyDescent="0.2">
      <c r="A1688" s="275"/>
      <c r="B1688" s="78"/>
      <c r="C1688" s="189"/>
      <c r="D1688" s="185"/>
      <c r="E1688" s="186"/>
      <c r="F1688" s="187"/>
    </row>
    <row r="1689" spans="1:6" x14ac:dyDescent="0.2">
      <c r="A1689" s="275"/>
      <c r="B1689" s="78"/>
      <c r="C1689" s="189"/>
      <c r="D1689" s="185"/>
      <c r="E1689" s="186"/>
      <c r="F1689" s="187"/>
    </row>
    <row r="1690" spans="1:6" x14ac:dyDescent="0.2">
      <c r="A1690" s="275"/>
      <c r="B1690" s="78"/>
      <c r="C1690" s="189"/>
      <c r="D1690" s="185"/>
      <c r="E1690" s="186"/>
      <c r="F1690" s="187"/>
    </row>
    <row r="1691" spans="1:6" x14ac:dyDescent="0.2">
      <c r="A1691" s="275"/>
      <c r="B1691" s="78"/>
      <c r="C1691" s="189"/>
      <c r="D1691" s="185"/>
      <c r="E1691" s="186"/>
      <c r="F1691" s="187"/>
    </row>
    <row r="1692" spans="1:6" x14ac:dyDescent="0.2">
      <c r="A1692" s="275"/>
      <c r="B1692" s="78"/>
      <c r="C1692" s="189"/>
      <c r="D1692" s="185"/>
      <c r="E1692" s="186"/>
      <c r="F1692" s="187"/>
    </row>
    <row r="1693" spans="1:6" x14ac:dyDescent="0.2">
      <c r="A1693" s="275"/>
      <c r="B1693" s="78"/>
      <c r="C1693" s="189"/>
      <c r="D1693" s="185"/>
      <c r="E1693" s="186"/>
      <c r="F1693" s="187"/>
    </row>
    <row r="1694" spans="1:6" x14ac:dyDescent="0.2">
      <c r="A1694" s="275"/>
      <c r="B1694" s="78"/>
      <c r="C1694" s="189"/>
      <c r="D1694" s="185"/>
      <c r="E1694" s="186"/>
      <c r="F1694" s="187"/>
    </row>
    <row r="1695" spans="1:6" x14ac:dyDescent="0.2">
      <c r="A1695" s="275"/>
      <c r="B1695" s="78"/>
      <c r="C1695" s="189"/>
      <c r="D1695" s="185"/>
      <c r="E1695" s="186"/>
      <c r="F1695" s="187"/>
    </row>
    <row r="1696" spans="1:6" x14ac:dyDescent="0.2">
      <c r="A1696" s="275"/>
      <c r="B1696" s="78"/>
      <c r="C1696" s="189"/>
      <c r="D1696" s="185"/>
      <c r="E1696" s="186"/>
      <c r="F1696" s="187"/>
    </row>
    <row r="1697" spans="1:6" x14ac:dyDescent="0.2">
      <c r="A1697" s="275"/>
      <c r="B1697" s="78"/>
      <c r="C1697" s="189"/>
      <c r="D1697" s="185"/>
      <c r="E1697" s="186"/>
      <c r="F1697" s="187"/>
    </row>
    <row r="1698" spans="1:6" x14ac:dyDescent="0.2">
      <c r="A1698" s="275"/>
      <c r="B1698" s="78"/>
      <c r="C1698" s="189"/>
      <c r="D1698" s="185"/>
      <c r="E1698" s="186"/>
      <c r="F1698" s="187"/>
    </row>
    <row r="1699" spans="1:6" x14ac:dyDescent="0.2">
      <c r="A1699" s="275"/>
      <c r="B1699" s="78"/>
      <c r="C1699" s="189"/>
      <c r="D1699" s="185"/>
      <c r="E1699" s="186"/>
      <c r="F1699" s="187"/>
    </row>
    <row r="1700" spans="1:6" x14ac:dyDescent="0.2">
      <c r="A1700" s="275"/>
      <c r="B1700" s="78"/>
      <c r="C1700" s="189"/>
      <c r="D1700" s="185"/>
      <c r="E1700" s="186"/>
      <c r="F1700" s="187"/>
    </row>
    <row r="1701" spans="1:6" x14ac:dyDescent="0.2">
      <c r="A1701" s="275"/>
      <c r="B1701" s="78"/>
      <c r="C1701" s="189"/>
      <c r="D1701" s="185"/>
      <c r="E1701" s="186"/>
      <c r="F1701" s="187"/>
    </row>
    <row r="1702" spans="1:6" x14ac:dyDescent="0.2">
      <c r="A1702" s="275"/>
      <c r="B1702" s="78"/>
      <c r="C1702" s="189"/>
      <c r="D1702" s="185"/>
      <c r="E1702" s="186"/>
      <c r="F1702" s="187"/>
    </row>
    <row r="1703" spans="1:6" x14ac:dyDescent="0.2">
      <c r="A1703" s="275"/>
      <c r="B1703" s="78"/>
      <c r="C1703" s="189"/>
      <c r="D1703" s="185"/>
      <c r="E1703" s="186"/>
      <c r="F1703" s="187"/>
    </row>
    <row r="1704" spans="1:6" x14ac:dyDescent="0.2">
      <c r="A1704" s="275"/>
      <c r="B1704" s="78"/>
      <c r="C1704" s="189"/>
      <c r="D1704" s="185"/>
      <c r="E1704" s="186"/>
      <c r="F1704" s="187"/>
    </row>
    <row r="1705" spans="1:6" x14ac:dyDescent="0.2">
      <c r="A1705" s="275"/>
      <c r="B1705" s="78"/>
      <c r="C1705" s="189"/>
      <c r="D1705" s="185"/>
      <c r="E1705" s="186"/>
      <c r="F1705" s="187"/>
    </row>
    <row r="1706" spans="1:6" x14ac:dyDescent="0.2">
      <c r="A1706" s="275"/>
      <c r="B1706" s="78"/>
      <c r="C1706" s="189"/>
      <c r="D1706" s="185"/>
      <c r="E1706" s="186"/>
      <c r="F1706" s="187"/>
    </row>
    <row r="1707" spans="1:6" x14ac:dyDescent="0.2">
      <c r="A1707" s="275"/>
      <c r="B1707" s="78"/>
      <c r="C1707" s="189"/>
      <c r="D1707" s="185"/>
      <c r="E1707" s="186"/>
      <c r="F1707" s="187"/>
    </row>
    <row r="1708" spans="1:6" x14ac:dyDescent="0.2">
      <c r="A1708" s="275"/>
      <c r="B1708" s="78"/>
      <c r="C1708" s="189"/>
      <c r="D1708" s="185"/>
      <c r="E1708" s="186"/>
      <c r="F1708" s="187"/>
    </row>
    <row r="1709" spans="1:6" x14ac:dyDescent="0.2">
      <c r="A1709" s="275"/>
      <c r="B1709" s="78"/>
      <c r="C1709" s="189"/>
      <c r="D1709" s="185"/>
      <c r="E1709" s="186"/>
      <c r="F1709" s="187"/>
    </row>
    <row r="1710" spans="1:6" x14ac:dyDescent="0.2">
      <c r="A1710" s="275"/>
      <c r="B1710" s="78"/>
      <c r="C1710" s="189"/>
      <c r="D1710" s="185"/>
      <c r="E1710" s="186"/>
      <c r="F1710" s="187"/>
    </row>
    <row r="1711" spans="1:6" x14ac:dyDescent="0.2">
      <c r="A1711" s="275"/>
      <c r="B1711" s="78"/>
      <c r="C1711" s="189"/>
      <c r="D1711" s="185"/>
      <c r="E1711" s="186"/>
      <c r="F1711" s="187"/>
    </row>
    <row r="1712" spans="1:6" x14ac:dyDescent="0.2">
      <c r="A1712" s="275"/>
      <c r="B1712" s="78"/>
      <c r="C1712" s="189"/>
      <c r="D1712" s="185"/>
      <c r="E1712" s="186"/>
      <c r="F1712" s="187"/>
    </row>
    <row r="1713" spans="1:6" x14ac:dyDescent="0.2">
      <c r="A1713" s="275"/>
      <c r="B1713" s="78"/>
      <c r="C1713" s="189"/>
      <c r="D1713" s="185"/>
      <c r="E1713" s="186"/>
      <c r="F1713" s="187"/>
    </row>
    <row r="1714" spans="1:6" x14ac:dyDescent="0.2">
      <c r="A1714" s="275"/>
      <c r="B1714" s="78"/>
      <c r="C1714" s="189"/>
      <c r="D1714" s="185"/>
      <c r="E1714" s="186"/>
      <c r="F1714" s="187"/>
    </row>
    <row r="1715" spans="1:6" x14ac:dyDescent="0.2">
      <c r="A1715" s="275"/>
      <c r="B1715" s="78"/>
      <c r="C1715" s="189"/>
      <c r="D1715" s="185"/>
      <c r="E1715" s="186"/>
      <c r="F1715" s="187"/>
    </row>
    <row r="1716" spans="1:6" x14ac:dyDescent="0.2">
      <c r="A1716" s="275"/>
      <c r="B1716" s="78"/>
      <c r="C1716" s="189"/>
      <c r="D1716" s="185"/>
      <c r="E1716" s="186"/>
      <c r="F1716" s="187"/>
    </row>
    <row r="1717" spans="1:6" x14ac:dyDescent="0.2">
      <c r="A1717" s="275"/>
      <c r="B1717" s="78"/>
      <c r="C1717" s="189"/>
      <c r="D1717" s="185"/>
      <c r="E1717" s="186"/>
      <c r="F1717" s="187"/>
    </row>
    <row r="1718" spans="1:6" x14ac:dyDescent="0.2">
      <c r="A1718" s="275"/>
      <c r="B1718" s="78"/>
      <c r="C1718" s="189"/>
      <c r="D1718" s="185"/>
      <c r="E1718" s="186"/>
      <c r="F1718" s="187"/>
    </row>
    <row r="1719" spans="1:6" x14ac:dyDescent="0.2">
      <c r="A1719" s="275"/>
      <c r="B1719" s="78"/>
      <c r="C1719" s="189"/>
      <c r="D1719" s="185"/>
      <c r="E1719" s="186"/>
      <c r="F1719" s="187"/>
    </row>
    <row r="1720" spans="1:6" x14ac:dyDescent="0.2">
      <c r="A1720" s="275"/>
      <c r="B1720" s="78"/>
      <c r="C1720" s="189"/>
      <c r="D1720" s="185"/>
      <c r="E1720" s="186"/>
      <c r="F1720" s="187"/>
    </row>
    <row r="1721" spans="1:6" x14ac:dyDescent="0.2">
      <c r="A1721" s="275"/>
      <c r="B1721" s="78"/>
      <c r="C1721" s="189"/>
      <c r="D1721" s="185"/>
      <c r="E1721" s="186"/>
      <c r="F1721" s="187"/>
    </row>
    <row r="1722" spans="1:6" x14ac:dyDescent="0.2">
      <c r="A1722" s="275"/>
      <c r="B1722" s="78"/>
      <c r="C1722" s="189"/>
      <c r="D1722" s="185"/>
      <c r="E1722" s="186"/>
      <c r="F1722" s="187"/>
    </row>
    <row r="1723" spans="1:6" x14ac:dyDescent="0.2">
      <c r="A1723" s="275"/>
      <c r="B1723" s="78"/>
      <c r="C1723" s="189"/>
      <c r="D1723" s="185"/>
      <c r="E1723" s="186"/>
      <c r="F1723" s="187"/>
    </row>
    <row r="1724" spans="1:6" x14ac:dyDescent="0.2">
      <c r="A1724" s="275"/>
      <c r="B1724" s="78"/>
      <c r="C1724" s="189"/>
      <c r="D1724" s="185"/>
      <c r="E1724" s="186"/>
      <c r="F1724" s="187"/>
    </row>
    <row r="1725" spans="1:6" x14ac:dyDescent="0.2">
      <c r="A1725" s="275"/>
      <c r="B1725" s="78"/>
      <c r="C1725" s="189"/>
      <c r="D1725" s="185"/>
      <c r="E1725" s="186"/>
      <c r="F1725" s="187"/>
    </row>
    <row r="1726" spans="1:6" x14ac:dyDescent="0.2">
      <c r="A1726" s="275"/>
      <c r="B1726" s="78"/>
      <c r="C1726" s="189"/>
      <c r="D1726" s="185"/>
      <c r="E1726" s="186"/>
      <c r="F1726" s="187"/>
    </row>
    <row r="1727" spans="1:6" x14ac:dyDescent="0.2">
      <c r="A1727" s="275"/>
      <c r="B1727" s="78"/>
      <c r="C1727" s="189"/>
      <c r="D1727" s="185"/>
      <c r="E1727" s="186"/>
      <c r="F1727" s="187"/>
    </row>
    <row r="1728" spans="1:6" x14ac:dyDescent="0.2">
      <c r="A1728" s="275"/>
      <c r="B1728" s="78"/>
      <c r="C1728" s="189"/>
      <c r="D1728" s="185"/>
      <c r="E1728" s="186"/>
      <c r="F1728" s="187"/>
    </row>
    <row r="1729" spans="1:6" x14ac:dyDescent="0.2">
      <c r="A1729" s="275"/>
      <c r="B1729" s="78"/>
      <c r="C1729" s="189"/>
      <c r="D1729" s="185"/>
      <c r="E1729" s="186"/>
      <c r="F1729" s="187"/>
    </row>
    <row r="1730" spans="1:6" x14ac:dyDescent="0.2">
      <c r="A1730" s="275"/>
      <c r="B1730" s="78"/>
      <c r="C1730" s="189"/>
      <c r="D1730" s="185"/>
      <c r="E1730" s="186"/>
      <c r="F1730" s="187"/>
    </row>
    <row r="1731" spans="1:6" x14ac:dyDescent="0.2">
      <c r="A1731" s="275"/>
      <c r="B1731" s="78"/>
      <c r="C1731" s="189"/>
      <c r="D1731" s="185"/>
      <c r="E1731" s="186"/>
      <c r="F1731" s="187"/>
    </row>
    <row r="1732" spans="1:6" x14ac:dyDescent="0.2">
      <c r="A1732" s="275"/>
      <c r="B1732" s="78"/>
      <c r="C1732" s="189"/>
      <c r="D1732" s="185"/>
      <c r="E1732" s="186"/>
      <c r="F1732" s="187"/>
    </row>
    <row r="1733" spans="1:6" x14ac:dyDescent="0.2">
      <c r="A1733" s="275"/>
      <c r="B1733" s="78"/>
      <c r="C1733" s="189"/>
      <c r="D1733" s="185"/>
      <c r="E1733" s="186"/>
      <c r="F1733" s="187"/>
    </row>
    <row r="1734" spans="1:6" x14ac:dyDescent="0.2">
      <c r="A1734" s="275"/>
      <c r="B1734" s="78"/>
      <c r="C1734" s="189"/>
      <c r="D1734" s="185"/>
      <c r="E1734" s="186"/>
      <c r="F1734" s="187"/>
    </row>
    <row r="1735" spans="1:6" x14ac:dyDescent="0.2">
      <c r="A1735" s="275"/>
      <c r="B1735" s="78"/>
      <c r="C1735" s="189"/>
      <c r="D1735" s="185"/>
      <c r="E1735" s="186"/>
      <c r="F1735" s="187"/>
    </row>
    <row r="1736" spans="1:6" x14ac:dyDescent="0.2">
      <c r="A1736" s="275"/>
      <c r="B1736" s="78"/>
      <c r="C1736" s="189"/>
      <c r="D1736" s="185"/>
      <c r="E1736" s="186"/>
      <c r="F1736" s="187"/>
    </row>
    <row r="1737" spans="1:6" x14ac:dyDescent="0.2">
      <c r="A1737" s="275"/>
      <c r="B1737" s="78"/>
      <c r="C1737" s="189"/>
      <c r="D1737" s="185"/>
      <c r="E1737" s="186"/>
      <c r="F1737" s="187"/>
    </row>
    <row r="1738" spans="1:6" x14ac:dyDescent="0.2">
      <c r="A1738" s="275"/>
      <c r="B1738" s="78"/>
      <c r="C1738" s="189"/>
      <c r="D1738" s="185"/>
      <c r="E1738" s="186"/>
      <c r="F1738" s="187"/>
    </row>
    <row r="1739" spans="1:6" x14ac:dyDescent="0.2">
      <c r="A1739" s="275"/>
      <c r="B1739" s="78"/>
      <c r="C1739" s="189"/>
      <c r="D1739" s="185"/>
      <c r="E1739" s="186"/>
      <c r="F1739" s="187"/>
    </row>
    <row r="1740" spans="1:6" x14ac:dyDescent="0.2">
      <c r="A1740" s="275"/>
      <c r="B1740" s="78"/>
      <c r="C1740" s="189"/>
      <c r="D1740" s="185"/>
      <c r="E1740" s="186"/>
      <c r="F1740" s="187"/>
    </row>
    <row r="1741" spans="1:6" x14ac:dyDescent="0.2">
      <c r="A1741" s="275"/>
      <c r="B1741" s="78"/>
      <c r="C1741" s="189"/>
      <c r="D1741" s="185"/>
      <c r="E1741" s="186"/>
      <c r="F1741" s="187"/>
    </row>
    <row r="1742" spans="1:6" x14ac:dyDescent="0.2">
      <c r="A1742" s="275"/>
      <c r="B1742" s="78"/>
      <c r="C1742" s="189"/>
      <c r="D1742" s="185"/>
      <c r="E1742" s="186"/>
      <c r="F1742" s="187"/>
    </row>
    <row r="1743" spans="1:6" x14ac:dyDescent="0.2">
      <c r="A1743" s="275"/>
      <c r="B1743" s="78"/>
      <c r="C1743" s="189"/>
      <c r="D1743" s="185"/>
      <c r="E1743" s="186"/>
      <c r="F1743" s="187"/>
    </row>
    <row r="1744" spans="1:6" x14ac:dyDescent="0.2">
      <c r="A1744" s="275"/>
      <c r="B1744" s="78"/>
      <c r="C1744" s="189"/>
      <c r="D1744" s="185"/>
      <c r="E1744" s="186"/>
      <c r="F1744" s="187"/>
    </row>
    <row r="1745" spans="1:6" x14ac:dyDescent="0.2">
      <c r="A1745" s="275"/>
      <c r="B1745" s="78"/>
      <c r="C1745" s="189"/>
      <c r="D1745" s="185"/>
      <c r="E1745" s="186"/>
      <c r="F1745" s="187"/>
    </row>
    <row r="1746" spans="1:6" x14ac:dyDescent="0.2">
      <c r="A1746" s="275"/>
      <c r="B1746" s="78"/>
      <c r="C1746" s="189"/>
      <c r="D1746" s="185"/>
      <c r="E1746" s="186"/>
      <c r="F1746" s="187"/>
    </row>
    <row r="1747" spans="1:6" x14ac:dyDescent="0.2">
      <c r="A1747" s="275"/>
      <c r="B1747" s="78"/>
      <c r="C1747" s="189"/>
      <c r="D1747" s="185"/>
      <c r="E1747" s="186"/>
      <c r="F1747" s="187"/>
    </row>
    <row r="1748" spans="1:6" x14ac:dyDescent="0.2">
      <c r="A1748" s="275"/>
      <c r="B1748" s="78"/>
      <c r="C1748" s="189"/>
      <c r="D1748" s="185"/>
      <c r="E1748" s="186"/>
      <c r="F1748" s="187"/>
    </row>
    <row r="1749" spans="1:6" x14ac:dyDescent="0.2">
      <c r="A1749" s="275"/>
      <c r="B1749" s="78"/>
      <c r="C1749" s="189"/>
      <c r="D1749" s="185"/>
      <c r="E1749" s="186"/>
      <c r="F1749" s="187"/>
    </row>
    <row r="1750" spans="1:6" x14ac:dyDescent="0.2">
      <c r="A1750" s="275"/>
      <c r="B1750" s="78"/>
      <c r="C1750" s="189"/>
      <c r="D1750" s="185"/>
      <c r="E1750" s="186"/>
      <c r="F1750" s="187"/>
    </row>
    <row r="1751" spans="1:6" x14ac:dyDescent="0.2">
      <c r="A1751" s="275"/>
      <c r="B1751" s="78"/>
      <c r="C1751" s="189"/>
      <c r="D1751" s="185"/>
      <c r="E1751" s="186"/>
      <c r="F1751" s="187"/>
    </row>
    <row r="1752" spans="1:6" x14ac:dyDescent="0.2">
      <c r="A1752" s="275"/>
      <c r="B1752" s="78"/>
      <c r="C1752" s="189"/>
      <c r="D1752" s="185"/>
      <c r="E1752" s="186"/>
      <c r="F1752" s="187"/>
    </row>
    <row r="1753" spans="1:6" x14ac:dyDescent="0.2">
      <c r="A1753" s="275"/>
      <c r="B1753" s="78"/>
      <c r="C1753" s="189"/>
      <c r="D1753" s="185"/>
      <c r="E1753" s="186"/>
      <c r="F1753" s="187"/>
    </row>
    <row r="1754" spans="1:6" x14ac:dyDescent="0.2">
      <c r="A1754" s="275"/>
      <c r="B1754" s="78"/>
      <c r="C1754" s="189"/>
      <c r="D1754" s="185"/>
      <c r="E1754" s="186"/>
      <c r="F1754" s="187"/>
    </row>
    <row r="1755" spans="1:6" x14ac:dyDescent="0.2">
      <c r="A1755" s="275"/>
      <c r="B1755" s="78"/>
      <c r="C1755" s="189"/>
      <c r="D1755" s="185"/>
      <c r="E1755" s="186"/>
      <c r="F1755" s="187"/>
    </row>
    <row r="1756" spans="1:6" x14ac:dyDescent="0.2">
      <c r="A1756" s="275"/>
      <c r="B1756" s="78"/>
      <c r="C1756" s="189"/>
      <c r="D1756" s="185"/>
      <c r="E1756" s="186"/>
      <c r="F1756" s="187"/>
    </row>
    <row r="1757" spans="1:6" x14ac:dyDescent="0.2">
      <c r="A1757" s="275"/>
      <c r="B1757" s="78"/>
      <c r="C1757" s="189"/>
      <c r="D1757" s="185"/>
      <c r="E1757" s="186"/>
      <c r="F1757" s="187"/>
    </row>
    <row r="1758" spans="1:6" x14ac:dyDescent="0.2">
      <c r="A1758" s="275"/>
      <c r="B1758" s="78"/>
      <c r="C1758" s="189"/>
      <c r="D1758" s="185"/>
      <c r="E1758" s="186"/>
      <c r="F1758" s="187"/>
    </row>
    <row r="1759" spans="1:6" x14ac:dyDescent="0.2">
      <c r="A1759" s="275"/>
      <c r="B1759" s="78"/>
      <c r="C1759" s="189"/>
      <c r="D1759" s="185"/>
      <c r="E1759" s="186"/>
      <c r="F1759" s="187"/>
    </row>
    <row r="1760" spans="1:6" x14ac:dyDescent="0.2">
      <c r="A1760" s="275"/>
      <c r="B1760" s="78"/>
      <c r="C1760" s="189"/>
      <c r="D1760" s="185"/>
      <c r="E1760" s="186"/>
      <c r="F1760" s="187"/>
    </row>
    <row r="1761" spans="1:6" x14ac:dyDescent="0.2">
      <c r="A1761" s="275"/>
      <c r="B1761" s="78"/>
      <c r="C1761" s="189"/>
      <c r="D1761" s="185"/>
      <c r="E1761" s="186"/>
      <c r="F1761" s="187"/>
    </row>
    <row r="1762" spans="1:6" x14ac:dyDescent="0.2">
      <c r="A1762" s="275"/>
      <c r="B1762" s="78"/>
      <c r="C1762" s="189"/>
      <c r="D1762" s="185"/>
      <c r="E1762" s="186"/>
      <c r="F1762" s="187"/>
    </row>
    <row r="1763" spans="1:6" x14ac:dyDescent="0.2">
      <c r="A1763" s="275"/>
      <c r="B1763" s="78"/>
      <c r="C1763" s="189"/>
      <c r="D1763" s="185"/>
      <c r="E1763" s="186"/>
      <c r="F1763" s="187"/>
    </row>
    <row r="1764" spans="1:6" x14ac:dyDescent="0.2">
      <c r="A1764" s="275"/>
      <c r="B1764" s="78"/>
      <c r="C1764" s="189"/>
      <c r="D1764" s="185"/>
      <c r="E1764" s="186"/>
      <c r="F1764" s="187"/>
    </row>
    <row r="1765" spans="1:6" x14ac:dyDescent="0.2">
      <c r="A1765" s="275"/>
      <c r="B1765" s="78"/>
      <c r="C1765" s="189"/>
      <c r="D1765" s="185"/>
      <c r="E1765" s="186"/>
      <c r="F1765" s="187"/>
    </row>
    <row r="1766" spans="1:6" x14ac:dyDescent="0.2">
      <c r="A1766" s="275"/>
      <c r="B1766" s="78"/>
      <c r="C1766" s="189"/>
      <c r="D1766" s="185"/>
      <c r="E1766" s="186"/>
      <c r="F1766" s="187"/>
    </row>
    <row r="1767" spans="1:6" x14ac:dyDescent="0.2">
      <c r="A1767" s="275"/>
      <c r="B1767" s="78"/>
      <c r="C1767" s="189"/>
      <c r="D1767" s="185"/>
      <c r="E1767" s="186"/>
      <c r="F1767" s="187"/>
    </row>
    <row r="1768" spans="1:6" x14ac:dyDescent="0.2">
      <c r="A1768" s="275"/>
      <c r="B1768" s="78"/>
      <c r="C1768" s="189"/>
      <c r="D1768" s="185"/>
      <c r="E1768" s="186"/>
      <c r="F1768" s="187"/>
    </row>
    <row r="1769" spans="1:6" x14ac:dyDescent="0.2">
      <c r="A1769" s="275"/>
      <c r="B1769" s="78"/>
      <c r="C1769" s="189"/>
      <c r="D1769" s="185"/>
      <c r="E1769" s="186"/>
      <c r="F1769" s="187"/>
    </row>
    <row r="1770" spans="1:6" x14ac:dyDescent="0.2">
      <c r="A1770" s="275"/>
      <c r="B1770" s="78"/>
      <c r="C1770" s="189"/>
      <c r="D1770" s="185"/>
      <c r="E1770" s="186"/>
      <c r="F1770" s="187"/>
    </row>
    <row r="1771" spans="1:6" x14ac:dyDescent="0.2">
      <c r="A1771" s="275"/>
      <c r="B1771" s="78"/>
      <c r="C1771" s="189"/>
      <c r="D1771" s="185"/>
      <c r="E1771" s="186"/>
      <c r="F1771" s="187"/>
    </row>
    <row r="1772" spans="1:6" x14ac:dyDescent="0.2">
      <c r="A1772" s="275"/>
      <c r="B1772" s="78"/>
      <c r="C1772" s="189"/>
      <c r="D1772" s="185"/>
      <c r="E1772" s="186"/>
      <c r="F1772" s="187"/>
    </row>
    <row r="1773" spans="1:6" x14ac:dyDescent="0.2">
      <c r="A1773" s="275"/>
      <c r="B1773" s="78"/>
      <c r="C1773" s="189"/>
      <c r="D1773" s="185"/>
      <c r="E1773" s="186"/>
      <c r="F1773" s="187"/>
    </row>
    <row r="1774" spans="1:6" x14ac:dyDescent="0.2">
      <c r="A1774" s="275"/>
      <c r="B1774" s="78"/>
      <c r="C1774" s="189"/>
      <c r="D1774" s="185"/>
      <c r="E1774" s="186"/>
      <c r="F1774" s="187"/>
    </row>
    <row r="1775" spans="1:6" x14ac:dyDescent="0.2">
      <c r="A1775" s="275"/>
      <c r="B1775" s="78"/>
      <c r="C1775" s="189"/>
      <c r="D1775" s="185"/>
      <c r="E1775" s="186"/>
      <c r="F1775" s="187"/>
    </row>
    <row r="1776" spans="1:6" x14ac:dyDescent="0.2">
      <c r="A1776" s="275"/>
      <c r="B1776" s="78"/>
      <c r="C1776" s="189"/>
      <c r="D1776" s="185"/>
      <c r="E1776" s="186"/>
      <c r="F1776" s="187"/>
    </row>
    <row r="1777" spans="1:6" x14ac:dyDescent="0.2">
      <c r="A1777" s="275"/>
      <c r="B1777" s="78"/>
      <c r="C1777" s="189"/>
      <c r="D1777" s="185"/>
      <c r="E1777" s="186"/>
      <c r="F1777" s="187"/>
    </row>
    <row r="1778" spans="1:6" x14ac:dyDescent="0.2">
      <c r="A1778" s="275"/>
      <c r="B1778" s="78"/>
      <c r="C1778" s="189"/>
      <c r="D1778" s="185"/>
      <c r="E1778" s="186"/>
      <c r="F1778" s="187"/>
    </row>
    <row r="1779" spans="1:6" x14ac:dyDescent="0.2">
      <c r="A1779" s="275"/>
      <c r="B1779" s="78"/>
      <c r="C1779" s="189"/>
      <c r="D1779" s="185"/>
      <c r="E1779" s="186"/>
      <c r="F1779" s="187"/>
    </row>
    <row r="1780" spans="1:6" x14ac:dyDescent="0.2">
      <c r="A1780" s="275"/>
      <c r="B1780" s="78"/>
      <c r="C1780" s="189"/>
      <c r="D1780" s="185"/>
      <c r="E1780" s="186"/>
      <c r="F1780" s="187"/>
    </row>
    <row r="1781" spans="1:6" x14ac:dyDescent="0.2">
      <c r="A1781" s="275"/>
      <c r="B1781" s="78"/>
      <c r="C1781" s="189"/>
      <c r="D1781" s="185"/>
      <c r="E1781" s="186"/>
      <c r="F1781" s="187"/>
    </row>
    <row r="1782" spans="1:6" x14ac:dyDescent="0.2">
      <c r="A1782" s="275"/>
      <c r="B1782" s="78"/>
      <c r="C1782" s="189"/>
      <c r="D1782" s="185"/>
      <c r="E1782" s="186"/>
      <c r="F1782" s="187"/>
    </row>
    <row r="1783" spans="1:6" x14ac:dyDescent="0.2">
      <c r="A1783" s="275"/>
      <c r="B1783" s="78"/>
      <c r="C1783" s="189"/>
      <c r="D1783" s="185"/>
      <c r="E1783" s="186"/>
      <c r="F1783" s="187"/>
    </row>
    <row r="1784" spans="1:6" x14ac:dyDescent="0.2">
      <c r="A1784" s="275"/>
      <c r="B1784" s="78"/>
      <c r="C1784" s="189"/>
      <c r="D1784" s="185"/>
      <c r="E1784" s="186"/>
      <c r="F1784" s="187"/>
    </row>
    <row r="1785" spans="1:6" x14ac:dyDescent="0.2">
      <c r="A1785" s="275"/>
      <c r="B1785" s="78"/>
      <c r="C1785" s="189"/>
      <c r="D1785" s="185"/>
      <c r="E1785" s="186"/>
      <c r="F1785" s="187"/>
    </row>
    <row r="1786" spans="1:6" x14ac:dyDescent="0.2">
      <c r="A1786" s="275"/>
      <c r="B1786" s="78"/>
      <c r="C1786" s="189"/>
      <c r="D1786" s="185"/>
      <c r="E1786" s="186"/>
      <c r="F1786" s="187"/>
    </row>
    <row r="1787" spans="1:6" x14ac:dyDescent="0.2">
      <c r="A1787" s="275"/>
      <c r="B1787" s="78"/>
      <c r="C1787" s="189"/>
      <c r="D1787" s="185"/>
      <c r="E1787" s="186"/>
      <c r="F1787" s="187"/>
    </row>
    <row r="1788" spans="1:6" x14ac:dyDescent="0.2">
      <c r="A1788" s="275"/>
      <c r="B1788" s="78"/>
      <c r="C1788" s="189"/>
      <c r="D1788" s="185"/>
      <c r="E1788" s="186"/>
      <c r="F1788" s="187"/>
    </row>
    <row r="1789" spans="1:6" x14ac:dyDescent="0.2">
      <c r="A1789" s="275"/>
      <c r="B1789" s="78"/>
      <c r="C1789" s="189"/>
      <c r="D1789" s="185"/>
      <c r="E1789" s="186"/>
      <c r="F1789" s="187"/>
    </row>
    <row r="1790" spans="1:6" x14ac:dyDescent="0.2">
      <c r="A1790" s="275"/>
      <c r="B1790" s="78"/>
      <c r="C1790" s="189"/>
      <c r="D1790" s="185"/>
      <c r="E1790" s="186"/>
      <c r="F1790" s="187"/>
    </row>
    <row r="1791" spans="1:6" x14ac:dyDescent="0.2">
      <c r="A1791" s="275"/>
      <c r="B1791" s="78"/>
      <c r="C1791" s="189"/>
      <c r="D1791" s="185"/>
      <c r="E1791" s="186"/>
      <c r="F1791" s="187"/>
    </row>
    <row r="1792" spans="1:6" x14ac:dyDescent="0.2">
      <c r="A1792" s="275"/>
      <c r="B1792" s="78"/>
      <c r="C1792" s="189"/>
      <c r="D1792" s="185"/>
      <c r="E1792" s="186"/>
      <c r="F1792" s="187"/>
    </row>
    <row r="1793" spans="1:6" x14ac:dyDescent="0.2">
      <c r="A1793" s="275"/>
      <c r="B1793" s="78"/>
      <c r="C1793" s="189"/>
      <c r="D1793" s="185"/>
      <c r="E1793" s="186"/>
      <c r="F1793" s="187"/>
    </row>
    <row r="1794" spans="1:6" x14ac:dyDescent="0.2">
      <c r="A1794" s="275"/>
      <c r="B1794" s="78"/>
      <c r="C1794" s="189"/>
      <c r="D1794" s="185"/>
      <c r="E1794" s="186"/>
      <c r="F1794" s="187"/>
    </row>
    <row r="1795" spans="1:6" x14ac:dyDescent="0.2">
      <c r="A1795" s="275"/>
      <c r="B1795" s="78"/>
      <c r="C1795" s="189"/>
      <c r="D1795" s="185"/>
      <c r="E1795" s="186"/>
      <c r="F1795" s="187"/>
    </row>
    <row r="1796" spans="1:6" x14ac:dyDescent="0.2">
      <c r="A1796" s="275"/>
      <c r="B1796" s="78"/>
      <c r="C1796" s="189"/>
      <c r="D1796" s="185"/>
      <c r="E1796" s="186"/>
      <c r="F1796" s="187"/>
    </row>
    <row r="1797" spans="1:6" x14ac:dyDescent="0.2">
      <c r="A1797" s="275"/>
      <c r="B1797" s="78"/>
      <c r="C1797" s="189"/>
      <c r="D1797" s="185"/>
      <c r="E1797" s="186"/>
      <c r="F1797" s="187"/>
    </row>
    <row r="1798" spans="1:6" x14ac:dyDescent="0.2">
      <c r="A1798" s="275"/>
      <c r="B1798" s="78"/>
      <c r="C1798" s="189"/>
      <c r="D1798" s="185"/>
      <c r="E1798" s="186"/>
      <c r="F1798" s="187"/>
    </row>
    <row r="1799" spans="1:6" x14ac:dyDescent="0.2">
      <c r="A1799" s="275"/>
      <c r="B1799" s="78"/>
      <c r="C1799" s="189"/>
      <c r="D1799" s="185"/>
      <c r="E1799" s="186"/>
      <c r="F1799" s="187"/>
    </row>
    <row r="1800" spans="1:6" x14ac:dyDescent="0.2">
      <c r="A1800" s="275"/>
      <c r="B1800" s="78"/>
      <c r="C1800" s="189"/>
      <c r="D1800" s="185"/>
      <c r="E1800" s="186"/>
      <c r="F1800" s="187"/>
    </row>
    <row r="1801" spans="1:6" x14ac:dyDescent="0.2">
      <c r="A1801" s="275"/>
      <c r="B1801" s="78"/>
      <c r="C1801" s="189"/>
      <c r="D1801" s="185"/>
      <c r="E1801" s="186"/>
      <c r="F1801" s="187"/>
    </row>
    <row r="1802" spans="1:6" x14ac:dyDescent="0.2">
      <c r="A1802" s="275"/>
      <c r="B1802" s="78"/>
      <c r="C1802" s="189"/>
      <c r="D1802" s="185"/>
      <c r="E1802" s="186"/>
      <c r="F1802" s="187"/>
    </row>
    <row r="1803" spans="1:6" x14ac:dyDescent="0.2">
      <c r="A1803" s="275"/>
      <c r="B1803" s="78"/>
      <c r="C1803" s="189"/>
      <c r="D1803" s="185"/>
      <c r="E1803" s="186"/>
      <c r="F1803" s="187"/>
    </row>
    <row r="1804" spans="1:6" x14ac:dyDescent="0.2">
      <c r="A1804" s="275"/>
      <c r="B1804" s="78"/>
      <c r="C1804" s="189"/>
      <c r="D1804" s="185"/>
      <c r="E1804" s="186"/>
      <c r="F1804" s="187"/>
    </row>
    <row r="1805" spans="1:6" x14ac:dyDescent="0.2">
      <c r="A1805" s="275"/>
      <c r="B1805" s="78"/>
      <c r="C1805" s="189"/>
      <c r="D1805" s="185"/>
      <c r="E1805" s="186"/>
      <c r="F1805" s="187"/>
    </row>
    <row r="1806" spans="1:6" x14ac:dyDescent="0.2">
      <c r="A1806" s="275"/>
      <c r="B1806" s="78"/>
      <c r="C1806" s="189"/>
      <c r="D1806" s="185"/>
      <c r="E1806" s="186"/>
      <c r="F1806" s="187"/>
    </row>
    <row r="1807" spans="1:6" x14ac:dyDescent="0.2">
      <c r="A1807" s="275"/>
      <c r="B1807" s="78"/>
      <c r="C1807" s="189"/>
      <c r="D1807" s="185"/>
      <c r="E1807" s="186"/>
      <c r="F1807" s="187"/>
    </row>
    <row r="1808" spans="1:6" x14ac:dyDescent="0.2">
      <c r="A1808" s="275"/>
      <c r="B1808" s="78"/>
      <c r="C1808" s="189"/>
      <c r="D1808" s="185"/>
      <c r="E1808" s="186"/>
      <c r="F1808" s="187"/>
    </row>
    <row r="1809" spans="1:6" x14ac:dyDescent="0.2">
      <c r="A1809" s="275"/>
      <c r="B1809" s="78"/>
      <c r="C1809" s="189"/>
      <c r="D1809" s="185"/>
      <c r="E1809" s="186"/>
      <c r="F1809" s="187"/>
    </row>
    <row r="1810" spans="1:6" x14ac:dyDescent="0.2">
      <c r="A1810" s="275"/>
      <c r="B1810" s="78"/>
      <c r="C1810" s="189"/>
      <c r="D1810" s="185"/>
      <c r="E1810" s="186"/>
      <c r="F1810" s="187"/>
    </row>
    <row r="1811" spans="1:6" x14ac:dyDescent="0.2">
      <c r="A1811" s="275"/>
      <c r="B1811" s="78"/>
      <c r="C1811" s="189"/>
      <c r="D1811" s="185"/>
      <c r="E1811" s="186"/>
      <c r="F1811" s="187"/>
    </row>
    <row r="1812" spans="1:6" x14ac:dyDescent="0.2">
      <c r="A1812" s="275"/>
      <c r="B1812" s="78"/>
      <c r="C1812" s="189"/>
      <c r="D1812" s="185"/>
      <c r="E1812" s="186"/>
      <c r="F1812" s="187"/>
    </row>
    <row r="1813" spans="1:6" x14ac:dyDescent="0.2">
      <c r="A1813" s="275"/>
      <c r="B1813" s="78"/>
      <c r="C1813" s="189"/>
      <c r="D1813" s="185"/>
      <c r="E1813" s="186"/>
      <c r="F1813" s="187"/>
    </row>
    <row r="1814" spans="1:6" x14ac:dyDescent="0.2">
      <c r="A1814" s="275"/>
      <c r="B1814" s="78"/>
      <c r="C1814" s="189"/>
      <c r="D1814" s="185"/>
      <c r="E1814" s="186"/>
      <c r="F1814" s="187"/>
    </row>
    <row r="1815" spans="1:6" x14ac:dyDescent="0.2">
      <c r="A1815" s="275"/>
      <c r="B1815" s="78"/>
      <c r="C1815" s="189"/>
      <c r="D1815" s="185"/>
      <c r="E1815" s="186"/>
      <c r="F1815" s="187"/>
    </row>
    <row r="1816" spans="1:6" x14ac:dyDescent="0.2">
      <c r="A1816" s="275"/>
      <c r="B1816" s="78"/>
      <c r="C1816" s="189"/>
      <c r="D1816" s="185"/>
      <c r="E1816" s="186"/>
      <c r="F1816" s="187"/>
    </row>
    <row r="1817" spans="1:6" x14ac:dyDescent="0.2">
      <c r="A1817" s="275"/>
      <c r="B1817" s="78"/>
      <c r="C1817" s="189"/>
      <c r="D1817" s="185"/>
      <c r="E1817" s="186"/>
      <c r="F1817" s="187"/>
    </row>
    <row r="1818" spans="1:6" x14ac:dyDescent="0.2">
      <c r="A1818" s="275"/>
      <c r="B1818" s="78"/>
      <c r="C1818" s="189"/>
      <c r="D1818" s="185"/>
      <c r="E1818" s="186"/>
      <c r="F1818" s="187"/>
    </row>
    <row r="1819" spans="1:6" x14ac:dyDescent="0.2">
      <c r="A1819" s="275"/>
      <c r="B1819" s="78"/>
      <c r="C1819" s="189"/>
      <c r="D1819" s="185"/>
      <c r="E1819" s="186"/>
      <c r="F1819" s="187"/>
    </row>
    <row r="1820" spans="1:6" x14ac:dyDescent="0.2">
      <c r="A1820" s="275"/>
      <c r="B1820" s="78"/>
      <c r="C1820" s="189"/>
      <c r="D1820" s="185"/>
      <c r="E1820" s="186"/>
      <c r="F1820" s="187"/>
    </row>
    <row r="1821" spans="1:6" x14ac:dyDescent="0.2">
      <c r="A1821" s="275"/>
      <c r="B1821" s="78"/>
      <c r="C1821" s="189"/>
      <c r="D1821" s="185"/>
      <c r="E1821" s="186"/>
      <c r="F1821" s="187"/>
    </row>
    <row r="1822" spans="1:6" x14ac:dyDescent="0.2">
      <c r="A1822" s="275"/>
      <c r="B1822" s="78"/>
      <c r="C1822" s="189"/>
      <c r="D1822" s="185"/>
      <c r="E1822" s="186"/>
      <c r="F1822" s="187"/>
    </row>
    <row r="1823" spans="1:6" x14ac:dyDescent="0.2">
      <c r="A1823" s="275"/>
      <c r="B1823" s="78"/>
      <c r="C1823" s="189"/>
      <c r="D1823" s="185"/>
      <c r="E1823" s="186"/>
      <c r="F1823" s="187"/>
    </row>
    <row r="1824" spans="1:6" x14ac:dyDescent="0.2">
      <c r="A1824" s="275"/>
      <c r="B1824" s="78"/>
      <c r="C1824" s="189"/>
      <c r="D1824" s="185"/>
      <c r="E1824" s="186"/>
      <c r="F1824" s="187"/>
    </row>
    <row r="1825" spans="1:6" x14ac:dyDescent="0.2">
      <c r="A1825" s="275"/>
      <c r="B1825" s="78"/>
      <c r="C1825" s="189"/>
      <c r="D1825" s="185"/>
      <c r="E1825" s="186"/>
      <c r="F1825" s="187"/>
    </row>
    <row r="1826" spans="1:6" x14ac:dyDescent="0.2">
      <c r="A1826" s="275"/>
      <c r="B1826" s="78"/>
      <c r="C1826" s="189"/>
      <c r="D1826" s="185"/>
      <c r="E1826" s="186"/>
      <c r="F1826" s="187"/>
    </row>
    <row r="1827" spans="1:6" x14ac:dyDescent="0.2">
      <c r="A1827" s="275"/>
      <c r="B1827" s="78"/>
      <c r="C1827" s="189"/>
      <c r="D1827" s="185"/>
      <c r="E1827" s="186"/>
      <c r="F1827" s="187"/>
    </row>
    <row r="1828" spans="1:6" x14ac:dyDescent="0.2">
      <c r="A1828" s="275"/>
      <c r="B1828" s="78"/>
      <c r="C1828" s="189"/>
      <c r="D1828" s="185"/>
      <c r="E1828" s="186"/>
      <c r="F1828" s="187"/>
    </row>
    <row r="1829" spans="1:6" x14ac:dyDescent="0.2">
      <c r="A1829" s="275"/>
      <c r="B1829" s="78"/>
      <c r="C1829" s="189"/>
      <c r="D1829" s="185"/>
      <c r="E1829" s="186"/>
      <c r="F1829" s="187"/>
    </row>
    <row r="1830" spans="1:6" x14ac:dyDescent="0.2">
      <c r="A1830" s="275"/>
      <c r="B1830" s="78"/>
      <c r="C1830" s="189"/>
      <c r="D1830" s="185"/>
      <c r="E1830" s="186"/>
      <c r="F1830" s="187"/>
    </row>
    <row r="1831" spans="1:6" x14ac:dyDescent="0.2">
      <c r="A1831" s="275"/>
      <c r="B1831" s="78"/>
      <c r="C1831" s="189"/>
      <c r="D1831" s="185"/>
      <c r="E1831" s="186"/>
      <c r="F1831" s="187"/>
    </row>
    <row r="1832" spans="1:6" x14ac:dyDescent="0.2">
      <c r="A1832" s="275"/>
      <c r="B1832" s="78"/>
      <c r="C1832" s="189"/>
      <c r="D1832" s="185"/>
      <c r="E1832" s="186"/>
      <c r="F1832" s="187"/>
    </row>
    <row r="1833" spans="1:6" x14ac:dyDescent="0.2">
      <c r="A1833" s="275"/>
      <c r="B1833" s="78"/>
      <c r="C1833" s="189"/>
      <c r="D1833" s="185"/>
      <c r="E1833" s="186"/>
      <c r="F1833" s="187"/>
    </row>
    <row r="1834" spans="1:6" x14ac:dyDescent="0.2">
      <c r="A1834" s="275"/>
      <c r="B1834" s="78"/>
      <c r="C1834" s="189"/>
      <c r="D1834" s="185"/>
      <c r="E1834" s="186"/>
      <c r="F1834" s="187"/>
    </row>
    <row r="1835" spans="1:6" x14ac:dyDescent="0.2">
      <c r="A1835" s="275"/>
      <c r="B1835" s="78"/>
      <c r="C1835" s="189"/>
      <c r="D1835" s="185"/>
      <c r="E1835" s="186"/>
      <c r="F1835" s="187"/>
    </row>
    <row r="1836" spans="1:6" x14ac:dyDescent="0.2">
      <c r="A1836" s="275"/>
      <c r="B1836" s="78"/>
      <c r="C1836" s="189"/>
      <c r="D1836" s="185"/>
      <c r="E1836" s="186"/>
      <c r="F1836" s="187"/>
    </row>
    <row r="1837" spans="1:6" x14ac:dyDescent="0.2">
      <c r="A1837" s="275"/>
      <c r="B1837" s="78"/>
      <c r="C1837" s="189"/>
      <c r="D1837" s="185"/>
      <c r="E1837" s="186"/>
      <c r="F1837" s="187"/>
    </row>
    <row r="1838" spans="1:6" x14ac:dyDescent="0.2">
      <c r="A1838" s="275"/>
      <c r="B1838" s="78"/>
      <c r="C1838" s="189"/>
      <c r="D1838" s="185"/>
      <c r="E1838" s="186"/>
      <c r="F1838" s="187"/>
    </row>
    <row r="1839" spans="1:6" x14ac:dyDescent="0.2">
      <c r="A1839" s="275"/>
      <c r="B1839" s="78"/>
      <c r="C1839" s="189"/>
      <c r="D1839" s="185"/>
      <c r="E1839" s="186"/>
      <c r="F1839" s="187"/>
    </row>
    <row r="1840" spans="1:6" x14ac:dyDescent="0.2">
      <c r="A1840" s="275"/>
      <c r="B1840" s="78"/>
      <c r="C1840" s="189"/>
      <c r="D1840" s="185"/>
      <c r="E1840" s="186"/>
      <c r="F1840" s="187"/>
    </row>
    <row r="1841" spans="1:6" x14ac:dyDescent="0.2">
      <c r="A1841" s="275"/>
      <c r="B1841" s="78"/>
      <c r="C1841" s="189"/>
      <c r="D1841" s="185"/>
      <c r="E1841" s="186"/>
      <c r="F1841" s="187"/>
    </row>
    <row r="1842" spans="1:6" x14ac:dyDescent="0.2">
      <c r="A1842" s="275"/>
      <c r="B1842" s="78"/>
      <c r="C1842" s="189"/>
      <c r="D1842" s="185"/>
      <c r="E1842" s="186"/>
      <c r="F1842" s="187"/>
    </row>
    <row r="1843" spans="1:6" x14ac:dyDescent="0.2">
      <c r="A1843" s="275"/>
      <c r="B1843" s="78"/>
      <c r="C1843" s="189"/>
      <c r="D1843" s="185"/>
      <c r="E1843" s="186"/>
      <c r="F1843" s="187"/>
    </row>
    <row r="1844" spans="1:6" x14ac:dyDescent="0.2">
      <c r="A1844" s="275"/>
      <c r="B1844" s="78"/>
      <c r="C1844" s="189"/>
      <c r="D1844" s="185"/>
      <c r="E1844" s="186"/>
      <c r="F1844" s="187"/>
    </row>
    <row r="1845" spans="1:6" x14ac:dyDescent="0.2">
      <c r="A1845" s="275"/>
      <c r="B1845" s="78"/>
      <c r="C1845" s="189"/>
      <c r="D1845" s="185"/>
      <c r="E1845" s="186"/>
      <c r="F1845" s="187"/>
    </row>
    <row r="1846" spans="1:6" x14ac:dyDescent="0.2">
      <c r="A1846" s="275"/>
      <c r="B1846" s="78"/>
      <c r="C1846" s="189"/>
      <c r="D1846" s="185"/>
      <c r="E1846" s="186"/>
      <c r="F1846" s="187"/>
    </row>
    <row r="1847" spans="1:6" x14ac:dyDescent="0.2">
      <c r="A1847" s="275"/>
      <c r="B1847" s="78"/>
      <c r="C1847" s="189"/>
      <c r="D1847" s="185"/>
      <c r="E1847" s="186"/>
      <c r="F1847" s="187"/>
    </row>
    <row r="1848" spans="1:6" x14ac:dyDescent="0.2">
      <c r="A1848" s="275"/>
      <c r="B1848" s="78"/>
      <c r="C1848" s="189"/>
      <c r="D1848" s="185"/>
      <c r="E1848" s="186"/>
      <c r="F1848" s="187"/>
    </row>
    <row r="1849" spans="1:6" x14ac:dyDescent="0.2">
      <c r="A1849" s="275"/>
      <c r="B1849" s="78"/>
      <c r="C1849" s="189"/>
      <c r="D1849" s="185"/>
      <c r="E1849" s="186"/>
      <c r="F1849" s="187"/>
    </row>
    <row r="1850" spans="1:6" x14ac:dyDescent="0.2">
      <c r="A1850" s="275"/>
      <c r="B1850" s="78"/>
      <c r="C1850" s="189"/>
      <c r="D1850" s="185"/>
      <c r="E1850" s="186"/>
      <c r="F1850" s="187"/>
    </row>
    <row r="1851" spans="1:6" x14ac:dyDescent="0.2">
      <c r="A1851" s="275"/>
      <c r="B1851" s="78"/>
      <c r="C1851" s="189"/>
      <c r="D1851" s="185"/>
      <c r="E1851" s="186"/>
      <c r="F1851" s="187"/>
    </row>
  </sheetData>
  <sheetProtection algorithmName="SHA-512" hashValue="B1mwNNKWhys+1aob/Y/8YEu8QLHLfhm/+c9h5pvmL5d2hvkNf9CnTP1lav6q8isLs2LckKALLYX8BuPTFnuZtQ==" saltValue="CwkaraalLS99H5qKkKwtCg==" spinCount="100000" sheet="1" objects="1" scenarios="1"/>
  <mergeCells count="2">
    <mergeCell ref="B1:F1"/>
    <mergeCell ref="C27:E27"/>
  </mergeCells>
  <dataValidations count="1">
    <dataValidation type="custom" showErrorMessage="1" errorTitle="Nepravilen vnos cene" error="Cena mora biti nenegativno število z največ dvema decimalkama!" sqref="E8:E12 E14:E15 E17:E26">
      <formula1>AND(ISNUMBER(E8),E8&gt;=0,ROUND(E8*100,6)-INT(E8*100)=0,NOT(ISBLANK(E8)))</formula1>
    </dataValidation>
  </dataValidations>
  <printOptions horizontalCentered="1"/>
  <pageMargins left="0.78740157480314965" right="0.39370078740157483" top="0.39370078740157483" bottom="0.98425196850393704" header="0.19685039370078741" footer="0.19685039370078741"/>
  <pageSetup paperSize="9" scale="89" fitToHeight="0" orientation="landscape" r:id="rId1"/>
  <headerFooter>
    <oddHeader>&amp;LRTP 110/20 kV Izola&amp;R&amp;G</oddHeader>
    <oddFooter>&amp;LDZR: Ponudbeni predračun
Datoteka: 4407.6G01.PP.rev1.xlsx&amp;R Stran: &amp;P od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G1849"/>
  <sheetViews>
    <sheetView view="pageBreakPreview" topLeftCell="A19" zoomScaleNormal="100" zoomScaleSheetLayoutView="100" workbookViewId="0">
      <selection activeCell="F9" sqref="F9:F24"/>
    </sheetView>
  </sheetViews>
  <sheetFormatPr defaultColWidth="6.7109375" defaultRowHeight="12.75" x14ac:dyDescent="0.2"/>
  <cols>
    <col min="1" max="1" width="7.85546875" style="190" customWidth="1"/>
    <col min="2" max="2" width="99.140625" style="179" customWidth="1"/>
    <col min="3" max="3" width="9" style="191" customWidth="1"/>
    <col min="4" max="4" width="11.42578125" style="192" customWidth="1"/>
    <col min="5" max="5" width="12.7109375" style="193" customWidth="1"/>
    <col min="6" max="6" width="13.5703125" style="194" customWidth="1"/>
    <col min="7" max="16384" width="6.7109375" style="78"/>
  </cols>
  <sheetData>
    <row r="1" spans="1:6" ht="15.95" customHeight="1" thickBot="1" x14ac:dyDescent="0.3">
      <c r="A1" s="7"/>
      <c r="B1" s="329"/>
      <c r="C1" s="329"/>
      <c r="D1" s="329"/>
      <c r="E1" s="329"/>
      <c r="F1" s="329"/>
    </row>
    <row r="2" spans="1:6" ht="32.450000000000003" customHeight="1" x14ac:dyDescent="0.2">
      <c r="A2" s="1" t="s">
        <v>1</v>
      </c>
      <c r="B2" s="2" t="s">
        <v>1741</v>
      </c>
      <c r="C2" s="3" t="s">
        <v>1742</v>
      </c>
      <c r="D2" s="4" t="s">
        <v>1743</v>
      </c>
      <c r="E2" s="5" t="s">
        <v>1744</v>
      </c>
      <c r="F2" s="6" t="s">
        <v>1745</v>
      </c>
    </row>
    <row r="3" spans="1:6" ht="15" x14ac:dyDescent="0.2">
      <c r="A3" s="36" t="s">
        <v>2144</v>
      </c>
      <c r="B3" s="30" t="s">
        <v>2145</v>
      </c>
      <c r="C3" s="23"/>
      <c r="D3" s="24"/>
      <c r="E3" s="25"/>
      <c r="F3" s="26"/>
    </row>
    <row r="4" spans="1:6" ht="42.75" x14ac:dyDescent="0.2">
      <c r="A4" s="36"/>
      <c r="B4" s="17" t="s">
        <v>1747</v>
      </c>
      <c r="C4" s="23"/>
      <c r="D4" s="24"/>
      <c r="E4" s="25"/>
      <c r="F4" s="26"/>
    </row>
    <row r="5" spans="1:6" ht="57" x14ac:dyDescent="0.2">
      <c r="A5" s="21"/>
      <c r="B5" s="17" t="str">
        <f>'2.2'!B5</f>
        <v xml:space="preserve">Vsi odpadki, ki bodo nastali pri izvedbi, bodo naloženi na prevozno sredstvo in odpeljani na stalno gradbeno deponijo nenevarnih odpadkov uradnega zbiralca odpadkov. Upoštevati vsa potrebna dela in stroške v zvezi z deponiranjem. Vsi odpadki, ki bodo ponovno uporabljeni pri izvedbi, bodo naloženi na prevozno sredstvo in pripeljani na gradbišče. </v>
      </c>
      <c r="C5" s="23"/>
      <c r="D5" s="24"/>
      <c r="E5" s="25"/>
      <c r="F5" s="26"/>
    </row>
    <row r="6" spans="1:6" ht="15" x14ac:dyDescent="0.2">
      <c r="A6" s="21"/>
      <c r="B6" s="17"/>
      <c r="C6" s="23"/>
      <c r="D6" s="24"/>
      <c r="E6" s="25"/>
      <c r="F6" s="26"/>
    </row>
    <row r="7" spans="1:6" ht="15" x14ac:dyDescent="0.2">
      <c r="A7" s="21"/>
      <c r="B7" s="17" t="s">
        <v>2146</v>
      </c>
      <c r="C7" s="23"/>
      <c r="D7" s="24"/>
      <c r="E7" s="25"/>
      <c r="F7" s="26"/>
    </row>
    <row r="8" spans="1:6" ht="70.5" customHeight="1" x14ac:dyDescent="0.2">
      <c r="A8" s="29" t="s">
        <v>2147</v>
      </c>
      <c r="B8" s="17" t="s">
        <v>2148</v>
      </c>
      <c r="C8" s="15"/>
      <c r="D8" s="16"/>
      <c r="E8" s="25"/>
      <c r="F8" s="26"/>
    </row>
    <row r="9" spans="1:6" ht="42.75" x14ac:dyDescent="0.2">
      <c r="A9" s="29" t="s">
        <v>2149</v>
      </c>
      <c r="B9" s="17" t="s">
        <v>2119</v>
      </c>
      <c r="C9" s="15" t="s">
        <v>1780</v>
      </c>
      <c r="D9" s="16">
        <f>1*(30+4)*1.2</f>
        <v>40.799999999999997</v>
      </c>
      <c r="E9" s="31">
        <v>0</v>
      </c>
      <c r="F9" s="28">
        <f>ROUND(D9*E9,2)</f>
        <v>0</v>
      </c>
    </row>
    <row r="10" spans="1:6" ht="57" x14ac:dyDescent="0.2">
      <c r="A10" s="29" t="s">
        <v>2150</v>
      </c>
      <c r="B10" s="17" t="s">
        <v>1987</v>
      </c>
      <c r="C10" s="15" t="s">
        <v>1780</v>
      </c>
      <c r="D10" s="16">
        <f>34*4*1.2</f>
        <v>163.19999999999999</v>
      </c>
      <c r="E10" s="31">
        <v>0</v>
      </c>
      <c r="F10" s="28">
        <f>ROUND(D10*E10,2)</f>
        <v>0</v>
      </c>
    </row>
    <row r="11" spans="1:6" ht="99.75" x14ac:dyDescent="0.2">
      <c r="A11" s="29" t="s">
        <v>2151</v>
      </c>
      <c r="B11" s="17" t="s">
        <v>2122</v>
      </c>
      <c r="C11" s="15"/>
      <c r="D11" s="16"/>
      <c r="E11" s="25"/>
      <c r="F11" s="26"/>
    </row>
    <row r="12" spans="1:6" ht="42.75" x14ac:dyDescent="0.2">
      <c r="A12" s="29" t="s">
        <v>1761</v>
      </c>
      <c r="B12" s="17" t="s">
        <v>2152</v>
      </c>
      <c r="C12" s="15" t="s">
        <v>1756</v>
      </c>
      <c r="D12" s="16">
        <f>35*1*1*0.6*1.2+4.8</f>
        <v>30</v>
      </c>
      <c r="E12" s="31">
        <v>0</v>
      </c>
      <c r="F12" s="28">
        <f>ROUND(D12*E12,2)</f>
        <v>0</v>
      </c>
    </row>
    <row r="13" spans="1:6" ht="28.5" x14ac:dyDescent="0.2">
      <c r="A13" s="29" t="s">
        <v>1774</v>
      </c>
      <c r="B13" s="17" t="s">
        <v>2124</v>
      </c>
      <c r="C13" s="15" t="s">
        <v>1756</v>
      </c>
      <c r="D13" s="16">
        <f>35*1*1*0.1*1.2+3.8</f>
        <v>8</v>
      </c>
      <c r="E13" s="31">
        <v>0</v>
      </c>
      <c r="F13" s="28">
        <f>ROUND(D13*E13,2)</f>
        <v>0</v>
      </c>
    </row>
    <row r="14" spans="1:6" ht="85.5" x14ac:dyDescent="0.2">
      <c r="A14" s="29" t="s">
        <v>2153</v>
      </c>
      <c r="B14" s="17" t="s">
        <v>2154</v>
      </c>
      <c r="C14" s="15" t="s">
        <v>1756</v>
      </c>
      <c r="D14" s="16">
        <f>35*1*1*2.5+2.5</f>
        <v>90</v>
      </c>
      <c r="E14" s="31">
        <v>0</v>
      </c>
      <c r="F14" s="28">
        <f>ROUND(D14*E14,2)</f>
        <v>0</v>
      </c>
    </row>
    <row r="15" spans="1:6" ht="15" x14ac:dyDescent="0.2">
      <c r="A15" s="29" t="s">
        <v>2155</v>
      </c>
      <c r="B15" s="17" t="s">
        <v>2126</v>
      </c>
      <c r="C15" s="15"/>
      <c r="D15" s="16"/>
      <c r="E15" s="25"/>
      <c r="F15" s="26"/>
    </row>
    <row r="16" spans="1:6" ht="14.25" x14ac:dyDescent="0.2">
      <c r="A16" s="29" t="s">
        <v>1761</v>
      </c>
      <c r="B16" s="17" t="s">
        <v>2127</v>
      </c>
      <c r="C16" s="15" t="s">
        <v>1756</v>
      </c>
      <c r="D16" s="16">
        <f>35*0.6*0.6*0.1*2+2.48</f>
        <v>5</v>
      </c>
      <c r="E16" s="31">
        <v>0</v>
      </c>
      <c r="F16" s="28">
        <f t="shared" ref="F16:F24" si="0">ROUND(D16*E16,2)</f>
        <v>0</v>
      </c>
    </row>
    <row r="17" spans="1:7" ht="28.5" x14ac:dyDescent="0.2">
      <c r="A17" s="29" t="s">
        <v>1774</v>
      </c>
      <c r="B17" s="17" t="s">
        <v>2156</v>
      </c>
      <c r="C17" s="15" t="s">
        <v>1826</v>
      </c>
      <c r="D17" s="16">
        <v>35</v>
      </c>
      <c r="E17" s="31">
        <v>0</v>
      </c>
      <c r="F17" s="28">
        <f t="shared" si="0"/>
        <v>0</v>
      </c>
    </row>
    <row r="18" spans="1:7" ht="42.75" x14ac:dyDescent="0.2">
      <c r="A18" s="29" t="s">
        <v>1873</v>
      </c>
      <c r="B18" s="17" t="s">
        <v>2157</v>
      </c>
      <c r="C18" s="15" t="s">
        <v>1826</v>
      </c>
      <c r="D18" s="16">
        <v>1</v>
      </c>
      <c r="E18" s="31">
        <v>0</v>
      </c>
      <c r="F18" s="28">
        <f t="shared" si="0"/>
        <v>0</v>
      </c>
    </row>
    <row r="19" spans="1:7" ht="42.75" x14ac:dyDescent="0.2">
      <c r="A19" s="29" t="s">
        <v>1875</v>
      </c>
      <c r="B19" s="17" t="s">
        <v>2158</v>
      </c>
      <c r="C19" s="15" t="s">
        <v>1826</v>
      </c>
      <c r="D19" s="16">
        <v>3</v>
      </c>
      <c r="E19" s="31">
        <v>0</v>
      </c>
      <c r="F19" s="28">
        <f t="shared" si="0"/>
        <v>0</v>
      </c>
    </row>
    <row r="20" spans="1:7" ht="85.5" x14ac:dyDescent="0.2">
      <c r="A20" s="29" t="s">
        <v>2159</v>
      </c>
      <c r="B20" s="17" t="s">
        <v>2160</v>
      </c>
      <c r="C20" s="15" t="s">
        <v>1800</v>
      </c>
      <c r="D20" s="16">
        <f>60*1.2</f>
        <v>72</v>
      </c>
      <c r="E20" s="31">
        <v>0</v>
      </c>
      <c r="F20" s="28">
        <f t="shared" si="0"/>
        <v>0</v>
      </c>
    </row>
    <row r="21" spans="1:7" ht="28.5" x14ac:dyDescent="0.2">
      <c r="A21" s="29" t="s">
        <v>2161</v>
      </c>
      <c r="B21" s="17" t="s">
        <v>2162</v>
      </c>
      <c r="C21" s="15" t="s">
        <v>1800</v>
      </c>
      <c r="D21" s="16">
        <f>D20</f>
        <v>72</v>
      </c>
      <c r="E21" s="31">
        <v>0</v>
      </c>
      <c r="F21" s="28">
        <f t="shared" si="0"/>
        <v>0</v>
      </c>
    </row>
    <row r="22" spans="1:7" ht="85.5" x14ac:dyDescent="0.2">
      <c r="A22" s="29" t="s">
        <v>2163</v>
      </c>
      <c r="B22" s="17" t="s">
        <v>2164</v>
      </c>
      <c r="C22" s="15" t="s">
        <v>1826</v>
      </c>
      <c r="D22" s="16">
        <v>1</v>
      </c>
      <c r="E22" s="31">
        <v>0</v>
      </c>
      <c r="F22" s="28">
        <f t="shared" si="0"/>
        <v>0</v>
      </c>
    </row>
    <row r="23" spans="1:7" ht="99.75" x14ac:dyDescent="0.2">
      <c r="A23" s="29" t="s">
        <v>2165</v>
      </c>
      <c r="B23" s="17" t="s">
        <v>2166</v>
      </c>
      <c r="C23" s="15" t="s">
        <v>1826</v>
      </c>
      <c r="D23" s="16">
        <v>1</v>
      </c>
      <c r="E23" s="31">
        <v>0</v>
      </c>
      <c r="F23" s="28">
        <f t="shared" si="0"/>
        <v>0</v>
      </c>
    </row>
    <row r="24" spans="1:7" ht="86.25" thickBot="1" x14ac:dyDescent="0.25">
      <c r="A24" s="29" t="s">
        <v>2167</v>
      </c>
      <c r="B24" s="17" t="s">
        <v>2168</v>
      </c>
      <c r="C24" s="15" t="s">
        <v>1826</v>
      </c>
      <c r="D24" s="16">
        <v>1</v>
      </c>
      <c r="E24" s="31">
        <v>0</v>
      </c>
      <c r="F24" s="28">
        <f t="shared" si="0"/>
        <v>0</v>
      </c>
    </row>
    <row r="25" spans="1:7" ht="18.75" customHeight="1" thickBot="1" x14ac:dyDescent="0.3">
      <c r="A25" s="264"/>
      <c r="B25" s="269"/>
      <c r="C25" s="333" t="s">
        <v>1903</v>
      </c>
      <c r="D25" s="334"/>
      <c r="E25" s="335"/>
      <c r="F25" s="18">
        <f>SUM(F9:F24)</f>
        <v>0</v>
      </c>
      <c r="G25" s="8"/>
    </row>
    <row r="26" spans="1:7" ht="18" x14ac:dyDescent="0.25">
      <c r="A26" s="182"/>
      <c r="B26" s="183"/>
      <c r="C26" s="184"/>
      <c r="D26" s="185"/>
      <c r="E26" s="186"/>
      <c r="F26" s="187"/>
      <c r="G26" s="8"/>
    </row>
    <row r="27" spans="1:7" ht="18" x14ac:dyDescent="0.25">
      <c r="A27" s="182"/>
      <c r="B27" s="183"/>
      <c r="C27" s="184"/>
      <c r="D27" s="185"/>
      <c r="E27" s="186"/>
      <c r="F27" s="187"/>
      <c r="G27" s="8"/>
    </row>
    <row r="28" spans="1:7" ht="18" x14ac:dyDescent="0.25">
      <c r="A28" s="182"/>
      <c r="B28" s="183"/>
      <c r="C28" s="184"/>
      <c r="D28" s="185"/>
      <c r="E28" s="186"/>
      <c r="F28" s="187"/>
      <c r="G28" s="8"/>
    </row>
    <row r="29" spans="1:7" x14ac:dyDescent="0.2">
      <c r="A29" s="275"/>
      <c r="B29" s="78"/>
      <c r="C29" s="189"/>
      <c r="D29" s="185"/>
      <c r="E29" s="186"/>
      <c r="F29" s="187"/>
    </row>
    <row r="30" spans="1:7" x14ac:dyDescent="0.2">
      <c r="A30" s="275"/>
      <c r="B30" s="78"/>
      <c r="C30" s="189"/>
      <c r="D30" s="185"/>
      <c r="E30" s="186"/>
      <c r="F30" s="187"/>
    </row>
    <row r="31" spans="1:7" x14ac:dyDescent="0.2">
      <c r="A31" s="275"/>
      <c r="B31" s="78"/>
      <c r="C31" s="189"/>
      <c r="D31" s="185"/>
      <c r="E31" s="186"/>
      <c r="F31" s="187"/>
    </row>
    <row r="32" spans="1:7" x14ac:dyDescent="0.2">
      <c r="A32" s="275"/>
      <c r="B32" s="78"/>
      <c r="C32" s="189"/>
      <c r="D32" s="185"/>
      <c r="E32" s="186"/>
      <c r="F32" s="187"/>
    </row>
    <row r="33" spans="1:6" x14ac:dyDescent="0.2">
      <c r="A33" s="275"/>
      <c r="B33" s="78"/>
      <c r="C33" s="189"/>
      <c r="D33" s="185"/>
      <c r="E33" s="186"/>
      <c r="F33" s="187"/>
    </row>
    <row r="34" spans="1:6" x14ac:dyDescent="0.2">
      <c r="A34" s="275"/>
      <c r="B34" s="78"/>
      <c r="C34" s="189"/>
      <c r="D34" s="185"/>
      <c r="E34" s="186"/>
      <c r="F34" s="187"/>
    </row>
    <row r="35" spans="1:6" x14ac:dyDescent="0.2">
      <c r="A35" s="275"/>
      <c r="B35" s="78"/>
      <c r="C35" s="189"/>
      <c r="D35" s="185"/>
      <c r="E35" s="186"/>
      <c r="F35" s="187"/>
    </row>
    <row r="36" spans="1:6" x14ac:dyDescent="0.2">
      <c r="A36" s="275"/>
      <c r="B36" s="78"/>
      <c r="C36" s="189"/>
      <c r="D36" s="185"/>
      <c r="E36" s="186"/>
      <c r="F36" s="187"/>
    </row>
    <row r="37" spans="1:6" x14ac:dyDescent="0.2">
      <c r="A37" s="275"/>
      <c r="B37" s="78"/>
      <c r="C37" s="189"/>
      <c r="D37" s="185"/>
      <c r="E37" s="186"/>
      <c r="F37" s="187"/>
    </row>
    <row r="38" spans="1:6" x14ac:dyDescent="0.2">
      <c r="A38" s="275"/>
      <c r="B38" s="78"/>
      <c r="C38" s="189"/>
      <c r="D38" s="185"/>
      <c r="E38" s="186"/>
      <c r="F38" s="187"/>
    </row>
    <row r="39" spans="1:6" x14ac:dyDescent="0.2">
      <c r="A39" s="275"/>
      <c r="B39" s="78"/>
      <c r="C39" s="189"/>
      <c r="D39" s="185"/>
      <c r="E39" s="186"/>
      <c r="F39" s="187"/>
    </row>
    <row r="40" spans="1:6" x14ac:dyDescent="0.2">
      <c r="A40" s="275"/>
      <c r="B40" s="78"/>
      <c r="C40" s="189"/>
      <c r="D40" s="185"/>
      <c r="E40" s="186"/>
      <c r="F40" s="187"/>
    </row>
    <row r="41" spans="1:6" x14ac:dyDescent="0.2">
      <c r="A41" s="275"/>
      <c r="B41" s="78"/>
      <c r="C41" s="189"/>
      <c r="D41" s="185"/>
      <c r="E41" s="186"/>
      <c r="F41" s="187"/>
    </row>
    <row r="42" spans="1:6" x14ac:dyDescent="0.2">
      <c r="A42" s="275"/>
      <c r="B42" s="78"/>
      <c r="C42" s="189"/>
      <c r="D42" s="185"/>
      <c r="E42" s="186"/>
      <c r="F42" s="187"/>
    </row>
    <row r="43" spans="1:6" x14ac:dyDescent="0.2">
      <c r="A43" s="275"/>
      <c r="B43" s="78"/>
      <c r="C43" s="189"/>
      <c r="D43" s="185"/>
      <c r="E43" s="186"/>
      <c r="F43" s="187"/>
    </row>
    <row r="44" spans="1:6" x14ac:dyDescent="0.2">
      <c r="A44" s="275"/>
      <c r="B44" s="78"/>
      <c r="C44" s="189"/>
      <c r="D44" s="185"/>
      <c r="E44" s="186"/>
      <c r="F44" s="187"/>
    </row>
    <row r="45" spans="1:6" x14ac:dyDescent="0.2">
      <c r="A45" s="275"/>
      <c r="B45" s="78"/>
      <c r="C45" s="189"/>
      <c r="D45" s="185"/>
      <c r="E45" s="186"/>
      <c r="F45" s="187"/>
    </row>
    <row r="46" spans="1:6" x14ac:dyDescent="0.2">
      <c r="A46" s="275"/>
      <c r="B46" s="78"/>
      <c r="C46" s="189"/>
      <c r="D46" s="185"/>
      <c r="E46" s="186"/>
      <c r="F46" s="187"/>
    </row>
    <row r="47" spans="1:6" x14ac:dyDescent="0.2">
      <c r="A47" s="275"/>
      <c r="B47" s="78"/>
      <c r="C47" s="189"/>
      <c r="D47" s="185"/>
      <c r="E47" s="186"/>
      <c r="F47" s="187"/>
    </row>
    <row r="48" spans="1:6" x14ac:dyDescent="0.2">
      <c r="A48" s="275"/>
      <c r="B48" s="78"/>
      <c r="C48" s="189"/>
      <c r="D48" s="185"/>
      <c r="E48" s="186"/>
      <c r="F48" s="187"/>
    </row>
    <row r="49" spans="1:6" x14ac:dyDescent="0.2">
      <c r="A49" s="275"/>
      <c r="B49" s="78"/>
      <c r="C49" s="189"/>
      <c r="D49" s="185"/>
      <c r="E49" s="186"/>
      <c r="F49" s="187"/>
    </row>
    <row r="50" spans="1:6" x14ac:dyDescent="0.2">
      <c r="A50" s="275"/>
      <c r="B50" s="78"/>
      <c r="C50" s="189"/>
      <c r="D50" s="185"/>
      <c r="E50" s="186"/>
      <c r="F50" s="187"/>
    </row>
    <row r="51" spans="1:6" x14ac:dyDescent="0.2">
      <c r="A51" s="275"/>
      <c r="B51" s="78"/>
      <c r="C51" s="189"/>
      <c r="D51" s="185"/>
      <c r="E51" s="186"/>
      <c r="F51" s="187"/>
    </row>
    <row r="52" spans="1:6" x14ac:dyDescent="0.2">
      <c r="A52" s="275"/>
      <c r="B52" s="78"/>
      <c r="C52" s="189"/>
      <c r="D52" s="185"/>
      <c r="E52" s="186"/>
      <c r="F52" s="187"/>
    </row>
    <row r="53" spans="1:6" x14ac:dyDescent="0.2">
      <c r="A53" s="275"/>
      <c r="B53" s="78"/>
      <c r="C53" s="189"/>
      <c r="D53" s="185"/>
      <c r="E53" s="186"/>
      <c r="F53" s="187"/>
    </row>
    <row r="54" spans="1:6" x14ac:dyDescent="0.2">
      <c r="A54" s="275"/>
      <c r="B54" s="78"/>
      <c r="C54" s="189"/>
      <c r="D54" s="185"/>
      <c r="E54" s="186"/>
      <c r="F54" s="187"/>
    </row>
    <row r="55" spans="1:6" x14ac:dyDescent="0.2">
      <c r="A55" s="275"/>
      <c r="B55" s="78"/>
      <c r="C55" s="189"/>
      <c r="D55" s="185"/>
      <c r="E55" s="186"/>
      <c r="F55" s="187"/>
    </row>
    <row r="56" spans="1:6" x14ac:dyDescent="0.2">
      <c r="A56" s="275"/>
      <c r="B56" s="78"/>
      <c r="C56" s="189"/>
      <c r="D56" s="185"/>
      <c r="E56" s="186"/>
      <c r="F56" s="187"/>
    </row>
    <row r="57" spans="1:6" x14ac:dyDescent="0.2">
      <c r="A57" s="275"/>
      <c r="B57" s="78"/>
      <c r="C57" s="189"/>
      <c r="D57" s="185"/>
      <c r="E57" s="186"/>
      <c r="F57" s="187"/>
    </row>
    <row r="58" spans="1:6" x14ac:dyDescent="0.2">
      <c r="A58" s="275"/>
      <c r="B58" s="78"/>
      <c r="C58" s="189"/>
      <c r="D58" s="185"/>
      <c r="E58" s="186"/>
      <c r="F58" s="187"/>
    </row>
    <row r="59" spans="1:6" x14ac:dyDescent="0.2">
      <c r="A59" s="275"/>
      <c r="B59" s="78"/>
      <c r="C59" s="189"/>
      <c r="D59" s="185"/>
      <c r="E59" s="186"/>
      <c r="F59" s="187"/>
    </row>
    <row r="60" spans="1:6" x14ac:dyDescent="0.2">
      <c r="A60" s="275"/>
      <c r="B60" s="78"/>
      <c r="C60" s="189"/>
      <c r="D60" s="185"/>
      <c r="E60" s="186"/>
      <c r="F60" s="187"/>
    </row>
    <row r="61" spans="1:6" x14ac:dyDescent="0.2">
      <c r="A61" s="275"/>
      <c r="B61" s="78"/>
      <c r="C61" s="189"/>
      <c r="D61" s="185"/>
      <c r="E61" s="186"/>
      <c r="F61" s="187"/>
    </row>
    <row r="62" spans="1:6" x14ac:dyDescent="0.2">
      <c r="A62" s="275"/>
      <c r="B62" s="78"/>
      <c r="C62" s="189"/>
      <c r="D62" s="185"/>
      <c r="E62" s="186"/>
      <c r="F62" s="187"/>
    </row>
    <row r="63" spans="1:6" x14ac:dyDescent="0.2">
      <c r="A63" s="275"/>
      <c r="B63" s="78"/>
      <c r="C63" s="189"/>
      <c r="D63" s="185"/>
      <c r="E63" s="186"/>
      <c r="F63" s="187"/>
    </row>
    <row r="64" spans="1:6" x14ac:dyDescent="0.2">
      <c r="A64" s="275"/>
      <c r="B64" s="78"/>
      <c r="C64" s="189"/>
      <c r="D64" s="185"/>
      <c r="E64" s="186"/>
      <c r="F64" s="187"/>
    </row>
    <row r="65" spans="1:6" x14ac:dyDescent="0.2">
      <c r="A65" s="275"/>
      <c r="B65" s="78"/>
      <c r="C65" s="189"/>
      <c r="D65" s="185"/>
      <c r="E65" s="186"/>
      <c r="F65" s="187"/>
    </row>
    <row r="66" spans="1:6" x14ac:dyDescent="0.2">
      <c r="A66" s="275"/>
      <c r="B66" s="78"/>
      <c r="C66" s="189"/>
      <c r="D66" s="185"/>
      <c r="E66" s="186"/>
      <c r="F66" s="187"/>
    </row>
    <row r="67" spans="1:6" x14ac:dyDescent="0.2">
      <c r="A67" s="275"/>
      <c r="B67" s="78"/>
      <c r="C67" s="189"/>
      <c r="D67" s="185"/>
      <c r="E67" s="186"/>
      <c r="F67" s="187"/>
    </row>
    <row r="68" spans="1:6" x14ac:dyDescent="0.2">
      <c r="A68" s="275"/>
      <c r="B68" s="78"/>
      <c r="C68" s="189"/>
      <c r="D68" s="185"/>
      <c r="E68" s="186"/>
      <c r="F68" s="187"/>
    </row>
    <row r="69" spans="1:6" x14ac:dyDescent="0.2">
      <c r="A69" s="275"/>
      <c r="B69" s="78"/>
      <c r="C69" s="189"/>
      <c r="D69" s="185"/>
      <c r="E69" s="186"/>
      <c r="F69" s="187"/>
    </row>
    <row r="70" spans="1:6" x14ac:dyDescent="0.2">
      <c r="A70" s="275"/>
      <c r="B70" s="78"/>
      <c r="C70" s="189"/>
      <c r="D70" s="185"/>
      <c r="E70" s="186"/>
      <c r="F70" s="187"/>
    </row>
    <row r="71" spans="1:6" x14ac:dyDescent="0.2">
      <c r="A71" s="275"/>
      <c r="B71" s="78"/>
      <c r="C71" s="189"/>
      <c r="D71" s="185"/>
      <c r="E71" s="186"/>
      <c r="F71" s="187"/>
    </row>
    <row r="72" spans="1:6" x14ac:dyDescent="0.2">
      <c r="A72" s="275"/>
      <c r="B72" s="78"/>
      <c r="C72" s="189"/>
      <c r="D72" s="185"/>
      <c r="E72" s="186"/>
      <c r="F72" s="187"/>
    </row>
    <row r="73" spans="1:6" x14ac:dyDescent="0.2">
      <c r="A73" s="275"/>
      <c r="B73" s="78"/>
      <c r="C73" s="189"/>
      <c r="D73" s="185"/>
      <c r="E73" s="186"/>
      <c r="F73" s="187"/>
    </row>
    <row r="74" spans="1:6" x14ac:dyDescent="0.2">
      <c r="A74" s="275"/>
      <c r="B74" s="78"/>
      <c r="C74" s="189"/>
      <c r="D74" s="185"/>
      <c r="E74" s="186"/>
      <c r="F74" s="187"/>
    </row>
    <row r="75" spans="1:6" x14ac:dyDescent="0.2">
      <c r="A75" s="275"/>
      <c r="B75" s="78"/>
      <c r="C75" s="189"/>
      <c r="D75" s="185"/>
      <c r="E75" s="186"/>
      <c r="F75" s="187"/>
    </row>
    <row r="76" spans="1:6" x14ac:dyDescent="0.2">
      <c r="A76" s="275"/>
      <c r="B76" s="78"/>
      <c r="C76" s="189"/>
      <c r="D76" s="185"/>
      <c r="E76" s="186"/>
      <c r="F76" s="187"/>
    </row>
    <row r="77" spans="1:6" x14ac:dyDescent="0.2">
      <c r="A77" s="275"/>
      <c r="B77" s="78"/>
      <c r="C77" s="189"/>
      <c r="D77" s="185"/>
      <c r="E77" s="186"/>
      <c r="F77" s="187"/>
    </row>
    <row r="78" spans="1:6" x14ac:dyDescent="0.2">
      <c r="A78" s="275"/>
      <c r="B78" s="78"/>
      <c r="C78" s="189"/>
      <c r="D78" s="185"/>
      <c r="E78" s="186"/>
      <c r="F78" s="187"/>
    </row>
    <row r="79" spans="1:6" x14ac:dyDescent="0.2">
      <c r="A79" s="275"/>
      <c r="B79" s="78"/>
      <c r="C79" s="189"/>
      <c r="D79" s="185"/>
      <c r="E79" s="186"/>
      <c r="F79" s="187"/>
    </row>
    <row r="80" spans="1:6" x14ac:dyDescent="0.2">
      <c r="A80" s="275"/>
      <c r="B80" s="78"/>
      <c r="C80" s="189"/>
      <c r="D80" s="185"/>
      <c r="E80" s="186"/>
      <c r="F80" s="187"/>
    </row>
    <row r="81" spans="1:6" x14ac:dyDescent="0.2">
      <c r="A81" s="275"/>
      <c r="B81" s="78"/>
      <c r="C81" s="189"/>
      <c r="D81" s="185"/>
      <c r="E81" s="186"/>
      <c r="F81" s="187"/>
    </row>
    <row r="82" spans="1:6" x14ac:dyDescent="0.2">
      <c r="A82" s="275"/>
      <c r="B82" s="78"/>
      <c r="C82" s="189"/>
      <c r="D82" s="185"/>
      <c r="E82" s="186"/>
      <c r="F82" s="187"/>
    </row>
    <row r="83" spans="1:6" x14ac:dyDescent="0.2">
      <c r="A83" s="275"/>
      <c r="B83" s="78"/>
      <c r="C83" s="189"/>
      <c r="D83" s="185"/>
      <c r="E83" s="186"/>
      <c r="F83" s="187"/>
    </row>
    <row r="84" spans="1:6" x14ac:dyDescent="0.2">
      <c r="A84" s="275"/>
      <c r="B84" s="78"/>
      <c r="C84" s="189"/>
      <c r="D84" s="185"/>
      <c r="E84" s="186"/>
      <c r="F84" s="187"/>
    </row>
    <row r="85" spans="1:6" x14ac:dyDescent="0.2">
      <c r="A85" s="275"/>
      <c r="B85" s="78"/>
      <c r="C85" s="189"/>
      <c r="D85" s="185"/>
      <c r="E85" s="186"/>
      <c r="F85" s="187"/>
    </row>
    <row r="86" spans="1:6" x14ac:dyDescent="0.2">
      <c r="A86" s="275"/>
      <c r="B86" s="78"/>
      <c r="C86" s="189"/>
      <c r="D86" s="185"/>
      <c r="E86" s="186"/>
      <c r="F86" s="187"/>
    </row>
    <row r="87" spans="1:6" x14ac:dyDescent="0.2">
      <c r="A87" s="275"/>
      <c r="B87" s="78"/>
      <c r="C87" s="189"/>
      <c r="D87" s="185"/>
      <c r="E87" s="186"/>
      <c r="F87" s="187"/>
    </row>
    <row r="88" spans="1:6" x14ac:dyDescent="0.2">
      <c r="A88" s="275"/>
      <c r="B88" s="78"/>
      <c r="C88" s="189"/>
      <c r="D88" s="185"/>
      <c r="E88" s="186"/>
      <c r="F88" s="187"/>
    </row>
    <row r="89" spans="1:6" x14ac:dyDescent="0.2">
      <c r="A89" s="275"/>
      <c r="B89" s="78"/>
      <c r="C89" s="189"/>
      <c r="D89" s="185"/>
      <c r="E89" s="186"/>
      <c r="F89" s="187"/>
    </row>
    <row r="90" spans="1:6" x14ac:dyDescent="0.2">
      <c r="A90" s="275"/>
      <c r="B90" s="78"/>
      <c r="C90" s="189"/>
      <c r="D90" s="185"/>
      <c r="E90" s="186"/>
      <c r="F90" s="187"/>
    </row>
    <row r="91" spans="1:6" x14ac:dyDescent="0.2">
      <c r="A91" s="275"/>
      <c r="B91" s="78"/>
      <c r="C91" s="189"/>
      <c r="D91" s="185"/>
      <c r="E91" s="186"/>
      <c r="F91" s="187"/>
    </row>
    <row r="92" spans="1:6" x14ac:dyDescent="0.2">
      <c r="A92" s="275"/>
      <c r="B92" s="78"/>
      <c r="C92" s="189"/>
      <c r="D92" s="185"/>
      <c r="E92" s="186"/>
      <c r="F92" s="187"/>
    </row>
    <row r="93" spans="1:6" x14ac:dyDescent="0.2">
      <c r="A93" s="275"/>
      <c r="B93" s="78"/>
      <c r="C93" s="189"/>
      <c r="D93" s="185"/>
      <c r="E93" s="186"/>
      <c r="F93" s="187"/>
    </row>
    <row r="94" spans="1:6" x14ac:dyDescent="0.2">
      <c r="A94" s="275"/>
      <c r="B94" s="78"/>
      <c r="C94" s="189"/>
      <c r="D94" s="185"/>
      <c r="E94" s="186"/>
      <c r="F94" s="187"/>
    </row>
    <row r="95" spans="1:6" x14ac:dyDescent="0.2">
      <c r="A95" s="275"/>
      <c r="B95" s="78"/>
      <c r="C95" s="189"/>
      <c r="D95" s="185"/>
      <c r="E95" s="186"/>
      <c r="F95" s="187"/>
    </row>
    <row r="96" spans="1:6" x14ac:dyDescent="0.2">
      <c r="A96" s="275"/>
      <c r="B96" s="78"/>
      <c r="C96" s="189"/>
      <c r="D96" s="185"/>
      <c r="E96" s="186"/>
      <c r="F96" s="187"/>
    </row>
    <row r="97" spans="1:6" x14ac:dyDescent="0.2">
      <c r="A97" s="275"/>
      <c r="B97" s="78"/>
      <c r="C97" s="189"/>
      <c r="D97" s="185"/>
      <c r="E97" s="186"/>
      <c r="F97" s="187"/>
    </row>
    <row r="98" spans="1:6" x14ac:dyDescent="0.2">
      <c r="A98" s="275"/>
      <c r="B98" s="78"/>
      <c r="C98" s="189"/>
      <c r="D98" s="185"/>
      <c r="E98" s="186"/>
      <c r="F98" s="187"/>
    </row>
    <row r="99" spans="1:6" x14ac:dyDescent="0.2">
      <c r="A99" s="275"/>
      <c r="B99" s="78"/>
      <c r="C99" s="189"/>
      <c r="D99" s="185"/>
      <c r="E99" s="186"/>
      <c r="F99" s="187"/>
    </row>
    <row r="100" spans="1:6" x14ac:dyDescent="0.2">
      <c r="A100" s="275"/>
      <c r="B100" s="78"/>
      <c r="C100" s="189"/>
      <c r="D100" s="185"/>
      <c r="E100" s="186"/>
      <c r="F100" s="187"/>
    </row>
    <row r="101" spans="1:6" x14ac:dyDescent="0.2">
      <c r="A101" s="275"/>
      <c r="B101" s="78"/>
      <c r="C101" s="189"/>
      <c r="D101" s="185"/>
      <c r="E101" s="186"/>
      <c r="F101" s="187"/>
    </row>
    <row r="102" spans="1:6" x14ac:dyDescent="0.2">
      <c r="A102" s="275"/>
      <c r="B102" s="78"/>
      <c r="C102" s="189"/>
      <c r="D102" s="185"/>
      <c r="E102" s="186"/>
      <c r="F102" s="187"/>
    </row>
    <row r="103" spans="1:6" x14ac:dyDescent="0.2">
      <c r="A103" s="275"/>
      <c r="B103" s="78"/>
      <c r="C103" s="189"/>
      <c r="D103" s="185"/>
      <c r="E103" s="186"/>
      <c r="F103" s="187"/>
    </row>
    <row r="104" spans="1:6" x14ac:dyDescent="0.2">
      <c r="A104" s="275"/>
      <c r="B104" s="78"/>
      <c r="C104" s="189"/>
      <c r="D104" s="185"/>
      <c r="E104" s="186"/>
      <c r="F104" s="187"/>
    </row>
    <row r="105" spans="1:6" x14ac:dyDescent="0.2">
      <c r="A105" s="275"/>
      <c r="B105" s="78"/>
      <c r="C105" s="189"/>
      <c r="D105" s="185"/>
      <c r="E105" s="186"/>
      <c r="F105" s="187"/>
    </row>
    <row r="106" spans="1:6" x14ac:dyDescent="0.2">
      <c r="A106" s="275"/>
      <c r="B106" s="78"/>
      <c r="C106" s="189"/>
      <c r="D106" s="185"/>
      <c r="E106" s="186"/>
      <c r="F106" s="187"/>
    </row>
    <row r="107" spans="1:6" x14ac:dyDescent="0.2">
      <c r="A107" s="275"/>
      <c r="B107" s="78"/>
      <c r="C107" s="189"/>
      <c r="D107" s="185"/>
      <c r="E107" s="186"/>
      <c r="F107" s="187"/>
    </row>
    <row r="108" spans="1:6" x14ac:dyDescent="0.2">
      <c r="A108" s="275"/>
      <c r="B108" s="78"/>
      <c r="C108" s="189"/>
      <c r="D108" s="185"/>
      <c r="E108" s="186"/>
      <c r="F108" s="187"/>
    </row>
    <row r="109" spans="1:6" x14ac:dyDescent="0.2">
      <c r="A109" s="275"/>
      <c r="B109" s="78"/>
      <c r="C109" s="189"/>
      <c r="D109" s="185"/>
      <c r="E109" s="186"/>
      <c r="F109" s="187"/>
    </row>
    <row r="110" spans="1:6" x14ac:dyDescent="0.2">
      <c r="A110" s="275"/>
      <c r="B110" s="78"/>
      <c r="C110" s="189"/>
      <c r="D110" s="185"/>
      <c r="E110" s="186"/>
      <c r="F110" s="187"/>
    </row>
    <row r="111" spans="1:6" x14ac:dyDescent="0.2">
      <c r="A111" s="275"/>
      <c r="B111" s="78"/>
      <c r="C111" s="189"/>
      <c r="D111" s="185"/>
      <c r="E111" s="186"/>
      <c r="F111" s="187"/>
    </row>
    <row r="112" spans="1:6" x14ac:dyDescent="0.2">
      <c r="A112" s="275"/>
      <c r="B112" s="78"/>
      <c r="C112" s="189"/>
      <c r="D112" s="185"/>
      <c r="E112" s="186"/>
      <c r="F112" s="187"/>
    </row>
    <row r="113" spans="1:6" x14ac:dyDescent="0.2">
      <c r="A113" s="275"/>
      <c r="B113" s="78"/>
      <c r="C113" s="189"/>
      <c r="D113" s="185"/>
      <c r="E113" s="186"/>
      <c r="F113" s="187"/>
    </row>
    <row r="114" spans="1:6" x14ac:dyDescent="0.2">
      <c r="A114" s="275"/>
      <c r="B114" s="78"/>
      <c r="C114" s="189"/>
      <c r="D114" s="185"/>
      <c r="E114" s="186"/>
      <c r="F114" s="187"/>
    </row>
    <row r="115" spans="1:6" x14ac:dyDescent="0.2">
      <c r="A115" s="275"/>
      <c r="B115" s="78"/>
      <c r="C115" s="189"/>
      <c r="D115" s="185"/>
      <c r="E115" s="186"/>
      <c r="F115" s="187"/>
    </row>
    <row r="116" spans="1:6" x14ac:dyDescent="0.2">
      <c r="A116" s="275"/>
      <c r="B116" s="78"/>
      <c r="C116" s="189"/>
      <c r="D116" s="185"/>
      <c r="E116" s="186"/>
      <c r="F116" s="187"/>
    </row>
    <row r="117" spans="1:6" x14ac:dyDescent="0.2">
      <c r="A117" s="275"/>
      <c r="B117" s="78"/>
      <c r="C117" s="189"/>
      <c r="D117" s="185"/>
      <c r="E117" s="186"/>
      <c r="F117" s="187"/>
    </row>
    <row r="118" spans="1:6" x14ac:dyDescent="0.2">
      <c r="A118" s="275"/>
      <c r="B118" s="78"/>
      <c r="C118" s="189"/>
      <c r="D118" s="185"/>
      <c r="E118" s="186"/>
      <c r="F118" s="187"/>
    </row>
    <row r="119" spans="1:6" x14ac:dyDescent="0.2">
      <c r="A119" s="275"/>
      <c r="B119" s="78"/>
      <c r="C119" s="189"/>
      <c r="D119" s="185"/>
      <c r="E119" s="186"/>
      <c r="F119" s="187"/>
    </row>
    <row r="120" spans="1:6" x14ac:dyDescent="0.2">
      <c r="A120" s="275"/>
      <c r="B120" s="78"/>
      <c r="C120" s="189"/>
      <c r="D120" s="185"/>
      <c r="E120" s="186"/>
      <c r="F120" s="187"/>
    </row>
    <row r="121" spans="1:6" x14ac:dyDescent="0.2">
      <c r="A121" s="275"/>
      <c r="B121" s="78"/>
      <c r="C121" s="189"/>
      <c r="D121" s="185"/>
      <c r="E121" s="186"/>
      <c r="F121" s="187"/>
    </row>
    <row r="122" spans="1:6" x14ac:dyDescent="0.2">
      <c r="A122" s="275"/>
      <c r="B122" s="78"/>
      <c r="C122" s="189"/>
      <c r="D122" s="185"/>
      <c r="E122" s="186"/>
      <c r="F122" s="187"/>
    </row>
    <row r="123" spans="1:6" x14ac:dyDescent="0.2">
      <c r="A123" s="275"/>
      <c r="B123" s="78"/>
      <c r="C123" s="189"/>
      <c r="D123" s="185"/>
      <c r="E123" s="186"/>
      <c r="F123" s="187"/>
    </row>
    <row r="124" spans="1:6" x14ac:dyDescent="0.2">
      <c r="A124" s="275"/>
      <c r="B124" s="78"/>
      <c r="C124" s="189"/>
      <c r="D124" s="185"/>
      <c r="E124" s="186"/>
      <c r="F124" s="187"/>
    </row>
    <row r="125" spans="1:6" x14ac:dyDescent="0.2">
      <c r="A125" s="275"/>
      <c r="B125" s="78"/>
      <c r="C125" s="189"/>
      <c r="D125" s="185"/>
      <c r="E125" s="186"/>
      <c r="F125" s="187"/>
    </row>
    <row r="126" spans="1:6" x14ac:dyDescent="0.2">
      <c r="A126" s="275"/>
      <c r="B126" s="78"/>
      <c r="C126" s="189"/>
      <c r="D126" s="185"/>
      <c r="E126" s="186"/>
      <c r="F126" s="187"/>
    </row>
    <row r="127" spans="1:6" x14ac:dyDescent="0.2">
      <c r="A127" s="275"/>
      <c r="B127" s="78"/>
      <c r="C127" s="189"/>
      <c r="D127" s="185"/>
      <c r="E127" s="186"/>
      <c r="F127" s="187"/>
    </row>
    <row r="128" spans="1:6" x14ac:dyDescent="0.2">
      <c r="A128" s="275"/>
      <c r="B128" s="78"/>
      <c r="C128" s="189"/>
      <c r="D128" s="185"/>
      <c r="E128" s="186"/>
      <c r="F128" s="187"/>
    </row>
    <row r="129" spans="1:6" x14ac:dyDescent="0.2">
      <c r="A129" s="275"/>
      <c r="B129" s="78"/>
      <c r="C129" s="189"/>
      <c r="D129" s="185"/>
      <c r="E129" s="186"/>
      <c r="F129" s="187"/>
    </row>
    <row r="130" spans="1:6" x14ac:dyDescent="0.2">
      <c r="A130" s="275"/>
      <c r="B130" s="78"/>
      <c r="C130" s="189"/>
      <c r="D130" s="185"/>
      <c r="E130" s="186"/>
      <c r="F130" s="187"/>
    </row>
    <row r="131" spans="1:6" x14ac:dyDescent="0.2">
      <c r="A131" s="275"/>
      <c r="B131" s="78"/>
      <c r="C131" s="189"/>
      <c r="D131" s="185"/>
      <c r="E131" s="186"/>
      <c r="F131" s="187"/>
    </row>
    <row r="132" spans="1:6" x14ac:dyDescent="0.2">
      <c r="A132" s="275"/>
      <c r="B132" s="78"/>
      <c r="C132" s="189"/>
      <c r="D132" s="185"/>
      <c r="E132" s="186"/>
      <c r="F132" s="187"/>
    </row>
    <row r="133" spans="1:6" x14ac:dyDescent="0.2">
      <c r="A133" s="275"/>
      <c r="B133" s="78"/>
      <c r="C133" s="189"/>
      <c r="D133" s="185"/>
      <c r="E133" s="186"/>
      <c r="F133" s="187"/>
    </row>
    <row r="134" spans="1:6" x14ac:dyDescent="0.2">
      <c r="A134" s="275"/>
      <c r="B134" s="78"/>
      <c r="C134" s="189"/>
      <c r="D134" s="185"/>
      <c r="E134" s="186"/>
      <c r="F134" s="187"/>
    </row>
    <row r="135" spans="1:6" x14ac:dyDescent="0.2">
      <c r="A135" s="275"/>
      <c r="B135" s="78"/>
      <c r="C135" s="189"/>
      <c r="D135" s="185"/>
      <c r="E135" s="186"/>
      <c r="F135" s="187"/>
    </row>
    <row r="136" spans="1:6" x14ac:dyDescent="0.2">
      <c r="A136" s="275"/>
      <c r="B136" s="78"/>
      <c r="C136" s="189"/>
      <c r="D136" s="185"/>
      <c r="E136" s="186"/>
      <c r="F136" s="187"/>
    </row>
    <row r="137" spans="1:6" x14ac:dyDescent="0.2">
      <c r="A137" s="275"/>
      <c r="B137" s="78"/>
      <c r="C137" s="189"/>
      <c r="D137" s="185"/>
      <c r="E137" s="186"/>
      <c r="F137" s="187"/>
    </row>
    <row r="138" spans="1:6" x14ac:dyDescent="0.2">
      <c r="A138" s="275"/>
      <c r="B138" s="78"/>
      <c r="C138" s="189"/>
      <c r="D138" s="185"/>
      <c r="E138" s="186"/>
      <c r="F138" s="187"/>
    </row>
    <row r="139" spans="1:6" x14ac:dyDescent="0.2">
      <c r="A139" s="275"/>
      <c r="B139" s="78"/>
      <c r="C139" s="189"/>
      <c r="D139" s="185"/>
      <c r="E139" s="186"/>
      <c r="F139" s="187"/>
    </row>
    <row r="140" spans="1:6" x14ac:dyDescent="0.2">
      <c r="A140" s="275"/>
      <c r="B140" s="78"/>
      <c r="C140" s="189"/>
      <c r="D140" s="185"/>
      <c r="E140" s="186"/>
      <c r="F140" s="187"/>
    </row>
    <row r="141" spans="1:6" x14ac:dyDescent="0.2">
      <c r="A141" s="275"/>
      <c r="B141" s="78"/>
      <c r="C141" s="189"/>
      <c r="D141" s="185"/>
      <c r="E141" s="186"/>
      <c r="F141" s="187"/>
    </row>
    <row r="142" spans="1:6" x14ac:dyDescent="0.2">
      <c r="A142" s="275"/>
      <c r="B142" s="78"/>
      <c r="C142" s="189"/>
      <c r="D142" s="185"/>
      <c r="E142" s="186"/>
      <c r="F142" s="187"/>
    </row>
    <row r="143" spans="1:6" x14ac:dyDescent="0.2">
      <c r="A143" s="275"/>
      <c r="B143" s="78"/>
      <c r="C143" s="189"/>
      <c r="D143" s="185"/>
      <c r="E143" s="186"/>
      <c r="F143" s="187"/>
    </row>
    <row r="144" spans="1:6" x14ac:dyDescent="0.2">
      <c r="A144" s="275"/>
      <c r="B144" s="78"/>
      <c r="C144" s="189"/>
      <c r="D144" s="185"/>
      <c r="E144" s="186"/>
      <c r="F144" s="187"/>
    </row>
    <row r="145" spans="1:6" x14ac:dyDescent="0.2">
      <c r="A145" s="275"/>
      <c r="B145" s="78"/>
      <c r="C145" s="189"/>
      <c r="D145" s="185"/>
      <c r="E145" s="186"/>
      <c r="F145" s="187"/>
    </row>
    <row r="146" spans="1:6" x14ac:dyDescent="0.2">
      <c r="A146" s="275"/>
      <c r="B146" s="78"/>
      <c r="C146" s="189"/>
      <c r="D146" s="185"/>
      <c r="E146" s="186"/>
      <c r="F146" s="187"/>
    </row>
    <row r="147" spans="1:6" x14ac:dyDescent="0.2">
      <c r="A147" s="275"/>
      <c r="B147" s="78"/>
      <c r="C147" s="189"/>
      <c r="D147" s="185"/>
      <c r="E147" s="186"/>
      <c r="F147" s="187"/>
    </row>
    <row r="148" spans="1:6" x14ac:dyDescent="0.2">
      <c r="A148" s="275"/>
      <c r="B148" s="78"/>
      <c r="C148" s="189"/>
      <c r="D148" s="185"/>
      <c r="E148" s="186"/>
      <c r="F148" s="187"/>
    </row>
    <row r="149" spans="1:6" x14ac:dyDescent="0.2">
      <c r="A149" s="275"/>
      <c r="B149" s="78"/>
      <c r="C149" s="189"/>
      <c r="D149" s="185"/>
      <c r="E149" s="186"/>
      <c r="F149" s="187"/>
    </row>
    <row r="150" spans="1:6" x14ac:dyDescent="0.2">
      <c r="A150" s="275"/>
      <c r="B150" s="78"/>
      <c r="C150" s="189"/>
      <c r="D150" s="185"/>
      <c r="E150" s="186"/>
      <c r="F150" s="187"/>
    </row>
    <row r="151" spans="1:6" x14ac:dyDescent="0.2">
      <c r="A151" s="275"/>
      <c r="B151" s="78"/>
      <c r="C151" s="189"/>
      <c r="D151" s="185"/>
      <c r="E151" s="186"/>
      <c r="F151" s="187"/>
    </row>
    <row r="152" spans="1:6" x14ac:dyDescent="0.2">
      <c r="A152" s="275"/>
      <c r="B152" s="78"/>
      <c r="C152" s="189"/>
      <c r="D152" s="185"/>
      <c r="E152" s="186"/>
      <c r="F152" s="187"/>
    </row>
    <row r="153" spans="1:6" x14ac:dyDescent="0.2">
      <c r="A153" s="275"/>
      <c r="B153" s="78"/>
      <c r="C153" s="189"/>
      <c r="D153" s="185"/>
      <c r="E153" s="186"/>
      <c r="F153" s="187"/>
    </row>
    <row r="154" spans="1:6" x14ac:dyDescent="0.2">
      <c r="A154" s="275"/>
      <c r="B154" s="78"/>
      <c r="C154" s="189"/>
      <c r="D154" s="185"/>
      <c r="E154" s="186"/>
      <c r="F154" s="187"/>
    </row>
    <row r="155" spans="1:6" x14ac:dyDescent="0.2">
      <c r="A155" s="275"/>
      <c r="B155" s="78"/>
      <c r="C155" s="189"/>
      <c r="D155" s="185"/>
      <c r="E155" s="186"/>
      <c r="F155" s="187"/>
    </row>
    <row r="156" spans="1:6" x14ac:dyDescent="0.2">
      <c r="A156" s="275"/>
      <c r="B156" s="78"/>
      <c r="C156" s="189"/>
      <c r="D156" s="185"/>
      <c r="E156" s="186"/>
      <c r="F156" s="187"/>
    </row>
    <row r="157" spans="1:6" x14ac:dyDescent="0.2">
      <c r="A157" s="275"/>
      <c r="B157" s="78"/>
      <c r="C157" s="189"/>
      <c r="D157" s="185"/>
      <c r="E157" s="186"/>
      <c r="F157" s="187"/>
    </row>
    <row r="158" spans="1:6" x14ac:dyDescent="0.2">
      <c r="A158" s="275"/>
      <c r="B158" s="78"/>
      <c r="C158" s="189"/>
      <c r="D158" s="185"/>
      <c r="E158" s="186"/>
      <c r="F158" s="187"/>
    </row>
    <row r="159" spans="1:6" x14ac:dyDescent="0.2">
      <c r="A159" s="275"/>
      <c r="B159" s="78"/>
      <c r="C159" s="189"/>
      <c r="D159" s="185"/>
      <c r="E159" s="186"/>
      <c r="F159" s="187"/>
    </row>
    <row r="160" spans="1:6" x14ac:dyDescent="0.2">
      <c r="A160" s="275"/>
      <c r="B160" s="78"/>
      <c r="C160" s="189"/>
      <c r="D160" s="185"/>
      <c r="E160" s="186"/>
      <c r="F160" s="187"/>
    </row>
    <row r="161" spans="1:6" x14ac:dyDescent="0.2">
      <c r="A161" s="275"/>
      <c r="B161" s="78"/>
      <c r="C161" s="189"/>
      <c r="D161" s="185"/>
      <c r="E161" s="186"/>
      <c r="F161" s="187"/>
    </row>
    <row r="162" spans="1:6" x14ac:dyDescent="0.2">
      <c r="A162" s="275"/>
      <c r="B162" s="78"/>
      <c r="C162" s="189"/>
      <c r="D162" s="185"/>
      <c r="E162" s="186"/>
      <c r="F162" s="187"/>
    </row>
    <row r="163" spans="1:6" x14ac:dyDescent="0.2">
      <c r="A163" s="275"/>
      <c r="B163" s="78"/>
      <c r="C163" s="189"/>
      <c r="D163" s="185"/>
      <c r="E163" s="186"/>
      <c r="F163" s="187"/>
    </row>
    <row r="164" spans="1:6" x14ac:dyDescent="0.2">
      <c r="A164" s="275"/>
      <c r="B164" s="78"/>
      <c r="C164" s="189"/>
      <c r="D164" s="185"/>
      <c r="E164" s="186"/>
      <c r="F164" s="187"/>
    </row>
    <row r="165" spans="1:6" x14ac:dyDescent="0.2">
      <c r="A165" s="275"/>
      <c r="B165" s="78"/>
      <c r="C165" s="189"/>
      <c r="D165" s="185"/>
      <c r="E165" s="186"/>
      <c r="F165" s="187"/>
    </row>
    <row r="166" spans="1:6" x14ac:dyDescent="0.2">
      <c r="A166" s="275"/>
      <c r="B166" s="78"/>
      <c r="C166" s="189"/>
      <c r="D166" s="185"/>
      <c r="E166" s="186"/>
      <c r="F166" s="187"/>
    </row>
    <row r="167" spans="1:6" x14ac:dyDescent="0.2">
      <c r="A167" s="275"/>
      <c r="B167" s="78"/>
      <c r="C167" s="189"/>
      <c r="D167" s="185"/>
      <c r="E167" s="186"/>
      <c r="F167" s="187"/>
    </row>
    <row r="168" spans="1:6" x14ac:dyDescent="0.2">
      <c r="A168" s="275"/>
      <c r="B168" s="78"/>
      <c r="C168" s="189"/>
      <c r="D168" s="185"/>
      <c r="E168" s="186"/>
      <c r="F168" s="187"/>
    </row>
    <row r="169" spans="1:6" x14ac:dyDescent="0.2">
      <c r="A169" s="275"/>
      <c r="B169" s="78"/>
      <c r="C169" s="189"/>
      <c r="D169" s="185"/>
      <c r="E169" s="186"/>
      <c r="F169" s="187"/>
    </row>
    <row r="170" spans="1:6" x14ac:dyDescent="0.2">
      <c r="A170" s="275"/>
      <c r="B170" s="78"/>
      <c r="C170" s="189"/>
      <c r="D170" s="185"/>
      <c r="E170" s="186"/>
      <c r="F170" s="187"/>
    </row>
    <row r="171" spans="1:6" x14ac:dyDescent="0.2">
      <c r="A171" s="275"/>
      <c r="B171" s="78"/>
      <c r="C171" s="189"/>
      <c r="D171" s="185"/>
      <c r="E171" s="186"/>
      <c r="F171" s="187"/>
    </row>
    <row r="172" spans="1:6" x14ac:dyDescent="0.2">
      <c r="A172" s="275"/>
      <c r="B172" s="78"/>
      <c r="C172" s="189"/>
      <c r="D172" s="185"/>
      <c r="E172" s="186"/>
      <c r="F172" s="187"/>
    </row>
    <row r="173" spans="1:6" x14ac:dyDescent="0.2">
      <c r="A173" s="275"/>
      <c r="B173" s="78"/>
      <c r="C173" s="189"/>
      <c r="D173" s="185"/>
      <c r="E173" s="186"/>
      <c r="F173" s="187"/>
    </row>
    <row r="174" spans="1:6" x14ac:dyDescent="0.2">
      <c r="A174" s="275"/>
      <c r="B174" s="78"/>
      <c r="C174" s="189"/>
      <c r="D174" s="185"/>
      <c r="E174" s="186"/>
      <c r="F174" s="187"/>
    </row>
    <row r="175" spans="1:6" x14ac:dyDescent="0.2">
      <c r="A175" s="275"/>
      <c r="B175" s="78"/>
      <c r="C175" s="189"/>
      <c r="D175" s="185"/>
      <c r="E175" s="186"/>
      <c r="F175" s="187"/>
    </row>
    <row r="176" spans="1:6" x14ac:dyDescent="0.2">
      <c r="A176" s="275"/>
      <c r="B176" s="78"/>
      <c r="C176" s="189"/>
      <c r="D176" s="185"/>
      <c r="E176" s="186"/>
      <c r="F176" s="187"/>
    </row>
    <row r="177" spans="1:6" x14ac:dyDescent="0.2">
      <c r="A177" s="275"/>
      <c r="B177" s="78"/>
      <c r="C177" s="189"/>
      <c r="D177" s="185"/>
      <c r="E177" s="186"/>
      <c r="F177" s="187"/>
    </row>
    <row r="178" spans="1:6" x14ac:dyDescent="0.2">
      <c r="A178" s="275"/>
      <c r="B178" s="78"/>
      <c r="C178" s="189"/>
      <c r="D178" s="185"/>
      <c r="E178" s="186"/>
      <c r="F178" s="187"/>
    </row>
    <row r="179" spans="1:6" x14ac:dyDescent="0.2">
      <c r="A179" s="275"/>
      <c r="B179" s="78"/>
      <c r="C179" s="189"/>
      <c r="D179" s="185"/>
      <c r="E179" s="186"/>
      <c r="F179" s="187"/>
    </row>
    <row r="180" spans="1:6" x14ac:dyDescent="0.2">
      <c r="A180" s="275"/>
      <c r="B180" s="78"/>
      <c r="C180" s="189"/>
      <c r="D180" s="185"/>
      <c r="E180" s="186"/>
      <c r="F180" s="187"/>
    </row>
    <row r="181" spans="1:6" x14ac:dyDescent="0.2">
      <c r="A181" s="275"/>
      <c r="B181" s="78"/>
      <c r="C181" s="189"/>
      <c r="D181" s="185"/>
      <c r="E181" s="186"/>
      <c r="F181" s="187"/>
    </row>
    <row r="182" spans="1:6" x14ac:dyDescent="0.2">
      <c r="A182" s="275"/>
      <c r="B182" s="78"/>
      <c r="C182" s="189"/>
      <c r="D182" s="185"/>
      <c r="E182" s="186"/>
      <c r="F182" s="187"/>
    </row>
    <row r="183" spans="1:6" x14ac:dyDescent="0.2">
      <c r="A183" s="275"/>
      <c r="B183" s="78"/>
      <c r="C183" s="189"/>
      <c r="D183" s="185"/>
      <c r="E183" s="186"/>
      <c r="F183" s="187"/>
    </row>
    <row r="184" spans="1:6" x14ac:dyDescent="0.2">
      <c r="A184" s="275"/>
      <c r="B184" s="78"/>
      <c r="C184" s="189"/>
      <c r="D184" s="185"/>
      <c r="E184" s="186"/>
      <c r="F184" s="187"/>
    </row>
    <row r="185" spans="1:6" x14ac:dyDescent="0.2">
      <c r="A185" s="275"/>
      <c r="B185" s="78"/>
      <c r="C185" s="189"/>
      <c r="D185" s="185"/>
      <c r="E185" s="186"/>
      <c r="F185" s="187"/>
    </row>
    <row r="186" spans="1:6" x14ac:dyDescent="0.2">
      <c r="A186" s="275"/>
      <c r="B186" s="78"/>
      <c r="C186" s="189"/>
      <c r="D186" s="185"/>
      <c r="E186" s="186"/>
      <c r="F186" s="187"/>
    </row>
    <row r="187" spans="1:6" x14ac:dyDescent="0.2">
      <c r="A187" s="275"/>
      <c r="B187" s="78"/>
      <c r="C187" s="189"/>
      <c r="D187" s="185"/>
      <c r="E187" s="186"/>
      <c r="F187" s="187"/>
    </row>
    <row r="188" spans="1:6" x14ac:dyDescent="0.2">
      <c r="A188" s="275"/>
      <c r="B188" s="78"/>
      <c r="C188" s="189"/>
      <c r="D188" s="185"/>
      <c r="E188" s="186"/>
      <c r="F188" s="187"/>
    </row>
    <row r="189" spans="1:6" x14ac:dyDescent="0.2">
      <c r="A189" s="275"/>
      <c r="B189" s="78"/>
      <c r="C189" s="189"/>
      <c r="D189" s="185"/>
      <c r="E189" s="186"/>
      <c r="F189" s="187"/>
    </row>
    <row r="190" spans="1:6" x14ac:dyDescent="0.2">
      <c r="A190" s="275"/>
      <c r="B190" s="78"/>
      <c r="C190" s="189"/>
      <c r="D190" s="185"/>
      <c r="E190" s="186"/>
      <c r="F190" s="187"/>
    </row>
    <row r="191" spans="1:6" x14ac:dyDescent="0.2">
      <c r="A191" s="275"/>
      <c r="B191" s="78"/>
      <c r="C191" s="189"/>
      <c r="D191" s="185"/>
      <c r="E191" s="186"/>
      <c r="F191" s="187"/>
    </row>
    <row r="192" spans="1:6" x14ac:dyDescent="0.2">
      <c r="A192" s="275"/>
      <c r="B192" s="78"/>
      <c r="C192" s="189"/>
      <c r="D192" s="185"/>
      <c r="E192" s="186"/>
      <c r="F192" s="187"/>
    </row>
    <row r="193" spans="1:6" x14ac:dyDescent="0.2">
      <c r="A193" s="275"/>
      <c r="B193" s="78"/>
      <c r="C193" s="189"/>
      <c r="D193" s="185"/>
      <c r="E193" s="186"/>
      <c r="F193" s="187"/>
    </row>
    <row r="194" spans="1:6" x14ac:dyDescent="0.2">
      <c r="A194" s="275"/>
      <c r="B194" s="78"/>
      <c r="C194" s="189"/>
      <c r="D194" s="185"/>
      <c r="E194" s="186"/>
      <c r="F194" s="187"/>
    </row>
    <row r="195" spans="1:6" x14ac:dyDescent="0.2">
      <c r="A195" s="275"/>
      <c r="B195" s="78"/>
      <c r="C195" s="189"/>
      <c r="D195" s="185"/>
      <c r="E195" s="186"/>
      <c r="F195" s="187"/>
    </row>
    <row r="196" spans="1:6" x14ac:dyDescent="0.2">
      <c r="A196" s="275"/>
      <c r="B196" s="78"/>
      <c r="C196" s="189"/>
      <c r="D196" s="185"/>
      <c r="E196" s="186"/>
      <c r="F196" s="187"/>
    </row>
    <row r="197" spans="1:6" x14ac:dyDescent="0.2">
      <c r="A197" s="275"/>
      <c r="B197" s="78"/>
      <c r="C197" s="189"/>
      <c r="D197" s="185"/>
      <c r="E197" s="186"/>
      <c r="F197" s="187"/>
    </row>
    <row r="198" spans="1:6" x14ac:dyDescent="0.2">
      <c r="A198" s="275"/>
      <c r="B198" s="78"/>
      <c r="C198" s="189"/>
      <c r="D198" s="185"/>
      <c r="E198" s="186"/>
      <c r="F198" s="187"/>
    </row>
    <row r="199" spans="1:6" x14ac:dyDescent="0.2">
      <c r="A199" s="275"/>
      <c r="B199" s="78"/>
      <c r="C199" s="189"/>
      <c r="D199" s="185"/>
      <c r="E199" s="186"/>
      <c r="F199" s="187"/>
    </row>
    <row r="200" spans="1:6" x14ac:dyDescent="0.2">
      <c r="A200" s="275"/>
      <c r="B200" s="78"/>
      <c r="C200" s="189"/>
      <c r="D200" s="185"/>
      <c r="E200" s="186"/>
      <c r="F200" s="187"/>
    </row>
    <row r="201" spans="1:6" x14ac:dyDescent="0.2">
      <c r="A201" s="275"/>
      <c r="B201" s="78"/>
      <c r="C201" s="189"/>
      <c r="D201" s="185"/>
      <c r="E201" s="186"/>
      <c r="F201" s="187"/>
    </row>
    <row r="202" spans="1:6" x14ac:dyDescent="0.2">
      <c r="A202" s="275"/>
      <c r="B202" s="78"/>
      <c r="C202" s="189"/>
      <c r="D202" s="185"/>
      <c r="E202" s="186"/>
      <c r="F202" s="187"/>
    </row>
    <row r="203" spans="1:6" x14ac:dyDescent="0.2">
      <c r="A203" s="275"/>
      <c r="B203" s="78"/>
      <c r="C203" s="189"/>
      <c r="D203" s="185"/>
      <c r="E203" s="186"/>
      <c r="F203" s="187"/>
    </row>
    <row r="204" spans="1:6" x14ac:dyDescent="0.2">
      <c r="A204" s="275"/>
      <c r="B204" s="78"/>
      <c r="C204" s="189"/>
      <c r="D204" s="185"/>
      <c r="E204" s="186"/>
      <c r="F204" s="187"/>
    </row>
    <row r="205" spans="1:6" x14ac:dyDescent="0.2">
      <c r="A205" s="275"/>
      <c r="B205" s="78"/>
      <c r="C205" s="189"/>
      <c r="D205" s="185"/>
      <c r="E205" s="186"/>
      <c r="F205" s="187"/>
    </row>
    <row r="206" spans="1:6" x14ac:dyDescent="0.2">
      <c r="A206" s="275"/>
      <c r="B206" s="78"/>
      <c r="C206" s="189"/>
      <c r="D206" s="185"/>
      <c r="E206" s="186"/>
      <c r="F206" s="187"/>
    </row>
    <row r="207" spans="1:6" x14ac:dyDescent="0.2">
      <c r="A207" s="275"/>
      <c r="B207" s="78"/>
      <c r="C207" s="189"/>
      <c r="D207" s="185"/>
      <c r="E207" s="186"/>
      <c r="F207" s="187"/>
    </row>
    <row r="208" spans="1:6" x14ac:dyDescent="0.2">
      <c r="A208" s="275"/>
      <c r="B208" s="78"/>
      <c r="C208" s="189"/>
      <c r="D208" s="185"/>
      <c r="E208" s="186"/>
      <c r="F208" s="187"/>
    </row>
    <row r="209" spans="1:6" x14ac:dyDescent="0.2">
      <c r="A209" s="275"/>
      <c r="B209" s="78"/>
      <c r="C209" s="189"/>
      <c r="D209" s="185"/>
      <c r="E209" s="186"/>
      <c r="F209" s="187"/>
    </row>
    <row r="210" spans="1:6" x14ac:dyDescent="0.2">
      <c r="A210" s="275"/>
      <c r="B210" s="78"/>
      <c r="C210" s="189"/>
      <c r="D210" s="185"/>
      <c r="E210" s="186"/>
      <c r="F210" s="187"/>
    </row>
    <row r="211" spans="1:6" x14ac:dyDescent="0.2">
      <c r="A211" s="275"/>
      <c r="B211" s="78"/>
      <c r="C211" s="189"/>
      <c r="D211" s="185"/>
      <c r="E211" s="186"/>
      <c r="F211" s="187"/>
    </row>
    <row r="212" spans="1:6" x14ac:dyDescent="0.2">
      <c r="A212" s="275"/>
      <c r="B212" s="78"/>
      <c r="C212" s="189"/>
      <c r="D212" s="185"/>
      <c r="E212" s="186"/>
      <c r="F212" s="187"/>
    </row>
    <row r="213" spans="1:6" x14ac:dyDescent="0.2">
      <c r="A213" s="275"/>
      <c r="B213" s="78"/>
      <c r="C213" s="189"/>
      <c r="D213" s="185"/>
      <c r="E213" s="186"/>
      <c r="F213" s="187"/>
    </row>
    <row r="214" spans="1:6" x14ac:dyDescent="0.2">
      <c r="A214" s="275"/>
      <c r="B214" s="78"/>
      <c r="C214" s="189"/>
      <c r="D214" s="185"/>
      <c r="E214" s="186"/>
      <c r="F214" s="187"/>
    </row>
    <row r="215" spans="1:6" x14ac:dyDescent="0.2">
      <c r="A215" s="275"/>
      <c r="B215" s="78"/>
      <c r="C215" s="189"/>
      <c r="D215" s="185"/>
      <c r="E215" s="186"/>
      <c r="F215" s="187"/>
    </row>
    <row r="216" spans="1:6" x14ac:dyDescent="0.2">
      <c r="A216" s="275"/>
      <c r="B216" s="78"/>
      <c r="C216" s="189"/>
      <c r="D216" s="185"/>
      <c r="E216" s="186"/>
      <c r="F216" s="187"/>
    </row>
    <row r="217" spans="1:6" x14ac:dyDescent="0.2">
      <c r="A217" s="275"/>
      <c r="B217" s="78"/>
      <c r="C217" s="189"/>
      <c r="D217" s="185"/>
      <c r="E217" s="186"/>
      <c r="F217" s="187"/>
    </row>
    <row r="218" spans="1:6" x14ac:dyDescent="0.2">
      <c r="A218" s="275"/>
      <c r="B218" s="78"/>
      <c r="C218" s="189"/>
      <c r="D218" s="185"/>
      <c r="E218" s="186"/>
      <c r="F218" s="187"/>
    </row>
    <row r="219" spans="1:6" x14ac:dyDescent="0.2">
      <c r="A219" s="275"/>
      <c r="B219" s="78"/>
      <c r="C219" s="189"/>
      <c r="D219" s="185"/>
      <c r="E219" s="186"/>
      <c r="F219" s="187"/>
    </row>
    <row r="220" spans="1:6" x14ac:dyDescent="0.2">
      <c r="A220" s="275"/>
      <c r="B220" s="78"/>
      <c r="C220" s="189"/>
      <c r="D220" s="185"/>
      <c r="E220" s="186"/>
      <c r="F220" s="187"/>
    </row>
    <row r="221" spans="1:6" x14ac:dyDescent="0.2">
      <c r="A221" s="275"/>
      <c r="B221" s="78"/>
      <c r="C221" s="189"/>
      <c r="D221" s="185"/>
      <c r="E221" s="186"/>
      <c r="F221" s="187"/>
    </row>
    <row r="222" spans="1:6" x14ac:dyDescent="0.2">
      <c r="A222" s="275"/>
      <c r="B222" s="78"/>
      <c r="C222" s="189"/>
      <c r="D222" s="185"/>
      <c r="E222" s="186"/>
      <c r="F222" s="187"/>
    </row>
    <row r="223" spans="1:6" x14ac:dyDescent="0.2">
      <c r="A223" s="275"/>
      <c r="B223" s="78"/>
      <c r="C223" s="189"/>
      <c r="D223" s="185"/>
      <c r="E223" s="186"/>
      <c r="F223" s="187"/>
    </row>
    <row r="224" spans="1:6" x14ac:dyDescent="0.2">
      <c r="A224" s="275"/>
      <c r="B224" s="78"/>
      <c r="C224" s="189"/>
      <c r="D224" s="185"/>
      <c r="E224" s="186"/>
      <c r="F224" s="187"/>
    </row>
    <row r="225" spans="1:6" x14ac:dyDescent="0.2">
      <c r="A225" s="275"/>
      <c r="B225" s="78"/>
      <c r="C225" s="189"/>
      <c r="D225" s="185"/>
      <c r="E225" s="186"/>
      <c r="F225" s="187"/>
    </row>
    <row r="226" spans="1:6" x14ac:dyDescent="0.2">
      <c r="A226" s="275"/>
      <c r="B226" s="78"/>
      <c r="C226" s="189"/>
      <c r="D226" s="185"/>
      <c r="E226" s="186"/>
      <c r="F226" s="187"/>
    </row>
    <row r="227" spans="1:6" x14ac:dyDescent="0.2">
      <c r="A227" s="275"/>
      <c r="B227" s="78"/>
      <c r="C227" s="189"/>
      <c r="D227" s="185"/>
      <c r="E227" s="186"/>
      <c r="F227" s="187"/>
    </row>
    <row r="228" spans="1:6" x14ac:dyDescent="0.2">
      <c r="A228" s="275"/>
      <c r="B228" s="78"/>
      <c r="C228" s="189"/>
      <c r="D228" s="185"/>
      <c r="E228" s="186"/>
      <c r="F228" s="187"/>
    </row>
    <row r="229" spans="1:6" x14ac:dyDescent="0.2">
      <c r="A229" s="275"/>
      <c r="B229" s="78"/>
      <c r="C229" s="189"/>
      <c r="D229" s="185"/>
      <c r="E229" s="186"/>
      <c r="F229" s="187"/>
    </row>
    <row r="230" spans="1:6" x14ac:dyDescent="0.2">
      <c r="A230" s="275"/>
      <c r="B230" s="78"/>
      <c r="C230" s="189"/>
      <c r="D230" s="185"/>
      <c r="E230" s="186"/>
      <c r="F230" s="187"/>
    </row>
    <row r="231" spans="1:6" x14ac:dyDescent="0.2">
      <c r="A231" s="275"/>
      <c r="B231" s="78"/>
      <c r="C231" s="189"/>
      <c r="D231" s="185"/>
      <c r="E231" s="186"/>
      <c r="F231" s="187"/>
    </row>
    <row r="232" spans="1:6" x14ac:dyDescent="0.2">
      <c r="A232" s="275"/>
      <c r="B232" s="78"/>
      <c r="C232" s="189"/>
      <c r="D232" s="185"/>
      <c r="E232" s="186"/>
      <c r="F232" s="187"/>
    </row>
    <row r="233" spans="1:6" x14ac:dyDescent="0.2">
      <c r="A233" s="275"/>
      <c r="B233" s="78"/>
      <c r="C233" s="189"/>
      <c r="D233" s="185"/>
      <c r="E233" s="186"/>
      <c r="F233" s="187"/>
    </row>
    <row r="234" spans="1:6" x14ac:dyDescent="0.2">
      <c r="A234" s="275"/>
      <c r="B234" s="78"/>
      <c r="C234" s="189"/>
      <c r="D234" s="185"/>
      <c r="E234" s="186"/>
      <c r="F234" s="187"/>
    </row>
    <row r="235" spans="1:6" x14ac:dyDescent="0.2">
      <c r="A235" s="275"/>
      <c r="B235" s="78"/>
      <c r="C235" s="189"/>
      <c r="D235" s="185"/>
      <c r="E235" s="186"/>
      <c r="F235" s="187"/>
    </row>
    <row r="236" spans="1:6" x14ac:dyDescent="0.2">
      <c r="A236" s="275"/>
      <c r="B236" s="78"/>
      <c r="C236" s="189"/>
      <c r="D236" s="185"/>
      <c r="E236" s="186"/>
      <c r="F236" s="187"/>
    </row>
    <row r="237" spans="1:6" x14ac:dyDescent="0.2">
      <c r="A237" s="275"/>
      <c r="B237" s="78"/>
      <c r="C237" s="189"/>
      <c r="D237" s="185"/>
      <c r="E237" s="186"/>
      <c r="F237" s="187"/>
    </row>
    <row r="238" spans="1:6" x14ac:dyDescent="0.2">
      <c r="A238" s="275"/>
      <c r="B238" s="78"/>
      <c r="C238" s="189"/>
      <c r="D238" s="185"/>
      <c r="E238" s="186"/>
      <c r="F238" s="187"/>
    </row>
    <row r="239" spans="1:6" x14ac:dyDescent="0.2">
      <c r="A239" s="275"/>
      <c r="B239" s="78"/>
      <c r="C239" s="189"/>
      <c r="D239" s="185"/>
      <c r="E239" s="186"/>
      <c r="F239" s="187"/>
    </row>
    <row r="240" spans="1:6" x14ac:dyDescent="0.2">
      <c r="A240" s="275"/>
      <c r="B240" s="78"/>
      <c r="C240" s="189"/>
      <c r="D240" s="185"/>
      <c r="E240" s="186"/>
      <c r="F240" s="187"/>
    </row>
    <row r="241" spans="1:6" x14ac:dyDescent="0.2">
      <c r="A241" s="275"/>
      <c r="B241" s="78"/>
      <c r="C241" s="189"/>
      <c r="D241" s="185"/>
      <c r="E241" s="186"/>
      <c r="F241" s="187"/>
    </row>
    <row r="242" spans="1:6" x14ac:dyDescent="0.2">
      <c r="A242" s="275"/>
      <c r="B242" s="78"/>
      <c r="C242" s="189"/>
      <c r="D242" s="185"/>
      <c r="E242" s="186"/>
      <c r="F242" s="187"/>
    </row>
    <row r="243" spans="1:6" x14ac:dyDescent="0.2">
      <c r="A243" s="275"/>
      <c r="B243" s="78"/>
      <c r="C243" s="189"/>
      <c r="D243" s="185"/>
      <c r="E243" s="186"/>
      <c r="F243" s="187"/>
    </row>
    <row r="244" spans="1:6" x14ac:dyDescent="0.2">
      <c r="A244" s="275"/>
      <c r="B244" s="78"/>
      <c r="C244" s="189"/>
      <c r="D244" s="185"/>
      <c r="E244" s="186"/>
      <c r="F244" s="187"/>
    </row>
    <row r="245" spans="1:6" x14ac:dyDescent="0.2">
      <c r="A245" s="275"/>
      <c r="B245" s="78"/>
      <c r="C245" s="189"/>
      <c r="D245" s="185"/>
      <c r="E245" s="186"/>
      <c r="F245" s="187"/>
    </row>
    <row r="246" spans="1:6" x14ac:dyDescent="0.2">
      <c r="A246" s="275"/>
      <c r="B246" s="78"/>
      <c r="C246" s="189"/>
      <c r="D246" s="185"/>
      <c r="E246" s="186"/>
      <c r="F246" s="187"/>
    </row>
    <row r="247" spans="1:6" x14ac:dyDescent="0.2">
      <c r="A247" s="275"/>
      <c r="B247" s="78"/>
      <c r="C247" s="189"/>
      <c r="D247" s="185"/>
      <c r="E247" s="186"/>
      <c r="F247" s="187"/>
    </row>
    <row r="248" spans="1:6" x14ac:dyDescent="0.2">
      <c r="A248" s="275"/>
      <c r="B248" s="78"/>
      <c r="C248" s="189"/>
      <c r="D248" s="185"/>
      <c r="E248" s="186"/>
      <c r="F248" s="187"/>
    </row>
    <row r="249" spans="1:6" x14ac:dyDescent="0.2">
      <c r="A249" s="275"/>
      <c r="B249" s="78"/>
      <c r="C249" s="189"/>
      <c r="D249" s="185"/>
      <c r="E249" s="186"/>
      <c r="F249" s="187"/>
    </row>
    <row r="250" spans="1:6" x14ac:dyDescent="0.2">
      <c r="A250" s="275"/>
      <c r="B250" s="78"/>
      <c r="C250" s="189"/>
      <c r="D250" s="185"/>
      <c r="E250" s="186"/>
      <c r="F250" s="187"/>
    </row>
    <row r="251" spans="1:6" x14ac:dyDescent="0.2">
      <c r="A251" s="275"/>
      <c r="B251" s="78"/>
      <c r="C251" s="189"/>
      <c r="D251" s="185"/>
      <c r="E251" s="186"/>
      <c r="F251" s="187"/>
    </row>
    <row r="252" spans="1:6" x14ac:dyDescent="0.2">
      <c r="A252" s="275"/>
      <c r="B252" s="78"/>
      <c r="C252" s="189"/>
      <c r="D252" s="185"/>
      <c r="E252" s="186"/>
      <c r="F252" s="187"/>
    </row>
    <row r="253" spans="1:6" x14ac:dyDescent="0.2">
      <c r="A253" s="275"/>
      <c r="B253" s="78"/>
      <c r="C253" s="189"/>
      <c r="D253" s="185"/>
      <c r="E253" s="186"/>
      <c r="F253" s="187"/>
    </row>
    <row r="254" spans="1:6" x14ac:dyDescent="0.2">
      <c r="A254" s="275"/>
      <c r="B254" s="78"/>
      <c r="C254" s="189"/>
      <c r="D254" s="185"/>
      <c r="E254" s="186"/>
      <c r="F254" s="187"/>
    </row>
    <row r="255" spans="1:6" x14ac:dyDescent="0.2">
      <c r="A255" s="275"/>
      <c r="B255" s="78"/>
      <c r="C255" s="189"/>
      <c r="D255" s="185"/>
      <c r="E255" s="186"/>
      <c r="F255" s="187"/>
    </row>
    <row r="256" spans="1:6" x14ac:dyDescent="0.2">
      <c r="A256" s="275"/>
      <c r="B256" s="78"/>
      <c r="C256" s="189"/>
      <c r="D256" s="185"/>
      <c r="E256" s="186"/>
      <c r="F256" s="187"/>
    </row>
    <row r="257" spans="1:6" x14ac:dyDescent="0.2">
      <c r="A257" s="275"/>
      <c r="B257" s="78"/>
      <c r="C257" s="189"/>
      <c r="D257" s="185"/>
      <c r="E257" s="186"/>
      <c r="F257" s="187"/>
    </row>
    <row r="258" spans="1:6" x14ac:dyDescent="0.2">
      <c r="A258" s="275"/>
      <c r="B258" s="78"/>
      <c r="C258" s="189"/>
      <c r="D258" s="185"/>
      <c r="E258" s="186"/>
      <c r="F258" s="187"/>
    </row>
    <row r="259" spans="1:6" x14ac:dyDescent="0.2">
      <c r="A259" s="275"/>
      <c r="B259" s="78"/>
      <c r="C259" s="189"/>
      <c r="D259" s="185"/>
      <c r="E259" s="186"/>
      <c r="F259" s="187"/>
    </row>
    <row r="260" spans="1:6" x14ac:dyDescent="0.2">
      <c r="A260" s="275"/>
      <c r="B260" s="78"/>
      <c r="C260" s="189"/>
      <c r="D260" s="185"/>
      <c r="E260" s="186"/>
      <c r="F260" s="187"/>
    </row>
    <row r="261" spans="1:6" x14ac:dyDescent="0.2">
      <c r="A261" s="275"/>
      <c r="B261" s="78"/>
      <c r="C261" s="189"/>
      <c r="D261" s="185"/>
      <c r="E261" s="186"/>
      <c r="F261" s="187"/>
    </row>
    <row r="262" spans="1:6" x14ac:dyDescent="0.2">
      <c r="A262" s="275"/>
      <c r="B262" s="78"/>
      <c r="C262" s="189"/>
      <c r="D262" s="185"/>
      <c r="E262" s="186"/>
      <c r="F262" s="187"/>
    </row>
    <row r="263" spans="1:6" x14ac:dyDescent="0.2">
      <c r="A263" s="275"/>
      <c r="B263" s="78"/>
      <c r="C263" s="189"/>
      <c r="D263" s="185"/>
      <c r="E263" s="186"/>
      <c r="F263" s="187"/>
    </row>
    <row r="264" spans="1:6" x14ac:dyDescent="0.2">
      <c r="A264" s="275"/>
      <c r="B264" s="78"/>
      <c r="C264" s="189"/>
      <c r="D264" s="185"/>
      <c r="E264" s="186"/>
      <c r="F264" s="187"/>
    </row>
    <row r="265" spans="1:6" x14ac:dyDescent="0.2">
      <c r="A265" s="275"/>
      <c r="B265" s="78"/>
      <c r="C265" s="189"/>
      <c r="D265" s="185"/>
      <c r="E265" s="186"/>
      <c r="F265" s="187"/>
    </row>
    <row r="266" spans="1:6" x14ac:dyDescent="0.2">
      <c r="A266" s="275"/>
      <c r="B266" s="78"/>
      <c r="C266" s="189"/>
      <c r="D266" s="185"/>
      <c r="E266" s="186"/>
      <c r="F266" s="187"/>
    </row>
    <row r="267" spans="1:6" x14ac:dyDescent="0.2">
      <c r="A267" s="275"/>
      <c r="B267" s="78"/>
      <c r="C267" s="189"/>
      <c r="D267" s="185"/>
      <c r="E267" s="186"/>
      <c r="F267" s="187"/>
    </row>
    <row r="268" spans="1:6" x14ac:dyDescent="0.2">
      <c r="A268" s="275"/>
      <c r="B268" s="78"/>
      <c r="C268" s="189"/>
      <c r="D268" s="185"/>
      <c r="E268" s="186"/>
      <c r="F268" s="187"/>
    </row>
    <row r="269" spans="1:6" x14ac:dyDescent="0.2">
      <c r="A269" s="275"/>
      <c r="B269" s="78"/>
      <c r="C269" s="189"/>
      <c r="D269" s="185"/>
      <c r="E269" s="186"/>
      <c r="F269" s="187"/>
    </row>
    <row r="270" spans="1:6" x14ac:dyDescent="0.2">
      <c r="A270" s="275"/>
      <c r="B270" s="78"/>
      <c r="C270" s="189"/>
      <c r="D270" s="185"/>
      <c r="E270" s="186"/>
      <c r="F270" s="187"/>
    </row>
    <row r="271" spans="1:6" x14ac:dyDescent="0.2">
      <c r="A271" s="275"/>
      <c r="B271" s="78"/>
      <c r="C271" s="189"/>
      <c r="D271" s="185"/>
      <c r="E271" s="186"/>
      <c r="F271" s="187"/>
    </row>
    <row r="272" spans="1:6" x14ac:dyDescent="0.2">
      <c r="A272" s="275"/>
      <c r="B272" s="78"/>
      <c r="C272" s="189"/>
      <c r="D272" s="185"/>
      <c r="E272" s="186"/>
      <c r="F272" s="187"/>
    </row>
    <row r="273" spans="1:6" x14ac:dyDescent="0.2">
      <c r="A273" s="275"/>
      <c r="B273" s="78"/>
      <c r="C273" s="189"/>
      <c r="D273" s="185"/>
      <c r="E273" s="186"/>
      <c r="F273" s="187"/>
    </row>
    <row r="274" spans="1:6" x14ac:dyDescent="0.2">
      <c r="A274" s="275"/>
      <c r="B274" s="78"/>
      <c r="C274" s="189"/>
      <c r="D274" s="185"/>
      <c r="E274" s="186"/>
      <c r="F274" s="187"/>
    </row>
    <row r="275" spans="1:6" x14ac:dyDescent="0.2">
      <c r="A275" s="275"/>
      <c r="B275" s="78"/>
      <c r="C275" s="189"/>
      <c r="D275" s="185"/>
      <c r="E275" s="186"/>
      <c r="F275" s="187"/>
    </row>
    <row r="276" spans="1:6" x14ac:dyDescent="0.2">
      <c r="A276" s="275"/>
      <c r="B276" s="78"/>
      <c r="C276" s="189"/>
      <c r="D276" s="185"/>
      <c r="E276" s="186"/>
      <c r="F276" s="187"/>
    </row>
    <row r="277" spans="1:6" x14ac:dyDescent="0.2">
      <c r="A277" s="275"/>
      <c r="B277" s="78"/>
      <c r="C277" s="189"/>
      <c r="D277" s="185"/>
      <c r="E277" s="186"/>
      <c r="F277" s="187"/>
    </row>
    <row r="278" spans="1:6" x14ac:dyDescent="0.2">
      <c r="A278" s="275"/>
      <c r="B278" s="78"/>
      <c r="C278" s="189"/>
      <c r="D278" s="185"/>
      <c r="E278" s="186"/>
      <c r="F278" s="187"/>
    </row>
    <row r="279" spans="1:6" x14ac:dyDescent="0.2">
      <c r="A279" s="275"/>
      <c r="B279" s="78"/>
      <c r="C279" s="189"/>
      <c r="D279" s="185"/>
      <c r="E279" s="186"/>
      <c r="F279" s="187"/>
    </row>
    <row r="280" spans="1:6" x14ac:dyDescent="0.2">
      <c r="A280" s="275"/>
      <c r="B280" s="78"/>
      <c r="C280" s="189"/>
      <c r="D280" s="185"/>
      <c r="E280" s="186"/>
      <c r="F280" s="187"/>
    </row>
    <row r="281" spans="1:6" x14ac:dyDescent="0.2">
      <c r="A281" s="275"/>
      <c r="B281" s="78"/>
      <c r="C281" s="189"/>
      <c r="D281" s="185"/>
      <c r="E281" s="186"/>
      <c r="F281" s="187"/>
    </row>
    <row r="282" spans="1:6" x14ac:dyDescent="0.2">
      <c r="A282" s="275"/>
      <c r="B282" s="78"/>
      <c r="C282" s="189"/>
      <c r="D282" s="185"/>
      <c r="E282" s="186"/>
      <c r="F282" s="187"/>
    </row>
    <row r="283" spans="1:6" x14ac:dyDescent="0.2">
      <c r="A283" s="275"/>
      <c r="B283" s="78"/>
      <c r="C283" s="189"/>
      <c r="D283" s="185"/>
      <c r="E283" s="186"/>
      <c r="F283" s="187"/>
    </row>
    <row r="284" spans="1:6" x14ac:dyDescent="0.2">
      <c r="A284" s="275"/>
      <c r="B284" s="78"/>
      <c r="C284" s="189"/>
      <c r="D284" s="185"/>
      <c r="E284" s="186"/>
      <c r="F284" s="187"/>
    </row>
    <row r="285" spans="1:6" x14ac:dyDescent="0.2">
      <c r="A285" s="275"/>
      <c r="B285" s="78"/>
      <c r="C285" s="189"/>
      <c r="D285" s="185"/>
      <c r="E285" s="186"/>
      <c r="F285" s="187"/>
    </row>
    <row r="286" spans="1:6" x14ac:dyDescent="0.2">
      <c r="A286" s="275"/>
      <c r="B286" s="78"/>
      <c r="C286" s="189"/>
      <c r="D286" s="185"/>
      <c r="E286" s="186"/>
      <c r="F286" s="187"/>
    </row>
    <row r="287" spans="1:6" x14ac:dyDescent="0.2">
      <c r="A287" s="275"/>
      <c r="B287" s="78"/>
      <c r="C287" s="189"/>
      <c r="D287" s="185"/>
      <c r="E287" s="186"/>
      <c r="F287" s="187"/>
    </row>
    <row r="288" spans="1:6" x14ac:dyDescent="0.2">
      <c r="A288" s="275"/>
      <c r="B288" s="78"/>
      <c r="C288" s="189"/>
      <c r="D288" s="185"/>
      <c r="E288" s="186"/>
      <c r="F288" s="187"/>
    </row>
    <row r="289" spans="1:6" x14ac:dyDescent="0.2">
      <c r="A289" s="275"/>
      <c r="B289" s="78"/>
      <c r="C289" s="189"/>
      <c r="D289" s="185"/>
      <c r="E289" s="186"/>
      <c r="F289" s="187"/>
    </row>
    <row r="290" spans="1:6" x14ac:dyDescent="0.2">
      <c r="A290" s="275"/>
      <c r="B290" s="78"/>
      <c r="C290" s="189"/>
      <c r="D290" s="185"/>
      <c r="E290" s="186"/>
      <c r="F290" s="187"/>
    </row>
    <row r="291" spans="1:6" x14ac:dyDescent="0.2">
      <c r="A291" s="275"/>
      <c r="B291" s="78"/>
      <c r="C291" s="189"/>
      <c r="D291" s="185"/>
      <c r="E291" s="186"/>
      <c r="F291" s="187"/>
    </row>
    <row r="292" spans="1:6" x14ac:dyDescent="0.2">
      <c r="A292" s="275"/>
      <c r="B292" s="78"/>
      <c r="C292" s="189"/>
      <c r="D292" s="185"/>
      <c r="E292" s="186"/>
      <c r="F292" s="187"/>
    </row>
    <row r="293" spans="1:6" x14ac:dyDescent="0.2">
      <c r="A293" s="275"/>
      <c r="B293" s="78"/>
      <c r="C293" s="189"/>
      <c r="D293" s="185"/>
      <c r="E293" s="186"/>
      <c r="F293" s="187"/>
    </row>
    <row r="294" spans="1:6" x14ac:dyDescent="0.2">
      <c r="A294" s="275"/>
      <c r="B294" s="78"/>
      <c r="C294" s="189"/>
      <c r="D294" s="185"/>
      <c r="E294" s="186"/>
      <c r="F294" s="187"/>
    </row>
    <row r="295" spans="1:6" x14ac:dyDescent="0.2">
      <c r="A295" s="275"/>
      <c r="B295" s="78"/>
      <c r="C295" s="189"/>
      <c r="D295" s="185"/>
      <c r="E295" s="186"/>
      <c r="F295" s="187"/>
    </row>
    <row r="296" spans="1:6" x14ac:dyDescent="0.2">
      <c r="A296" s="275"/>
      <c r="B296" s="78"/>
      <c r="C296" s="189"/>
      <c r="D296" s="185"/>
      <c r="E296" s="186"/>
      <c r="F296" s="187"/>
    </row>
    <row r="297" spans="1:6" x14ac:dyDescent="0.2">
      <c r="A297" s="275"/>
      <c r="B297" s="78"/>
      <c r="C297" s="189"/>
      <c r="D297" s="185"/>
      <c r="E297" s="186"/>
      <c r="F297" s="187"/>
    </row>
    <row r="298" spans="1:6" x14ac:dyDescent="0.2">
      <c r="A298" s="275"/>
      <c r="B298" s="78"/>
      <c r="C298" s="189"/>
      <c r="D298" s="185"/>
      <c r="E298" s="186"/>
      <c r="F298" s="187"/>
    </row>
    <row r="299" spans="1:6" x14ac:dyDescent="0.2">
      <c r="A299" s="275"/>
      <c r="B299" s="78"/>
      <c r="C299" s="189"/>
      <c r="D299" s="185"/>
      <c r="E299" s="186"/>
      <c r="F299" s="187"/>
    </row>
    <row r="300" spans="1:6" x14ac:dyDescent="0.2">
      <c r="A300" s="275"/>
      <c r="B300" s="78"/>
      <c r="C300" s="189"/>
      <c r="D300" s="185"/>
      <c r="E300" s="186"/>
      <c r="F300" s="187"/>
    </row>
    <row r="301" spans="1:6" x14ac:dyDescent="0.2">
      <c r="A301" s="275"/>
      <c r="B301" s="78"/>
      <c r="C301" s="189"/>
      <c r="D301" s="185"/>
      <c r="E301" s="186"/>
      <c r="F301" s="187"/>
    </row>
    <row r="302" spans="1:6" x14ac:dyDescent="0.2">
      <c r="A302" s="275"/>
      <c r="B302" s="78"/>
      <c r="C302" s="189"/>
      <c r="D302" s="185"/>
      <c r="E302" s="186"/>
      <c r="F302" s="187"/>
    </row>
    <row r="303" spans="1:6" x14ac:dyDescent="0.2">
      <c r="A303" s="275"/>
      <c r="B303" s="78"/>
      <c r="C303" s="189"/>
      <c r="D303" s="185"/>
      <c r="E303" s="186"/>
      <c r="F303" s="187"/>
    </row>
    <row r="304" spans="1:6" x14ac:dyDescent="0.2">
      <c r="A304" s="275"/>
      <c r="B304" s="78"/>
      <c r="C304" s="189"/>
      <c r="D304" s="185"/>
      <c r="E304" s="186"/>
      <c r="F304" s="187"/>
    </row>
    <row r="305" spans="1:6" x14ac:dyDescent="0.2">
      <c r="A305" s="275"/>
      <c r="B305" s="78"/>
      <c r="C305" s="189"/>
      <c r="D305" s="185"/>
      <c r="E305" s="186"/>
      <c r="F305" s="187"/>
    </row>
    <row r="306" spans="1:6" x14ac:dyDescent="0.2">
      <c r="A306" s="275"/>
      <c r="B306" s="78"/>
      <c r="C306" s="189"/>
      <c r="D306" s="185"/>
      <c r="E306" s="186"/>
      <c r="F306" s="187"/>
    </row>
    <row r="307" spans="1:6" x14ac:dyDescent="0.2">
      <c r="A307" s="275"/>
      <c r="B307" s="78"/>
      <c r="C307" s="189"/>
      <c r="D307" s="185"/>
      <c r="E307" s="186"/>
      <c r="F307" s="187"/>
    </row>
    <row r="308" spans="1:6" x14ac:dyDescent="0.2">
      <c r="A308" s="275"/>
      <c r="B308" s="78"/>
      <c r="C308" s="189"/>
      <c r="D308" s="185"/>
      <c r="E308" s="186"/>
      <c r="F308" s="187"/>
    </row>
    <row r="309" spans="1:6" x14ac:dyDescent="0.2">
      <c r="A309" s="275"/>
      <c r="B309" s="78"/>
      <c r="C309" s="189"/>
      <c r="D309" s="185"/>
      <c r="E309" s="186"/>
      <c r="F309" s="187"/>
    </row>
    <row r="310" spans="1:6" x14ac:dyDescent="0.2">
      <c r="A310" s="275"/>
      <c r="B310" s="78"/>
      <c r="C310" s="189"/>
      <c r="D310" s="185"/>
      <c r="E310" s="186"/>
      <c r="F310" s="187"/>
    </row>
    <row r="311" spans="1:6" x14ac:dyDescent="0.2">
      <c r="A311" s="275"/>
      <c r="B311" s="78"/>
      <c r="C311" s="189"/>
      <c r="D311" s="185"/>
      <c r="E311" s="186"/>
      <c r="F311" s="187"/>
    </row>
    <row r="312" spans="1:6" x14ac:dyDescent="0.2">
      <c r="A312" s="275"/>
      <c r="B312" s="78"/>
      <c r="C312" s="189"/>
      <c r="D312" s="185"/>
      <c r="E312" s="186"/>
      <c r="F312" s="187"/>
    </row>
    <row r="313" spans="1:6" x14ac:dyDescent="0.2">
      <c r="A313" s="275"/>
      <c r="B313" s="78"/>
      <c r="C313" s="189"/>
      <c r="D313" s="185"/>
      <c r="E313" s="186"/>
      <c r="F313" s="187"/>
    </row>
    <row r="314" spans="1:6" x14ac:dyDescent="0.2">
      <c r="A314" s="275"/>
      <c r="B314" s="78"/>
      <c r="C314" s="189"/>
      <c r="D314" s="185"/>
      <c r="E314" s="186"/>
      <c r="F314" s="187"/>
    </row>
    <row r="315" spans="1:6" x14ac:dyDescent="0.2">
      <c r="A315" s="275"/>
      <c r="B315" s="78"/>
      <c r="C315" s="189"/>
      <c r="D315" s="185"/>
      <c r="E315" s="186"/>
      <c r="F315" s="187"/>
    </row>
    <row r="316" spans="1:6" x14ac:dyDescent="0.2">
      <c r="A316" s="275"/>
      <c r="B316" s="78"/>
      <c r="C316" s="189"/>
      <c r="D316" s="185"/>
      <c r="E316" s="186"/>
      <c r="F316" s="187"/>
    </row>
    <row r="317" spans="1:6" x14ac:dyDescent="0.2">
      <c r="A317" s="275"/>
      <c r="B317" s="78"/>
      <c r="C317" s="189"/>
      <c r="D317" s="185"/>
      <c r="E317" s="186"/>
      <c r="F317" s="187"/>
    </row>
    <row r="318" spans="1:6" x14ac:dyDescent="0.2">
      <c r="A318" s="275"/>
      <c r="B318" s="78"/>
      <c r="C318" s="189"/>
      <c r="D318" s="185"/>
      <c r="E318" s="186"/>
      <c r="F318" s="187"/>
    </row>
    <row r="319" spans="1:6" x14ac:dyDescent="0.2">
      <c r="A319" s="275"/>
      <c r="B319" s="78"/>
      <c r="C319" s="189"/>
      <c r="D319" s="185"/>
      <c r="E319" s="186"/>
      <c r="F319" s="187"/>
    </row>
    <row r="320" spans="1:6" x14ac:dyDescent="0.2">
      <c r="A320" s="275"/>
      <c r="B320" s="78"/>
      <c r="C320" s="189"/>
      <c r="D320" s="185"/>
      <c r="E320" s="186"/>
      <c r="F320" s="187"/>
    </row>
    <row r="321" spans="1:6" x14ac:dyDescent="0.2">
      <c r="A321" s="275"/>
      <c r="B321" s="78"/>
      <c r="C321" s="189"/>
      <c r="D321" s="185"/>
      <c r="E321" s="186"/>
      <c r="F321" s="187"/>
    </row>
    <row r="322" spans="1:6" x14ac:dyDescent="0.2">
      <c r="A322" s="275"/>
      <c r="B322" s="78"/>
      <c r="C322" s="189"/>
      <c r="D322" s="185"/>
      <c r="E322" s="186"/>
      <c r="F322" s="187"/>
    </row>
    <row r="323" spans="1:6" x14ac:dyDescent="0.2">
      <c r="A323" s="275"/>
      <c r="B323" s="78"/>
      <c r="C323" s="189"/>
      <c r="D323" s="185"/>
      <c r="E323" s="186"/>
      <c r="F323" s="187"/>
    </row>
    <row r="324" spans="1:6" x14ac:dyDescent="0.2">
      <c r="A324" s="275"/>
      <c r="B324" s="78"/>
      <c r="C324" s="189"/>
      <c r="D324" s="185"/>
      <c r="E324" s="186"/>
      <c r="F324" s="187"/>
    </row>
    <row r="325" spans="1:6" x14ac:dyDescent="0.2">
      <c r="A325" s="275"/>
      <c r="B325" s="78"/>
      <c r="C325" s="189"/>
      <c r="D325" s="185"/>
      <c r="E325" s="186"/>
      <c r="F325" s="187"/>
    </row>
    <row r="326" spans="1:6" x14ac:dyDescent="0.2">
      <c r="A326" s="275"/>
      <c r="B326" s="78"/>
      <c r="C326" s="189"/>
      <c r="D326" s="185"/>
      <c r="E326" s="186"/>
      <c r="F326" s="187"/>
    </row>
    <row r="327" spans="1:6" x14ac:dyDescent="0.2">
      <c r="A327" s="275"/>
      <c r="B327" s="78"/>
      <c r="C327" s="189"/>
      <c r="D327" s="185"/>
      <c r="E327" s="186"/>
      <c r="F327" s="187"/>
    </row>
    <row r="328" spans="1:6" x14ac:dyDescent="0.2">
      <c r="A328" s="275"/>
      <c r="B328" s="78"/>
      <c r="C328" s="189"/>
      <c r="D328" s="185"/>
      <c r="E328" s="186"/>
      <c r="F328" s="187"/>
    </row>
    <row r="329" spans="1:6" x14ac:dyDescent="0.2">
      <c r="A329" s="275"/>
      <c r="B329" s="78"/>
      <c r="C329" s="189"/>
      <c r="D329" s="185"/>
      <c r="E329" s="186"/>
      <c r="F329" s="187"/>
    </row>
    <row r="330" spans="1:6" x14ac:dyDescent="0.2">
      <c r="A330" s="275"/>
      <c r="B330" s="78"/>
      <c r="C330" s="189"/>
      <c r="D330" s="185"/>
      <c r="E330" s="186"/>
      <c r="F330" s="187"/>
    </row>
    <row r="331" spans="1:6" x14ac:dyDescent="0.2">
      <c r="A331" s="275"/>
      <c r="B331" s="78"/>
      <c r="C331" s="189"/>
      <c r="D331" s="185"/>
      <c r="E331" s="186"/>
      <c r="F331" s="187"/>
    </row>
    <row r="332" spans="1:6" x14ac:dyDescent="0.2">
      <c r="A332" s="275"/>
      <c r="B332" s="78"/>
      <c r="C332" s="189"/>
      <c r="D332" s="185"/>
      <c r="E332" s="186"/>
      <c r="F332" s="187"/>
    </row>
    <row r="333" spans="1:6" x14ac:dyDescent="0.2">
      <c r="A333" s="275"/>
      <c r="B333" s="78"/>
      <c r="C333" s="189"/>
      <c r="D333" s="185"/>
      <c r="E333" s="186"/>
      <c r="F333" s="187"/>
    </row>
    <row r="334" spans="1:6" x14ac:dyDescent="0.2">
      <c r="A334" s="275"/>
      <c r="B334" s="78"/>
      <c r="C334" s="189"/>
      <c r="D334" s="185"/>
      <c r="E334" s="186"/>
      <c r="F334" s="187"/>
    </row>
    <row r="335" spans="1:6" x14ac:dyDescent="0.2">
      <c r="A335" s="275"/>
      <c r="B335" s="78"/>
      <c r="C335" s="189"/>
      <c r="D335" s="185"/>
      <c r="E335" s="186"/>
      <c r="F335" s="187"/>
    </row>
    <row r="336" spans="1:6" x14ac:dyDescent="0.2">
      <c r="A336" s="275"/>
      <c r="B336" s="78"/>
      <c r="C336" s="189"/>
      <c r="D336" s="185"/>
      <c r="E336" s="186"/>
      <c r="F336" s="187"/>
    </row>
    <row r="337" spans="1:6" x14ac:dyDescent="0.2">
      <c r="A337" s="275"/>
      <c r="B337" s="78"/>
      <c r="C337" s="189"/>
      <c r="D337" s="185"/>
      <c r="E337" s="186"/>
      <c r="F337" s="187"/>
    </row>
    <row r="338" spans="1:6" x14ac:dyDescent="0.2">
      <c r="A338" s="275"/>
      <c r="B338" s="78"/>
      <c r="C338" s="189"/>
      <c r="D338" s="185"/>
      <c r="E338" s="186"/>
      <c r="F338" s="187"/>
    </row>
    <row r="339" spans="1:6" x14ac:dyDescent="0.2">
      <c r="A339" s="275"/>
      <c r="B339" s="78"/>
      <c r="C339" s="189"/>
      <c r="D339" s="185"/>
      <c r="E339" s="186"/>
      <c r="F339" s="187"/>
    </row>
    <row r="340" spans="1:6" x14ac:dyDescent="0.2">
      <c r="A340" s="275"/>
      <c r="B340" s="78"/>
      <c r="C340" s="189"/>
      <c r="D340" s="185"/>
      <c r="E340" s="186"/>
      <c r="F340" s="187"/>
    </row>
    <row r="341" spans="1:6" x14ac:dyDescent="0.2">
      <c r="A341" s="275"/>
      <c r="B341" s="78"/>
      <c r="C341" s="189"/>
      <c r="D341" s="185"/>
      <c r="E341" s="186"/>
      <c r="F341" s="187"/>
    </row>
    <row r="342" spans="1:6" x14ac:dyDescent="0.2">
      <c r="A342" s="275"/>
      <c r="B342" s="78"/>
      <c r="C342" s="189"/>
      <c r="D342" s="185"/>
      <c r="E342" s="186"/>
      <c r="F342" s="187"/>
    </row>
    <row r="343" spans="1:6" x14ac:dyDescent="0.2">
      <c r="A343" s="275"/>
      <c r="B343" s="78"/>
      <c r="C343" s="189"/>
      <c r="D343" s="185"/>
      <c r="E343" s="186"/>
      <c r="F343" s="187"/>
    </row>
    <row r="344" spans="1:6" x14ac:dyDescent="0.2">
      <c r="A344" s="275"/>
      <c r="B344" s="78"/>
      <c r="C344" s="189"/>
      <c r="D344" s="185"/>
      <c r="E344" s="186"/>
      <c r="F344" s="187"/>
    </row>
    <row r="345" spans="1:6" x14ac:dyDescent="0.2">
      <c r="A345" s="275"/>
      <c r="B345" s="78"/>
      <c r="C345" s="189"/>
      <c r="D345" s="185"/>
      <c r="E345" s="186"/>
      <c r="F345" s="187"/>
    </row>
    <row r="346" spans="1:6" x14ac:dyDescent="0.2">
      <c r="A346" s="275"/>
      <c r="B346" s="78"/>
      <c r="C346" s="189"/>
      <c r="D346" s="185"/>
      <c r="E346" s="186"/>
      <c r="F346" s="187"/>
    </row>
    <row r="347" spans="1:6" x14ac:dyDescent="0.2">
      <c r="A347" s="275"/>
      <c r="B347" s="78"/>
      <c r="C347" s="189"/>
      <c r="D347" s="185"/>
      <c r="E347" s="186"/>
      <c r="F347" s="187"/>
    </row>
    <row r="348" spans="1:6" x14ac:dyDescent="0.2">
      <c r="A348" s="275"/>
      <c r="B348" s="78"/>
      <c r="C348" s="189"/>
      <c r="D348" s="185"/>
      <c r="E348" s="186"/>
      <c r="F348" s="187"/>
    </row>
    <row r="349" spans="1:6" x14ac:dyDescent="0.2">
      <c r="A349" s="275"/>
      <c r="B349" s="78"/>
      <c r="C349" s="189"/>
      <c r="D349" s="185"/>
      <c r="E349" s="186"/>
      <c r="F349" s="187"/>
    </row>
    <row r="350" spans="1:6" x14ac:dyDescent="0.2">
      <c r="A350" s="275"/>
      <c r="B350" s="78"/>
      <c r="C350" s="189"/>
      <c r="D350" s="185"/>
      <c r="E350" s="186"/>
      <c r="F350" s="187"/>
    </row>
    <row r="351" spans="1:6" x14ac:dyDescent="0.2">
      <c r="A351" s="275"/>
      <c r="B351" s="78"/>
      <c r="C351" s="189"/>
      <c r="D351" s="185"/>
      <c r="E351" s="186"/>
      <c r="F351" s="187"/>
    </row>
    <row r="352" spans="1:6" x14ac:dyDescent="0.2">
      <c r="A352" s="275"/>
      <c r="B352" s="78"/>
      <c r="C352" s="189"/>
      <c r="D352" s="185"/>
      <c r="E352" s="186"/>
      <c r="F352" s="187"/>
    </row>
    <row r="353" spans="1:6" x14ac:dyDescent="0.2">
      <c r="A353" s="275"/>
      <c r="B353" s="78"/>
      <c r="C353" s="189"/>
      <c r="D353" s="185"/>
      <c r="E353" s="186"/>
      <c r="F353" s="187"/>
    </row>
    <row r="354" spans="1:6" x14ac:dyDescent="0.2">
      <c r="A354" s="275"/>
      <c r="B354" s="78"/>
      <c r="C354" s="189"/>
      <c r="D354" s="185"/>
      <c r="E354" s="186"/>
      <c r="F354" s="187"/>
    </row>
    <row r="355" spans="1:6" x14ac:dyDescent="0.2">
      <c r="A355" s="275"/>
      <c r="B355" s="78"/>
      <c r="C355" s="189"/>
      <c r="D355" s="185"/>
      <c r="E355" s="186"/>
      <c r="F355" s="187"/>
    </row>
    <row r="356" spans="1:6" x14ac:dyDescent="0.2">
      <c r="A356" s="275"/>
      <c r="B356" s="78"/>
      <c r="C356" s="189"/>
      <c r="D356" s="185"/>
      <c r="E356" s="186"/>
      <c r="F356" s="187"/>
    </row>
    <row r="357" spans="1:6" x14ac:dyDescent="0.2">
      <c r="A357" s="275"/>
      <c r="B357" s="78"/>
      <c r="C357" s="189"/>
      <c r="D357" s="185"/>
      <c r="E357" s="186"/>
      <c r="F357" s="187"/>
    </row>
    <row r="358" spans="1:6" x14ac:dyDescent="0.2">
      <c r="A358" s="275"/>
      <c r="B358" s="78"/>
      <c r="C358" s="189"/>
      <c r="D358" s="185"/>
      <c r="E358" s="186"/>
      <c r="F358" s="187"/>
    </row>
    <row r="359" spans="1:6" x14ac:dyDescent="0.2">
      <c r="A359" s="275"/>
      <c r="B359" s="78"/>
      <c r="C359" s="189"/>
      <c r="D359" s="185"/>
      <c r="E359" s="186"/>
      <c r="F359" s="187"/>
    </row>
    <row r="360" spans="1:6" x14ac:dyDescent="0.2">
      <c r="A360" s="275"/>
      <c r="B360" s="78"/>
      <c r="C360" s="189"/>
      <c r="D360" s="185"/>
      <c r="E360" s="186"/>
      <c r="F360" s="187"/>
    </row>
    <row r="361" spans="1:6" x14ac:dyDescent="0.2">
      <c r="A361" s="275"/>
      <c r="B361" s="78"/>
      <c r="C361" s="189"/>
      <c r="D361" s="185"/>
      <c r="E361" s="186"/>
      <c r="F361" s="187"/>
    </row>
    <row r="362" spans="1:6" x14ac:dyDescent="0.2">
      <c r="A362" s="275"/>
      <c r="B362" s="78"/>
      <c r="C362" s="189"/>
      <c r="D362" s="185"/>
      <c r="E362" s="186"/>
      <c r="F362" s="187"/>
    </row>
    <row r="363" spans="1:6" x14ac:dyDescent="0.2">
      <c r="A363" s="275"/>
      <c r="B363" s="78"/>
      <c r="C363" s="189"/>
      <c r="D363" s="185"/>
      <c r="E363" s="186"/>
      <c r="F363" s="187"/>
    </row>
    <row r="364" spans="1:6" x14ac:dyDescent="0.2">
      <c r="A364" s="275"/>
      <c r="B364" s="78"/>
      <c r="C364" s="189"/>
      <c r="D364" s="185"/>
      <c r="E364" s="186"/>
      <c r="F364" s="187"/>
    </row>
    <row r="365" spans="1:6" x14ac:dyDescent="0.2">
      <c r="A365" s="275"/>
      <c r="B365" s="78"/>
      <c r="C365" s="189"/>
      <c r="D365" s="185"/>
      <c r="E365" s="186"/>
      <c r="F365" s="187"/>
    </row>
    <row r="366" spans="1:6" x14ac:dyDescent="0.2">
      <c r="A366" s="275"/>
      <c r="B366" s="78"/>
      <c r="C366" s="189"/>
      <c r="D366" s="185"/>
      <c r="E366" s="186"/>
      <c r="F366" s="187"/>
    </row>
    <row r="367" spans="1:6" x14ac:dyDescent="0.2">
      <c r="A367" s="275"/>
      <c r="B367" s="78"/>
      <c r="C367" s="189"/>
      <c r="D367" s="185"/>
      <c r="E367" s="186"/>
      <c r="F367" s="187"/>
    </row>
    <row r="368" spans="1:6" x14ac:dyDescent="0.2">
      <c r="A368" s="275"/>
      <c r="B368" s="78"/>
      <c r="C368" s="189"/>
      <c r="D368" s="185"/>
      <c r="E368" s="186"/>
      <c r="F368" s="187"/>
    </row>
    <row r="369" spans="1:6" x14ac:dyDescent="0.2">
      <c r="A369" s="275"/>
      <c r="B369" s="78"/>
      <c r="C369" s="189"/>
      <c r="D369" s="185"/>
      <c r="E369" s="186"/>
      <c r="F369" s="187"/>
    </row>
    <row r="370" spans="1:6" x14ac:dyDescent="0.2">
      <c r="A370" s="275"/>
      <c r="B370" s="78"/>
      <c r="C370" s="189"/>
      <c r="D370" s="185"/>
      <c r="E370" s="186"/>
      <c r="F370" s="187"/>
    </row>
    <row r="371" spans="1:6" x14ac:dyDescent="0.2">
      <c r="A371" s="275"/>
      <c r="B371" s="78"/>
      <c r="C371" s="189"/>
      <c r="D371" s="185"/>
      <c r="E371" s="186"/>
      <c r="F371" s="187"/>
    </row>
    <row r="372" spans="1:6" x14ac:dyDescent="0.2">
      <c r="A372" s="275"/>
      <c r="B372" s="78"/>
      <c r="C372" s="189"/>
      <c r="D372" s="185"/>
      <c r="E372" s="186"/>
      <c r="F372" s="187"/>
    </row>
    <row r="373" spans="1:6" x14ac:dyDescent="0.2">
      <c r="A373" s="275"/>
      <c r="B373" s="78"/>
      <c r="C373" s="189"/>
      <c r="D373" s="185"/>
      <c r="E373" s="186"/>
      <c r="F373" s="187"/>
    </row>
    <row r="374" spans="1:6" x14ac:dyDescent="0.2">
      <c r="A374" s="275"/>
      <c r="B374" s="78"/>
      <c r="C374" s="189"/>
      <c r="D374" s="185"/>
      <c r="E374" s="186"/>
      <c r="F374" s="187"/>
    </row>
    <row r="375" spans="1:6" x14ac:dyDescent="0.2">
      <c r="A375" s="275"/>
      <c r="B375" s="78"/>
      <c r="C375" s="189"/>
      <c r="D375" s="185"/>
      <c r="E375" s="186"/>
      <c r="F375" s="187"/>
    </row>
    <row r="376" spans="1:6" x14ac:dyDescent="0.2">
      <c r="A376" s="275"/>
      <c r="B376" s="78"/>
      <c r="C376" s="189"/>
      <c r="D376" s="185"/>
      <c r="E376" s="186"/>
      <c r="F376" s="187"/>
    </row>
    <row r="377" spans="1:6" x14ac:dyDescent="0.2">
      <c r="A377" s="275"/>
      <c r="B377" s="78"/>
      <c r="C377" s="189"/>
      <c r="D377" s="185"/>
      <c r="E377" s="186"/>
      <c r="F377" s="187"/>
    </row>
    <row r="378" spans="1:6" x14ac:dyDescent="0.2">
      <c r="A378" s="275"/>
      <c r="B378" s="78"/>
      <c r="C378" s="189"/>
      <c r="D378" s="185"/>
      <c r="E378" s="186"/>
      <c r="F378" s="187"/>
    </row>
    <row r="379" spans="1:6" x14ac:dyDescent="0.2">
      <c r="A379" s="275"/>
      <c r="B379" s="78"/>
      <c r="C379" s="189"/>
      <c r="D379" s="185"/>
      <c r="E379" s="186"/>
      <c r="F379" s="187"/>
    </row>
    <row r="380" spans="1:6" x14ac:dyDescent="0.2">
      <c r="A380" s="275"/>
      <c r="B380" s="78"/>
      <c r="C380" s="189"/>
      <c r="D380" s="185"/>
      <c r="E380" s="186"/>
      <c r="F380" s="187"/>
    </row>
    <row r="381" spans="1:6" x14ac:dyDescent="0.2">
      <c r="A381" s="275"/>
      <c r="B381" s="78"/>
      <c r="C381" s="189"/>
      <c r="D381" s="185"/>
      <c r="E381" s="186"/>
      <c r="F381" s="187"/>
    </row>
    <row r="382" spans="1:6" x14ac:dyDescent="0.2">
      <c r="A382" s="275"/>
      <c r="B382" s="78"/>
      <c r="C382" s="189"/>
      <c r="D382" s="185"/>
      <c r="E382" s="186"/>
      <c r="F382" s="187"/>
    </row>
    <row r="383" spans="1:6" x14ac:dyDescent="0.2">
      <c r="A383" s="275"/>
      <c r="B383" s="78"/>
      <c r="C383" s="189"/>
      <c r="D383" s="185"/>
      <c r="E383" s="186"/>
      <c r="F383" s="187"/>
    </row>
    <row r="384" spans="1:6" x14ac:dyDescent="0.2">
      <c r="A384" s="275"/>
      <c r="B384" s="78"/>
      <c r="C384" s="189"/>
      <c r="D384" s="185"/>
      <c r="E384" s="186"/>
      <c r="F384" s="187"/>
    </row>
    <row r="385" spans="1:6" x14ac:dyDescent="0.2">
      <c r="A385" s="275"/>
      <c r="B385" s="78"/>
      <c r="C385" s="189"/>
      <c r="D385" s="185"/>
      <c r="E385" s="186"/>
      <c r="F385" s="187"/>
    </row>
    <row r="386" spans="1:6" x14ac:dyDescent="0.2">
      <c r="A386" s="275"/>
      <c r="B386" s="78"/>
      <c r="C386" s="189"/>
      <c r="D386" s="185"/>
      <c r="E386" s="186"/>
      <c r="F386" s="187"/>
    </row>
    <row r="387" spans="1:6" x14ac:dyDescent="0.2">
      <c r="A387" s="275"/>
      <c r="B387" s="78"/>
      <c r="C387" s="189"/>
      <c r="D387" s="185"/>
      <c r="E387" s="186"/>
      <c r="F387" s="187"/>
    </row>
    <row r="388" spans="1:6" x14ac:dyDescent="0.2">
      <c r="A388" s="275"/>
      <c r="B388" s="78"/>
      <c r="C388" s="189"/>
      <c r="D388" s="185"/>
      <c r="E388" s="186"/>
      <c r="F388" s="187"/>
    </row>
    <row r="389" spans="1:6" x14ac:dyDescent="0.2">
      <c r="A389" s="275"/>
      <c r="B389" s="78"/>
      <c r="C389" s="189"/>
      <c r="D389" s="185"/>
      <c r="E389" s="186"/>
      <c r="F389" s="187"/>
    </row>
    <row r="390" spans="1:6" x14ac:dyDescent="0.2">
      <c r="A390" s="275"/>
      <c r="B390" s="78"/>
      <c r="C390" s="189"/>
      <c r="D390" s="185"/>
      <c r="E390" s="186"/>
      <c r="F390" s="187"/>
    </row>
    <row r="391" spans="1:6" x14ac:dyDescent="0.2">
      <c r="A391" s="275"/>
      <c r="B391" s="78"/>
      <c r="C391" s="189"/>
      <c r="D391" s="185"/>
      <c r="E391" s="186"/>
      <c r="F391" s="187"/>
    </row>
    <row r="392" spans="1:6" x14ac:dyDescent="0.2">
      <c r="A392" s="275"/>
      <c r="B392" s="78"/>
      <c r="C392" s="189"/>
      <c r="D392" s="185"/>
      <c r="E392" s="186"/>
      <c r="F392" s="187"/>
    </row>
    <row r="393" spans="1:6" x14ac:dyDescent="0.2">
      <c r="A393" s="275"/>
      <c r="B393" s="78"/>
      <c r="C393" s="189"/>
      <c r="D393" s="185"/>
      <c r="E393" s="186"/>
      <c r="F393" s="187"/>
    </row>
    <row r="394" spans="1:6" x14ac:dyDescent="0.2">
      <c r="A394" s="275"/>
      <c r="B394" s="78"/>
      <c r="C394" s="189"/>
      <c r="D394" s="185"/>
      <c r="E394" s="186"/>
      <c r="F394" s="187"/>
    </row>
    <row r="395" spans="1:6" x14ac:dyDescent="0.2">
      <c r="A395" s="275"/>
      <c r="B395" s="78"/>
      <c r="C395" s="189"/>
      <c r="D395" s="185"/>
      <c r="E395" s="186"/>
      <c r="F395" s="187"/>
    </row>
    <row r="396" spans="1:6" x14ac:dyDescent="0.2">
      <c r="A396" s="275"/>
      <c r="B396" s="78"/>
      <c r="C396" s="189"/>
      <c r="D396" s="185"/>
      <c r="E396" s="186"/>
      <c r="F396" s="187"/>
    </row>
    <row r="397" spans="1:6" x14ac:dyDescent="0.2">
      <c r="A397" s="275"/>
      <c r="B397" s="78"/>
      <c r="C397" s="189"/>
      <c r="D397" s="185"/>
      <c r="E397" s="186"/>
      <c r="F397" s="187"/>
    </row>
    <row r="398" spans="1:6" x14ac:dyDescent="0.2">
      <c r="A398" s="275"/>
      <c r="B398" s="78"/>
      <c r="C398" s="189"/>
      <c r="D398" s="185"/>
      <c r="E398" s="186"/>
      <c r="F398" s="187"/>
    </row>
    <row r="399" spans="1:6" x14ac:dyDescent="0.2">
      <c r="A399" s="275"/>
      <c r="B399" s="78"/>
      <c r="C399" s="189"/>
      <c r="D399" s="185"/>
      <c r="E399" s="186"/>
      <c r="F399" s="187"/>
    </row>
    <row r="400" spans="1:6" x14ac:dyDescent="0.2">
      <c r="A400" s="275"/>
      <c r="B400" s="78"/>
      <c r="C400" s="189"/>
      <c r="D400" s="185"/>
      <c r="E400" s="186"/>
      <c r="F400" s="187"/>
    </row>
    <row r="401" spans="1:6" x14ac:dyDescent="0.2">
      <c r="A401" s="275"/>
      <c r="B401" s="78"/>
      <c r="C401" s="189"/>
      <c r="D401" s="185"/>
      <c r="E401" s="186"/>
      <c r="F401" s="187"/>
    </row>
    <row r="402" spans="1:6" x14ac:dyDescent="0.2">
      <c r="A402" s="275"/>
      <c r="B402" s="78"/>
      <c r="C402" s="189"/>
      <c r="D402" s="185"/>
      <c r="E402" s="186"/>
      <c r="F402" s="187"/>
    </row>
    <row r="403" spans="1:6" x14ac:dyDescent="0.2">
      <c r="A403" s="275"/>
      <c r="B403" s="78"/>
      <c r="C403" s="189"/>
      <c r="D403" s="185"/>
      <c r="E403" s="186"/>
      <c r="F403" s="187"/>
    </row>
    <row r="404" spans="1:6" x14ac:dyDescent="0.2">
      <c r="A404" s="275"/>
      <c r="B404" s="78"/>
      <c r="C404" s="189"/>
      <c r="D404" s="185"/>
      <c r="E404" s="186"/>
      <c r="F404" s="187"/>
    </row>
    <row r="405" spans="1:6" x14ac:dyDescent="0.2">
      <c r="A405" s="275"/>
      <c r="B405" s="78"/>
      <c r="C405" s="189"/>
      <c r="D405" s="185"/>
      <c r="E405" s="186"/>
      <c r="F405" s="187"/>
    </row>
    <row r="406" spans="1:6" x14ac:dyDescent="0.2">
      <c r="A406" s="275"/>
      <c r="B406" s="78"/>
      <c r="C406" s="189"/>
      <c r="D406" s="185"/>
      <c r="E406" s="186"/>
      <c r="F406" s="187"/>
    </row>
    <row r="407" spans="1:6" x14ac:dyDescent="0.2">
      <c r="A407" s="275"/>
      <c r="B407" s="78"/>
      <c r="C407" s="189"/>
      <c r="D407" s="185"/>
      <c r="E407" s="186"/>
      <c r="F407" s="187"/>
    </row>
    <row r="408" spans="1:6" x14ac:dyDescent="0.2">
      <c r="A408" s="275"/>
      <c r="B408" s="78"/>
      <c r="C408" s="189"/>
      <c r="D408" s="185"/>
      <c r="E408" s="186"/>
      <c r="F408" s="187"/>
    </row>
    <row r="409" spans="1:6" x14ac:dyDescent="0.2">
      <c r="A409" s="275"/>
      <c r="B409" s="78"/>
      <c r="C409" s="189"/>
      <c r="D409" s="185"/>
      <c r="E409" s="186"/>
      <c r="F409" s="187"/>
    </row>
    <row r="410" spans="1:6" x14ac:dyDescent="0.2">
      <c r="A410" s="275"/>
      <c r="B410" s="78"/>
      <c r="C410" s="189"/>
      <c r="D410" s="185"/>
      <c r="E410" s="186"/>
      <c r="F410" s="187"/>
    </row>
    <row r="411" spans="1:6" x14ac:dyDescent="0.2">
      <c r="A411" s="275"/>
      <c r="B411" s="78"/>
      <c r="C411" s="189"/>
      <c r="D411" s="185"/>
      <c r="E411" s="186"/>
      <c r="F411" s="187"/>
    </row>
    <row r="412" spans="1:6" x14ac:dyDescent="0.2">
      <c r="A412" s="275"/>
      <c r="B412" s="78"/>
      <c r="C412" s="189"/>
      <c r="D412" s="185"/>
      <c r="E412" s="186"/>
      <c r="F412" s="187"/>
    </row>
    <row r="413" spans="1:6" x14ac:dyDescent="0.2">
      <c r="A413" s="275"/>
      <c r="B413" s="78"/>
      <c r="C413" s="189"/>
      <c r="D413" s="185"/>
      <c r="E413" s="186"/>
      <c r="F413" s="187"/>
    </row>
    <row r="414" spans="1:6" x14ac:dyDescent="0.2">
      <c r="A414" s="275"/>
      <c r="B414" s="78"/>
      <c r="C414" s="189"/>
      <c r="D414" s="185"/>
      <c r="E414" s="186"/>
      <c r="F414" s="187"/>
    </row>
    <row r="415" spans="1:6" x14ac:dyDescent="0.2">
      <c r="A415" s="275"/>
      <c r="B415" s="78"/>
      <c r="C415" s="189"/>
      <c r="D415" s="185"/>
      <c r="E415" s="186"/>
      <c r="F415" s="187"/>
    </row>
    <row r="416" spans="1:6" x14ac:dyDescent="0.2">
      <c r="A416" s="275"/>
      <c r="B416" s="78"/>
      <c r="C416" s="189"/>
      <c r="D416" s="185"/>
      <c r="E416" s="186"/>
      <c r="F416" s="187"/>
    </row>
    <row r="417" spans="1:6" x14ac:dyDescent="0.2">
      <c r="A417" s="275"/>
      <c r="B417" s="78"/>
      <c r="C417" s="189"/>
      <c r="D417" s="185"/>
      <c r="E417" s="186"/>
      <c r="F417" s="187"/>
    </row>
    <row r="418" spans="1:6" x14ac:dyDescent="0.2">
      <c r="A418" s="275"/>
      <c r="B418" s="78"/>
      <c r="C418" s="189"/>
      <c r="D418" s="185"/>
      <c r="E418" s="186"/>
      <c r="F418" s="187"/>
    </row>
    <row r="419" spans="1:6" x14ac:dyDescent="0.2">
      <c r="A419" s="275"/>
      <c r="B419" s="78"/>
      <c r="C419" s="189"/>
      <c r="D419" s="185"/>
      <c r="E419" s="186"/>
      <c r="F419" s="187"/>
    </row>
    <row r="420" spans="1:6" x14ac:dyDescent="0.2">
      <c r="A420" s="275"/>
      <c r="B420" s="78"/>
      <c r="C420" s="189"/>
      <c r="D420" s="185"/>
      <c r="E420" s="186"/>
      <c r="F420" s="187"/>
    </row>
    <row r="421" spans="1:6" x14ac:dyDescent="0.2">
      <c r="A421" s="275"/>
      <c r="B421" s="78"/>
      <c r="C421" s="189"/>
      <c r="D421" s="185"/>
      <c r="E421" s="186"/>
      <c r="F421" s="187"/>
    </row>
    <row r="422" spans="1:6" x14ac:dyDescent="0.2">
      <c r="A422" s="275"/>
      <c r="B422" s="78"/>
      <c r="C422" s="189"/>
      <c r="D422" s="185"/>
      <c r="E422" s="186"/>
      <c r="F422" s="187"/>
    </row>
    <row r="423" spans="1:6" x14ac:dyDescent="0.2">
      <c r="A423" s="275"/>
      <c r="B423" s="78"/>
      <c r="C423" s="189"/>
      <c r="D423" s="185"/>
      <c r="E423" s="186"/>
      <c r="F423" s="187"/>
    </row>
    <row r="424" spans="1:6" x14ac:dyDescent="0.2">
      <c r="A424" s="275"/>
      <c r="B424" s="78"/>
      <c r="C424" s="189"/>
      <c r="D424" s="185"/>
      <c r="E424" s="186"/>
      <c r="F424" s="187"/>
    </row>
    <row r="425" spans="1:6" x14ac:dyDescent="0.2">
      <c r="A425" s="275"/>
      <c r="B425" s="78"/>
      <c r="C425" s="189"/>
      <c r="D425" s="185"/>
      <c r="E425" s="186"/>
      <c r="F425" s="187"/>
    </row>
    <row r="426" spans="1:6" x14ac:dyDescent="0.2">
      <c r="A426" s="275"/>
      <c r="B426" s="78"/>
      <c r="C426" s="189"/>
      <c r="D426" s="185"/>
      <c r="E426" s="186"/>
      <c r="F426" s="187"/>
    </row>
    <row r="427" spans="1:6" x14ac:dyDescent="0.2">
      <c r="A427" s="275"/>
      <c r="B427" s="78"/>
      <c r="C427" s="189"/>
      <c r="D427" s="185"/>
      <c r="E427" s="186"/>
      <c r="F427" s="187"/>
    </row>
    <row r="428" spans="1:6" x14ac:dyDescent="0.2">
      <c r="A428" s="275"/>
      <c r="B428" s="78"/>
      <c r="C428" s="189"/>
      <c r="D428" s="185"/>
      <c r="E428" s="186"/>
      <c r="F428" s="187"/>
    </row>
    <row r="429" spans="1:6" x14ac:dyDescent="0.2">
      <c r="A429" s="275"/>
      <c r="B429" s="78"/>
      <c r="C429" s="189"/>
      <c r="D429" s="185"/>
      <c r="E429" s="186"/>
      <c r="F429" s="187"/>
    </row>
    <row r="430" spans="1:6" x14ac:dyDescent="0.2">
      <c r="A430" s="275"/>
      <c r="B430" s="78"/>
      <c r="C430" s="189"/>
      <c r="D430" s="185"/>
      <c r="E430" s="186"/>
      <c r="F430" s="187"/>
    </row>
    <row r="431" spans="1:6" x14ac:dyDescent="0.2">
      <c r="A431" s="275"/>
      <c r="B431" s="78"/>
      <c r="C431" s="189"/>
      <c r="D431" s="185"/>
      <c r="E431" s="186"/>
      <c r="F431" s="187"/>
    </row>
    <row r="432" spans="1:6" x14ac:dyDescent="0.2">
      <c r="A432" s="275"/>
      <c r="B432" s="78"/>
      <c r="C432" s="189"/>
      <c r="D432" s="185"/>
      <c r="E432" s="186"/>
      <c r="F432" s="187"/>
    </row>
    <row r="433" spans="1:6" x14ac:dyDescent="0.2">
      <c r="A433" s="275"/>
      <c r="B433" s="78"/>
      <c r="C433" s="189"/>
      <c r="D433" s="185"/>
      <c r="E433" s="186"/>
      <c r="F433" s="187"/>
    </row>
    <row r="434" spans="1:6" x14ac:dyDescent="0.2">
      <c r="A434" s="275"/>
      <c r="B434" s="78"/>
      <c r="C434" s="189"/>
      <c r="D434" s="185"/>
      <c r="E434" s="186"/>
      <c r="F434" s="187"/>
    </row>
    <row r="435" spans="1:6" x14ac:dyDescent="0.2">
      <c r="A435" s="275"/>
      <c r="B435" s="78"/>
      <c r="C435" s="189"/>
      <c r="D435" s="185"/>
      <c r="E435" s="186"/>
      <c r="F435" s="187"/>
    </row>
    <row r="436" spans="1:6" x14ac:dyDescent="0.2">
      <c r="A436" s="275"/>
      <c r="B436" s="78"/>
      <c r="C436" s="189"/>
      <c r="D436" s="185"/>
      <c r="E436" s="186"/>
      <c r="F436" s="187"/>
    </row>
    <row r="437" spans="1:6" x14ac:dyDescent="0.2">
      <c r="A437" s="275"/>
      <c r="B437" s="78"/>
      <c r="C437" s="189"/>
      <c r="D437" s="185"/>
      <c r="E437" s="186"/>
      <c r="F437" s="187"/>
    </row>
    <row r="438" spans="1:6" x14ac:dyDescent="0.2">
      <c r="A438" s="275"/>
      <c r="B438" s="78"/>
      <c r="C438" s="189"/>
      <c r="D438" s="185"/>
      <c r="E438" s="186"/>
      <c r="F438" s="187"/>
    </row>
    <row r="439" spans="1:6" x14ac:dyDescent="0.2">
      <c r="A439" s="275"/>
      <c r="B439" s="78"/>
      <c r="C439" s="189"/>
      <c r="D439" s="185"/>
      <c r="E439" s="186"/>
      <c r="F439" s="187"/>
    </row>
    <row r="440" spans="1:6" x14ac:dyDescent="0.2">
      <c r="A440" s="275"/>
      <c r="B440" s="78"/>
      <c r="C440" s="189"/>
      <c r="D440" s="185"/>
      <c r="E440" s="186"/>
      <c r="F440" s="187"/>
    </row>
    <row r="441" spans="1:6" x14ac:dyDescent="0.2">
      <c r="A441" s="275"/>
      <c r="B441" s="78"/>
      <c r="C441" s="189"/>
      <c r="D441" s="185"/>
      <c r="E441" s="186"/>
      <c r="F441" s="187"/>
    </row>
    <row r="442" spans="1:6" x14ac:dyDescent="0.2">
      <c r="A442" s="275"/>
      <c r="B442" s="78"/>
      <c r="C442" s="189"/>
      <c r="D442" s="185"/>
      <c r="E442" s="186"/>
      <c r="F442" s="187"/>
    </row>
    <row r="443" spans="1:6" x14ac:dyDescent="0.2">
      <c r="A443" s="275"/>
      <c r="B443" s="78"/>
      <c r="C443" s="189"/>
      <c r="D443" s="185"/>
      <c r="E443" s="186"/>
      <c r="F443" s="187"/>
    </row>
    <row r="444" spans="1:6" x14ac:dyDescent="0.2">
      <c r="A444" s="275"/>
      <c r="B444" s="78"/>
      <c r="C444" s="189"/>
      <c r="D444" s="185"/>
      <c r="E444" s="186"/>
      <c r="F444" s="187"/>
    </row>
    <row r="445" spans="1:6" x14ac:dyDescent="0.2">
      <c r="A445" s="275"/>
      <c r="B445" s="78"/>
      <c r="C445" s="189"/>
      <c r="D445" s="185"/>
      <c r="E445" s="186"/>
      <c r="F445" s="187"/>
    </row>
    <row r="446" spans="1:6" x14ac:dyDescent="0.2">
      <c r="A446" s="275"/>
      <c r="B446" s="78"/>
      <c r="C446" s="189"/>
      <c r="D446" s="185"/>
      <c r="E446" s="186"/>
      <c r="F446" s="187"/>
    </row>
    <row r="447" spans="1:6" x14ac:dyDescent="0.2">
      <c r="A447" s="275"/>
      <c r="B447" s="78"/>
      <c r="C447" s="189"/>
      <c r="D447" s="185"/>
      <c r="E447" s="186"/>
      <c r="F447" s="187"/>
    </row>
    <row r="448" spans="1:6" x14ac:dyDescent="0.2">
      <c r="A448" s="275"/>
      <c r="B448" s="78"/>
      <c r="C448" s="189"/>
      <c r="D448" s="185"/>
      <c r="E448" s="186"/>
      <c r="F448" s="187"/>
    </row>
    <row r="449" spans="1:6" x14ac:dyDescent="0.2">
      <c r="A449" s="275"/>
      <c r="B449" s="78"/>
      <c r="C449" s="189"/>
      <c r="D449" s="185"/>
      <c r="E449" s="186"/>
      <c r="F449" s="187"/>
    </row>
    <row r="450" spans="1:6" x14ac:dyDescent="0.2">
      <c r="A450" s="275"/>
      <c r="B450" s="78"/>
      <c r="C450" s="189"/>
      <c r="D450" s="185"/>
      <c r="E450" s="186"/>
      <c r="F450" s="187"/>
    </row>
    <row r="451" spans="1:6" x14ac:dyDescent="0.2">
      <c r="A451" s="275"/>
      <c r="B451" s="78"/>
      <c r="C451" s="189"/>
      <c r="D451" s="185"/>
      <c r="E451" s="186"/>
      <c r="F451" s="187"/>
    </row>
    <row r="452" spans="1:6" x14ac:dyDescent="0.2">
      <c r="A452" s="275"/>
      <c r="B452" s="78"/>
      <c r="C452" s="189"/>
      <c r="D452" s="185"/>
      <c r="E452" s="186"/>
      <c r="F452" s="187"/>
    </row>
    <row r="453" spans="1:6" x14ac:dyDescent="0.2">
      <c r="A453" s="275"/>
      <c r="B453" s="78"/>
      <c r="C453" s="189"/>
      <c r="D453" s="185"/>
      <c r="E453" s="186"/>
      <c r="F453" s="187"/>
    </row>
    <row r="454" spans="1:6" x14ac:dyDescent="0.2">
      <c r="A454" s="275"/>
      <c r="B454" s="78"/>
      <c r="C454" s="189"/>
      <c r="D454" s="185"/>
      <c r="E454" s="186"/>
      <c r="F454" s="187"/>
    </row>
    <row r="455" spans="1:6" x14ac:dyDescent="0.2">
      <c r="A455" s="275"/>
      <c r="B455" s="78"/>
      <c r="C455" s="189"/>
      <c r="D455" s="185"/>
      <c r="E455" s="186"/>
      <c r="F455" s="187"/>
    </row>
    <row r="456" spans="1:6" x14ac:dyDescent="0.2">
      <c r="A456" s="275"/>
      <c r="B456" s="78"/>
      <c r="C456" s="189"/>
      <c r="D456" s="185"/>
      <c r="E456" s="186"/>
      <c r="F456" s="187"/>
    </row>
    <row r="457" spans="1:6" x14ac:dyDescent="0.2">
      <c r="A457" s="275"/>
      <c r="B457" s="78"/>
      <c r="C457" s="189"/>
      <c r="D457" s="185"/>
      <c r="E457" s="186"/>
      <c r="F457" s="187"/>
    </row>
    <row r="458" spans="1:6" x14ac:dyDescent="0.2">
      <c r="A458" s="275"/>
      <c r="B458" s="78"/>
      <c r="C458" s="189"/>
      <c r="D458" s="185"/>
      <c r="E458" s="186"/>
      <c r="F458" s="187"/>
    </row>
    <row r="459" spans="1:6" x14ac:dyDescent="0.2">
      <c r="A459" s="275"/>
      <c r="B459" s="78"/>
      <c r="C459" s="189"/>
      <c r="D459" s="185"/>
      <c r="E459" s="186"/>
      <c r="F459" s="187"/>
    </row>
    <row r="460" spans="1:6" x14ac:dyDescent="0.2">
      <c r="A460" s="275"/>
      <c r="B460" s="78"/>
      <c r="C460" s="189"/>
      <c r="D460" s="185"/>
      <c r="E460" s="186"/>
      <c r="F460" s="187"/>
    </row>
    <row r="461" spans="1:6" x14ac:dyDescent="0.2">
      <c r="A461" s="275"/>
      <c r="B461" s="78"/>
      <c r="C461" s="189"/>
      <c r="D461" s="185"/>
      <c r="E461" s="186"/>
      <c r="F461" s="187"/>
    </row>
    <row r="462" spans="1:6" x14ac:dyDescent="0.2">
      <c r="A462" s="275"/>
      <c r="B462" s="78"/>
      <c r="C462" s="189"/>
      <c r="D462" s="185"/>
      <c r="E462" s="186"/>
      <c r="F462" s="187"/>
    </row>
    <row r="463" spans="1:6" x14ac:dyDescent="0.2">
      <c r="A463" s="275"/>
      <c r="B463" s="78"/>
      <c r="C463" s="189"/>
      <c r="D463" s="185"/>
      <c r="E463" s="186"/>
      <c r="F463" s="187"/>
    </row>
    <row r="464" spans="1:6" x14ac:dyDescent="0.2">
      <c r="A464" s="275"/>
      <c r="B464" s="78"/>
      <c r="C464" s="189"/>
      <c r="D464" s="185"/>
      <c r="E464" s="186"/>
      <c r="F464" s="187"/>
    </row>
    <row r="465" spans="1:6" x14ac:dyDescent="0.2">
      <c r="A465" s="275"/>
      <c r="B465" s="78"/>
      <c r="C465" s="189"/>
      <c r="D465" s="185"/>
      <c r="E465" s="186"/>
      <c r="F465" s="187"/>
    </row>
    <row r="466" spans="1:6" x14ac:dyDescent="0.2">
      <c r="A466" s="275"/>
      <c r="B466" s="78"/>
      <c r="C466" s="189"/>
      <c r="D466" s="185"/>
      <c r="E466" s="186"/>
      <c r="F466" s="187"/>
    </row>
    <row r="467" spans="1:6" x14ac:dyDescent="0.2">
      <c r="A467" s="275"/>
      <c r="B467" s="78"/>
      <c r="C467" s="189"/>
      <c r="D467" s="185"/>
      <c r="E467" s="186"/>
      <c r="F467" s="187"/>
    </row>
    <row r="468" spans="1:6" x14ac:dyDescent="0.2">
      <c r="A468" s="275"/>
      <c r="B468" s="78"/>
      <c r="C468" s="189"/>
      <c r="D468" s="185"/>
      <c r="E468" s="186"/>
      <c r="F468" s="187"/>
    </row>
    <row r="469" spans="1:6" x14ac:dyDescent="0.2">
      <c r="A469" s="275"/>
      <c r="B469" s="78"/>
      <c r="C469" s="189"/>
      <c r="D469" s="185"/>
      <c r="E469" s="186"/>
      <c r="F469" s="187"/>
    </row>
    <row r="470" spans="1:6" x14ac:dyDescent="0.2">
      <c r="A470" s="275"/>
      <c r="B470" s="78"/>
      <c r="C470" s="189"/>
      <c r="D470" s="185"/>
      <c r="E470" s="186"/>
      <c r="F470" s="187"/>
    </row>
    <row r="471" spans="1:6" x14ac:dyDescent="0.2">
      <c r="A471" s="275"/>
      <c r="B471" s="78"/>
      <c r="C471" s="189"/>
      <c r="D471" s="185"/>
      <c r="E471" s="186"/>
      <c r="F471" s="187"/>
    </row>
    <row r="472" spans="1:6" x14ac:dyDescent="0.2">
      <c r="A472" s="275"/>
      <c r="B472" s="78"/>
      <c r="C472" s="189"/>
      <c r="D472" s="185"/>
      <c r="E472" s="186"/>
      <c r="F472" s="187"/>
    </row>
    <row r="473" spans="1:6" x14ac:dyDescent="0.2">
      <c r="A473" s="275"/>
      <c r="B473" s="78"/>
      <c r="C473" s="189"/>
      <c r="D473" s="185"/>
      <c r="E473" s="186"/>
      <c r="F473" s="187"/>
    </row>
    <row r="474" spans="1:6" x14ac:dyDescent="0.2">
      <c r="A474" s="275"/>
      <c r="B474" s="78"/>
      <c r="C474" s="189"/>
      <c r="D474" s="185"/>
      <c r="E474" s="186"/>
      <c r="F474" s="187"/>
    </row>
    <row r="475" spans="1:6" x14ac:dyDescent="0.2">
      <c r="A475" s="275"/>
      <c r="B475" s="78"/>
      <c r="C475" s="189"/>
      <c r="D475" s="185"/>
      <c r="E475" s="186"/>
      <c r="F475" s="187"/>
    </row>
    <row r="476" spans="1:6" x14ac:dyDescent="0.2">
      <c r="A476" s="275"/>
      <c r="B476" s="78"/>
      <c r="C476" s="189"/>
      <c r="D476" s="185"/>
      <c r="E476" s="186"/>
      <c r="F476" s="187"/>
    </row>
    <row r="477" spans="1:6" x14ac:dyDescent="0.2">
      <c r="A477" s="275"/>
      <c r="B477" s="78"/>
      <c r="C477" s="189"/>
      <c r="D477" s="185"/>
      <c r="E477" s="186"/>
      <c r="F477" s="187"/>
    </row>
    <row r="478" spans="1:6" x14ac:dyDescent="0.2">
      <c r="A478" s="275"/>
      <c r="B478" s="78"/>
      <c r="C478" s="189"/>
      <c r="D478" s="185"/>
      <c r="E478" s="186"/>
      <c r="F478" s="187"/>
    </row>
    <row r="479" spans="1:6" x14ac:dyDescent="0.2">
      <c r="A479" s="275"/>
      <c r="B479" s="78"/>
      <c r="C479" s="189"/>
      <c r="D479" s="185"/>
      <c r="E479" s="186"/>
      <c r="F479" s="187"/>
    </row>
    <row r="480" spans="1:6" x14ac:dyDescent="0.2">
      <c r="A480" s="275"/>
      <c r="B480" s="78"/>
      <c r="C480" s="189"/>
      <c r="D480" s="185"/>
      <c r="E480" s="186"/>
      <c r="F480" s="187"/>
    </row>
    <row r="481" spans="1:6" x14ac:dyDescent="0.2">
      <c r="A481" s="275"/>
      <c r="B481" s="78"/>
      <c r="C481" s="189"/>
      <c r="D481" s="185"/>
      <c r="E481" s="186"/>
      <c r="F481" s="187"/>
    </row>
    <row r="482" spans="1:6" x14ac:dyDescent="0.2">
      <c r="A482" s="275"/>
      <c r="B482" s="78"/>
      <c r="C482" s="189"/>
      <c r="D482" s="185"/>
      <c r="E482" s="186"/>
      <c r="F482" s="187"/>
    </row>
    <row r="483" spans="1:6" x14ac:dyDescent="0.2">
      <c r="A483" s="275"/>
      <c r="B483" s="78"/>
      <c r="C483" s="189"/>
      <c r="D483" s="185"/>
      <c r="E483" s="186"/>
      <c r="F483" s="187"/>
    </row>
    <row r="484" spans="1:6" x14ac:dyDescent="0.2">
      <c r="A484" s="275"/>
      <c r="B484" s="78"/>
      <c r="C484" s="189"/>
      <c r="D484" s="185"/>
      <c r="E484" s="186"/>
      <c r="F484" s="187"/>
    </row>
    <row r="485" spans="1:6" x14ac:dyDescent="0.2">
      <c r="A485" s="275"/>
      <c r="B485" s="78"/>
      <c r="C485" s="189"/>
      <c r="D485" s="185"/>
      <c r="E485" s="186"/>
      <c r="F485" s="187"/>
    </row>
    <row r="486" spans="1:6" x14ac:dyDescent="0.2">
      <c r="A486" s="275"/>
      <c r="B486" s="78"/>
      <c r="C486" s="189"/>
      <c r="D486" s="185"/>
      <c r="E486" s="186"/>
      <c r="F486" s="187"/>
    </row>
    <row r="487" spans="1:6" x14ac:dyDescent="0.2">
      <c r="A487" s="275"/>
      <c r="B487" s="78"/>
      <c r="C487" s="189"/>
      <c r="D487" s="185"/>
      <c r="E487" s="186"/>
      <c r="F487" s="187"/>
    </row>
    <row r="488" spans="1:6" x14ac:dyDescent="0.2">
      <c r="A488" s="275"/>
      <c r="B488" s="78"/>
      <c r="C488" s="189"/>
      <c r="D488" s="185"/>
      <c r="E488" s="186"/>
      <c r="F488" s="187"/>
    </row>
    <row r="489" spans="1:6" x14ac:dyDescent="0.2">
      <c r="A489" s="275"/>
      <c r="B489" s="78"/>
      <c r="C489" s="189"/>
      <c r="D489" s="185"/>
      <c r="E489" s="186"/>
      <c r="F489" s="187"/>
    </row>
    <row r="490" spans="1:6" x14ac:dyDescent="0.2">
      <c r="A490" s="275"/>
      <c r="B490" s="78"/>
      <c r="C490" s="189"/>
      <c r="D490" s="185"/>
      <c r="E490" s="186"/>
      <c r="F490" s="187"/>
    </row>
    <row r="491" spans="1:6" x14ac:dyDescent="0.2">
      <c r="A491" s="275"/>
      <c r="B491" s="78"/>
      <c r="C491" s="189"/>
      <c r="D491" s="185"/>
      <c r="E491" s="186"/>
      <c r="F491" s="187"/>
    </row>
    <row r="492" spans="1:6" x14ac:dyDescent="0.2">
      <c r="A492" s="275"/>
      <c r="B492" s="78"/>
      <c r="C492" s="189"/>
      <c r="D492" s="185"/>
      <c r="E492" s="186"/>
      <c r="F492" s="187"/>
    </row>
    <row r="493" spans="1:6" x14ac:dyDescent="0.2">
      <c r="A493" s="275"/>
      <c r="B493" s="78"/>
      <c r="C493" s="189"/>
      <c r="D493" s="185"/>
      <c r="E493" s="186"/>
      <c r="F493" s="187"/>
    </row>
    <row r="494" spans="1:6" x14ac:dyDescent="0.2">
      <c r="A494" s="275"/>
      <c r="B494" s="78"/>
      <c r="C494" s="189"/>
      <c r="D494" s="185"/>
      <c r="E494" s="186"/>
      <c r="F494" s="187"/>
    </row>
    <row r="495" spans="1:6" x14ac:dyDescent="0.2">
      <c r="A495" s="275"/>
      <c r="B495" s="78"/>
      <c r="C495" s="189"/>
      <c r="D495" s="185"/>
      <c r="E495" s="186"/>
      <c r="F495" s="187"/>
    </row>
    <row r="496" spans="1:6" x14ac:dyDescent="0.2">
      <c r="A496" s="275"/>
      <c r="B496" s="78"/>
      <c r="C496" s="189"/>
      <c r="D496" s="185"/>
      <c r="E496" s="186"/>
      <c r="F496" s="187"/>
    </row>
    <row r="497" spans="1:6" x14ac:dyDescent="0.2">
      <c r="A497" s="275"/>
      <c r="B497" s="78"/>
      <c r="C497" s="189"/>
      <c r="D497" s="185"/>
      <c r="E497" s="186"/>
      <c r="F497" s="187"/>
    </row>
    <row r="498" spans="1:6" x14ac:dyDescent="0.2">
      <c r="A498" s="275"/>
      <c r="B498" s="78"/>
      <c r="C498" s="189"/>
      <c r="D498" s="185"/>
      <c r="E498" s="186"/>
      <c r="F498" s="187"/>
    </row>
    <row r="499" spans="1:6" x14ac:dyDescent="0.2">
      <c r="A499" s="275"/>
      <c r="B499" s="78"/>
      <c r="C499" s="189"/>
      <c r="D499" s="185"/>
      <c r="E499" s="186"/>
      <c r="F499" s="187"/>
    </row>
    <row r="500" spans="1:6" x14ac:dyDescent="0.2">
      <c r="A500" s="275"/>
      <c r="B500" s="78"/>
      <c r="C500" s="189"/>
      <c r="D500" s="185"/>
      <c r="E500" s="186"/>
      <c r="F500" s="187"/>
    </row>
    <row r="501" spans="1:6" x14ac:dyDescent="0.2">
      <c r="A501" s="275"/>
      <c r="B501" s="78"/>
      <c r="C501" s="189"/>
      <c r="D501" s="185"/>
      <c r="E501" s="186"/>
      <c r="F501" s="187"/>
    </row>
    <row r="502" spans="1:6" x14ac:dyDescent="0.2">
      <c r="A502" s="275"/>
      <c r="B502" s="78"/>
      <c r="C502" s="189"/>
      <c r="D502" s="185"/>
      <c r="E502" s="186"/>
      <c r="F502" s="187"/>
    </row>
    <row r="503" spans="1:6" x14ac:dyDescent="0.2">
      <c r="A503" s="275"/>
      <c r="B503" s="78"/>
      <c r="C503" s="189"/>
      <c r="D503" s="185"/>
      <c r="E503" s="186"/>
      <c r="F503" s="187"/>
    </row>
    <row r="504" spans="1:6" x14ac:dyDescent="0.2">
      <c r="A504" s="275"/>
      <c r="B504" s="78"/>
      <c r="C504" s="189"/>
      <c r="D504" s="185"/>
      <c r="E504" s="186"/>
      <c r="F504" s="187"/>
    </row>
    <row r="505" spans="1:6" x14ac:dyDescent="0.2">
      <c r="A505" s="275"/>
      <c r="B505" s="78"/>
      <c r="C505" s="189"/>
      <c r="D505" s="185"/>
      <c r="E505" s="186"/>
      <c r="F505" s="187"/>
    </row>
    <row r="506" spans="1:6" x14ac:dyDescent="0.2">
      <c r="A506" s="275"/>
      <c r="B506" s="78"/>
      <c r="C506" s="189"/>
      <c r="D506" s="185"/>
      <c r="E506" s="186"/>
      <c r="F506" s="187"/>
    </row>
    <row r="507" spans="1:6" x14ac:dyDescent="0.2">
      <c r="A507" s="275"/>
      <c r="B507" s="78"/>
      <c r="C507" s="189"/>
      <c r="D507" s="185"/>
      <c r="E507" s="186"/>
      <c r="F507" s="187"/>
    </row>
    <row r="508" spans="1:6" x14ac:dyDescent="0.2">
      <c r="A508" s="275"/>
      <c r="B508" s="78"/>
      <c r="C508" s="189"/>
      <c r="D508" s="185"/>
      <c r="E508" s="186"/>
      <c r="F508" s="187"/>
    </row>
    <row r="509" spans="1:6" x14ac:dyDescent="0.2">
      <c r="A509" s="275"/>
      <c r="B509" s="78"/>
      <c r="C509" s="189"/>
      <c r="D509" s="185"/>
      <c r="E509" s="186"/>
      <c r="F509" s="187"/>
    </row>
    <row r="510" spans="1:6" x14ac:dyDescent="0.2">
      <c r="A510" s="275"/>
      <c r="B510" s="78"/>
      <c r="C510" s="189"/>
      <c r="D510" s="185"/>
      <c r="E510" s="186"/>
      <c r="F510" s="187"/>
    </row>
    <row r="511" spans="1:6" x14ac:dyDescent="0.2">
      <c r="A511" s="275"/>
      <c r="B511" s="78"/>
      <c r="C511" s="189"/>
      <c r="D511" s="185"/>
      <c r="E511" s="186"/>
      <c r="F511" s="187"/>
    </row>
    <row r="512" spans="1:6" x14ac:dyDescent="0.2">
      <c r="A512" s="275"/>
      <c r="B512" s="78"/>
      <c r="C512" s="189"/>
      <c r="D512" s="185"/>
      <c r="E512" s="186"/>
      <c r="F512" s="187"/>
    </row>
    <row r="513" spans="1:6" x14ac:dyDescent="0.2">
      <c r="A513" s="275"/>
      <c r="B513" s="78"/>
      <c r="C513" s="189"/>
      <c r="D513" s="185"/>
      <c r="E513" s="186"/>
      <c r="F513" s="187"/>
    </row>
    <row r="514" spans="1:6" x14ac:dyDescent="0.2">
      <c r="A514" s="275"/>
      <c r="B514" s="78"/>
      <c r="C514" s="189"/>
      <c r="D514" s="185"/>
      <c r="E514" s="186"/>
      <c r="F514" s="187"/>
    </row>
    <row r="515" spans="1:6" x14ac:dyDescent="0.2">
      <c r="A515" s="275"/>
      <c r="B515" s="78"/>
      <c r="C515" s="189"/>
      <c r="D515" s="185"/>
      <c r="E515" s="186"/>
      <c r="F515" s="187"/>
    </row>
    <row r="516" spans="1:6" x14ac:dyDescent="0.2">
      <c r="A516" s="275"/>
      <c r="B516" s="78"/>
      <c r="C516" s="189"/>
      <c r="D516" s="185"/>
      <c r="E516" s="186"/>
      <c r="F516" s="187"/>
    </row>
    <row r="517" spans="1:6" x14ac:dyDescent="0.2">
      <c r="A517" s="275"/>
      <c r="B517" s="78"/>
      <c r="C517" s="189"/>
      <c r="D517" s="185"/>
      <c r="E517" s="186"/>
      <c r="F517" s="187"/>
    </row>
    <row r="518" spans="1:6" x14ac:dyDescent="0.2">
      <c r="A518" s="275"/>
      <c r="B518" s="78"/>
      <c r="C518" s="189"/>
      <c r="D518" s="185"/>
      <c r="E518" s="186"/>
      <c r="F518" s="187"/>
    </row>
    <row r="519" spans="1:6" x14ac:dyDescent="0.2">
      <c r="A519" s="275"/>
      <c r="B519" s="78"/>
      <c r="C519" s="189"/>
      <c r="D519" s="185"/>
      <c r="E519" s="186"/>
      <c r="F519" s="187"/>
    </row>
    <row r="520" spans="1:6" x14ac:dyDescent="0.2">
      <c r="A520" s="275"/>
      <c r="B520" s="78"/>
      <c r="C520" s="189"/>
      <c r="D520" s="185"/>
      <c r="E520" s="186"/>
      <c r="F520" s="187"/>
    </row>
    <row r="521" spans="1:6" x14ac:dyDescent="0.2">
      <c r="A521" s="275"/>
      <c r="B521" s="78"/>
      <c r="C521" s="189"/>
      <c r="D521" s="185"/>
      <c r="E521" s="186"/>
      <c r="F521" s="187"/>
    </row>
    <row r="522" spans="1:6" x14ac:dyDescent="0.2">
      <c r="A522" s="275"/>
      <c r="B522" s="78"/>
      <c r="C522" s="189"/>
      <c r="D522" s="185"/>
      <c r="E522" s="186"/>
      <c r="F522" s="187"/>
    </row>
    <row r="523" spans="1:6" x14ac:dyDescent="0.2">
      <c r="A523" s="275"/>
      <c r="B523" s="78"/>
      <c r="C523" s="189"/>
      <c r="D523" s="185"/>
      <c r="E523" s="186"/>
      <c r="F523" s="187"/>
    </row>
    <row r="524" spans="1:6" x14ac:dyDescent="0.2">
      <c r="A524" s="275"/>
      <c r="B524" s="78"/>
      <c r="C524" s="189"/>
      <c r="D524" s="185"/>
      <c r="E524" s="186"/>
      <c r="F524" s="187"/>
    </row>
    <row r="525" spans="1:6" x14ac:dyDescent="0.2">
      <c r="A525" s="275"/>
      <c r="B525" s="78"/>
      <c r="C525" s="189"/>
      <c r="D525" s="185"/>
      <c r="E525" s="186"/>
      <c r="F525" s="187"/>
    </row>
    <row r="526" spans="1:6" x14ac:dyDescent="0.2">
      <c r="A526" s="275"/>
      <c r="B526" s="78"/>
      <c r="C526" s="189"/>
      <c r="D526" s="185"/>
      <c r="E526" s="186"/>
      <c r="F526" s="187"/>
    </row>
    <row r="527" spans="1:6" x14ac:dyDescent="0.2">
      <c r="A527" s="275"/>
      <c r="B527" s="78"/>
      <c r="C527" s="189"/>
      <c r="D527" s="185"/>
      <c r="E527" s="186"/>
      <c r="F527" s="187"/>
    </row>
    <row r="528" spans="1:6" x14ac:dyDescent="0.2">
      <c r="A528" s="275"/>
      <c r="B528" s="78"/>
      <c r="C528" s="189"/>
      <c r="D528" s="185"/>
      <c r="E528" s="186"/>
      <c r="F528" s="187"/>
    </row>
    <row r="529" spans="1:6" x14ac:dyDescent="0.2">
      <c r="A529" s="275"/>
      <c r="B529" s="78"/>
      <c r="C529" s="189"/>
      <c r="D529" s="185"/>
      <c r="E529" s="186"/>
      <c r="F529" s="187"/>
    </row>
    <row r="530" spans="1:6" x14ac:dyDescent="0.2">
      <c r="A530" s="275"/>
      <c r="B530" s="78"/>
      <c r="C530" s="189"/>
      <c r="D530" s="185"/>
      <c r="E530" s="186"/>
      <c r="F530" s="187"/>
    </row>
    <row r="531" spans="1:6" x14ac:dyDescent="0.2">
      <c r="A531" s="275"/>
      <c r="B531" s="78"/>
      <c r="C531" s="189"/>
      <c r="D531" s="185"/>
      <c r="E531" s="186"/>
      <c r="F531" s="187"/>
    </row>
    <row r="532" spans="1:6" x14ac:dyDescent="0.2">
      <c r="A532" s="275"/>
      <c r="B532" s="78"/>
      <c r="C532" s="189"/>
      <c r="D532" s="185"/>
      <c r="E532" s="186"/>
      <c r="F532" s="187"/>
    </row>
    <row r="533" spans="1:6" x14ac:dyDescent="0.2">
      <c r="A533" s="275"/>
      <c r="B533" s="78"/>
      <c r="C533" s="189"/>
      <c r="D533" s="185"/>
      <c r="E533" s="186"/>
      <c r="F533" s="187"/>
    </row>
    <row r="534" spans="1:6" x14ac:dyDescent="0.2">
      <c r="A534" s="275"/>
      <c r="B534" s="78"/>
      <c r="C534" s="189"/>
      <c r="D534" s="185"/>
      <c r="E534" s="186"/>
      <c r="F534" s="187"/>
    </row>
    <row r="535" spans="1:6" x14ac:dyDescent="0.2">
      <c r="A535" s="275"/>
      <c r="B535" s="78"/>
      <c r="C535" s="189"/>
      <c r="D535" s="185"/>
      <c r="E535" s="186"/>
      <c r="F535" s="187"/>
    </row>
    <row r="536" spans="1:6" x14ac:dyDescent="0.2">
      <c r="A536" s="275"/>
      <c r="B536" s="78"/>
      <c r="C536" s="189"/>
      <c r="D536" s="185"/>
      <c r="E536" s="186"/>
      <c r="F536" s="187"/>
    </row>
    <row r="537" spans="1:6" x14ac:dyDescent="0.2">
      <c r="A537" s="275"/>
      <c r="B537" s="78"/>
      <c r="C537" s="189"/>
      <c r="D537" s="185"/>
      <c r="E537" s="186"/>
      <c r="F537" s="187"/>
    </row>
    <row r="538" spans="1:6" x14ac:dyDescent="0.2">
      <c r="A538" s="275"/>
      <c r="B538" s="78"/>
      <c r="C538" s="189"/>
      <c r="D538" s="185"/>
      <c r="E538" s="186"/>
      <c r="F538" s="187"/>
    </row>
    <row r="539" spans="1:6" x14ac:dyDescent="0.2">
      <c r="A539" s="275"/>
      <c r="B539" s="78"/>
      <c r="C539" s="189"/>
      <c r="D539" s="185"/>
      <c r="E539" s="186"/>
      <c r="F539" s="187"/>
    </row>
    <row r="540" spans="1:6" x14ac:dyDescent="0.2">
      <c r="A540" s="275"/>
      <c r="B540" s="78"/>
      <c r="C540" s="189"/>
      <c r="D540" s="185"/>
      <c r="E540" s="186"/>
      <c r="F540" s="187"/>
    </row>
    <row r="541" spans="1:6" x14ac:dyDescent="0.2">
      <c r="A541" s="275"/>
      <c r="B541" s="78"/>
      <c r="C541" s="189"/>
      <c r="D541" s="185"/>
      <c r="E541" s="186"/>
      <c r="F541" s="187"/>
    </row>
    <row r="542" spans="1:6" x14ac:dyDescent="0.2">
      <c r="A542" s="275"/>
      <c r="B542" s="78"/>
      <c r="C542" s="189"/>
      <c r="D542" s="185"/>
      <c r="E542" s="186"/>
      <c r="F542" s="187"/>
    </row>
    <row r="543" spans="1:6" x14ac:dyDescent="0.2">
      <c r="A543" s="275"/>
      <c r="B543" s="78"/>
      <c r="C543" s="189"/>
      <c r="D543" s="185"/>
      <c r="E543" s="186"/>
      <c r="F543" s="187"/>
    </row>
    <row r="544" spans="1:6" x14ac:dyDescent="0.2">
      <c r="A544" s="275"/>
      <c r="B544" s="78"/>
      <c r="C544" s="189"/>
      <c r="D544" s="185"/>
      <c r="E544" s="186"/>
      <c r="F544" s="187"/>
    </row>
    <row r="545" spans="1:6" x14ac:dyDescent="0.2">
      <c r="A545" s="275"/>
      <c r="B545" s="78"/>
      <c r="C545" s="189"/>
      <c r="D545" s="185"/>
      <c r="E545" s="186"/>
      <c r="F545" s="187"/>
    </row>
    <row r="546" spans="1:6" x14ac:dyDescent="0.2">
      <c r="A546" s="275"/>
      <c r="B546" s="78"/>
      <c r="C546" s="189"/>
      <c r="D546" s="185"/>
      <c r="E546" s="186"/>
      <c r="F546" s="187"/>
    </row>
    <row r="547" spans="1:6" x14ac:dyDescent="0.2">
      <c r="A547" s="275"/>
      <c r="B547" s="78"/>
      <c r="C547" s="189"/>
      <c r="D547" s="185"/>
      <c r="E547" s="186"/>
      <c r="F547" s="187"/>
    </row>
    <row r="548" spans="1:6" x14ac:dyDescent="0.2">
      <c r="A548" s="275"/>
      <c r="B548" s="78"/>
      <c r="C548" s="189"/>
      <c r="D548" s="185"/>
      <c r="E548" s="186"/>
      <c r="F548" s="187"/>
    </row>
    <row r="549" spans="1:6" x14ac:dyDescent="0.2">
      <c r="A549" s="275"/>
      <c r="B549" s="78"/>
      <c r="C549" s="189"/>
      <c r="D549" s="185"/>
      <c r="E549" s="186"/>
      <c r="F549" s="187"/>
    </row>
    <row r="550" spans="1:6" x14ac:dyDescent="0.2">
      <c r="A550" s="275"/>
      <c r="B550" s="78"/>
      <c r="C550" s="189"/>
      <c r="D550" s="185"/>
      <c r="E550" s="186"/>
      <c r="F550" s="187"/>
    </row>
    <row r="551" spans="1:6" x14ac:dyDescent="0.2">
      <c r="A551" s="275"/>
      <c r="B551" s="78"/>
      <c r="C551" s="189"/>
      <c r="D551" s="185"/>
      <c r="E551" s="186"/>
      <c r="F551" s="187"/>
    </row>
    <row r="552" spans="1:6" x14ac:dyDescent="0.2">
      <c r="A552" s="275"/>
      <c r="B552" s="78"/>
      <c r="C552" s="189"/>
      <c r="D552" s="185"/>
      <c r="E552" s="186"/>
      <c r="F552" s="187"/>
    </row>
    <row r="553" spans="1:6" x14ac:dyDescent="0.2">
      <c r="A553" s="275"/>
      <c r="B553" s="78"/>
      <c r="C553" s="189"/>
      <c r="D553" s="185"/>
      <c r="E553" s="186"/>
      <c r="F553" s="187"/>
    </row>
    <row r="554" spans="1:6" x14ac:dyDescent="0.2">
      <c r="A554" s="275"/>
      <c r="B554" s="78"/>
      <c r="C554" s="189"/>
      <c r="D554" s="185"/>
      <c r="E554" s="186"/>
      <c r="F554" s="187"/>
    </row>
    <row r="555" spans="1:6" x14ac:dyDescent="0.2">
      <c r="A555" s="275"/>
      <c r="B555" s="78"/>
      <c r="C555" s="189"/>
      <c r="D555" s="185"/>
      <c r="E555" s="186"/>
      <c r="F555" s="187"/>
    </row>
    <row r="556" spans="1:6" x14ac:dyDescent="0.2">
      <c r="A556" s="275"/>
      <c r="B556" s="78"/>
      <c r="C556" s="189"/>
      <c r="D556" s="185"/>
      <c r="E556" s="186"/>
      <c r="F556" s="187"/>
    </row>
    <row r="557" spans="1:6" x14ac:dyDescent="0.2">
      <c r="A557" s="275"/>
      <c r="B557" s="78"/>
      <c r="C557" s="189"/>
      <c r="D557" s="185"/>
      <c r="E557" s="186"/>
      <c r="F557" s="187"/>
    </row>
    <row r="558" spans="1:6" x14ac:dyDescent="0.2">
      <c r="A558" s="275"/>
      <c r="B558" s="78"/>
      <c r="C558" s="189"/>
      <c r="D558" s="185"/>
      <c r="E558" s="186"/>
      <c r="F558" s="187"/>
    </row>
    <row r="559" spans="1:6" x14ac:dyDescent="0.2">
      <c r="A559" s="275"/>
      <c r="B559" s="78"/>
      <c r="C559" s="189"/>
      <c r="D559" s="185"/>
      <c r="E559" s="186"/>
      <c r="F559" s="187"/>
    </row>
    <row r="560" spans="1:6" x14ac:dyDescent="0.2">
      <c r="A560" s="275"/>
      <c r="B560" s="78"/>
      <c r="C560" s="189"/>
      <c r="D560" s="185"/>
      <c r="E560" s="186"/>
      <c r="F560" s="187"/>
    </row>
    <row r="561" spans="1:6" x14ac:dyDescent="0.2">
      <c r="A561" s="275"/>
      <c r="B561" s="78"/>
      <c r="C561" s="189"/>
      <c r="D561" s="185"/>
      <c r="E561" s="186"/>
      <c r="F561" s="187"/>
    </row>
    <row r="562" spans="1:6" x14ac:dyDescent="0.2">
      <c r="A562" s="275"/>
      <c r="B562" s="78"/>
      <c r="C562" s="189"/>
      <c r="D562" s="185"/>
      <c r="E562" s="186"/>
      <c r="F562" s="187"/>
    </row>
    <row r="563" spans="1:6" x14ac:dyDescent="0.2">
      <c r="A563" s="275"/>
      <c r="B563" s="78"/>
      <c r="C563" s="189"/>
      <c r="D563" s="185"/>
      <c r="E563" s="186"/>
      <c r="F563" s="187"/>
    </row>
    <row r="564" spans="1:6" x14ac:dyDescent="0.2">
      <c r="A564" s="275"/>
      <c r="B564" s="78"/>
      <c r="C564" s="189"/>
      <c r="D564" s="185"/>
      <c r="E564" s="186"/>
      <c r="F564" s="187"/>
    </row>
    <row r="565" spans="1:6" x14ac:dyDescent="0.2">
      <c r="A565" s="275"/>
      <c r="B565" s="78"/>
      <c r="C565" s="189"/>
      <c r="D565" s="185"/>
      <c r="E565" s="186"/>
      <c r="F565" s="187"/>
    </row>
    <row r="566" spans="1:6" x14ac:dyDescent="0.2">
      <c r="A566" s="275"/>
      <c r="B566" s="78"/>
      <c r="C566" s="189"/>
      <c r="D566" s="185"/>
      <c r="E566" s="186"/>
      <c r="F566" s="187"/>
    </row>
    <row r="567" spans="1:6" x14ac:dyDescent="0.2">
      <c r="A567" s="275"/>
      <c r="B567" s="78"/>
      <c r="C567" s="189"/>
      <c r="D567" s="185"/>
      <c r="E567" s="186"/>
      <c r="F567" s="187"/>
    </row>
    <row r="568" spans="1:6" x14ac:dyDescent="0.2">
      <c r="A568" s="275"/>
      <c r="B568" s="78"/>
      <c r="C568" s="189"/>
      <c r="D568" s="185"/>
      <c r="E568" s="186"/>
      <c r="F568" s="187"/>
    </row>
    <row r="569" spans="1:6" x14ac:dyDescent="0.2">
      <c r="A569" s="275"/>
      <c r="B569" s="78"/>
      <c r="C569" s="189"/>
      <c r="D569" s="185"/>
      <c r="E569" s="186"/>
      <c r="F569" s="187"/>
    </row>
    <row r="570" spans="1:6" x14ac:dyDescent="0.2">
      <c r="A570" s="275"/>
      <c r="B570" s="78"/>
      <c r="C570" s="189"/>
      <c r="D570" s="185"/>
      <c r="E570" s="186"/>
      <c r="F570" s="187"/>
    </row>
    <row r="571" spans="1:6" x14ac:dyDescent="0.2">
      <c r="A571" s="275"/>
      <c r="B571" s="78"/>
      <c r="C571" s="189"/>
      <c r="D571" s="185"/>
      <c r="E571" s="186"/>
      <c r="F571" s="187"/>
    </row>
    <row r="572" spans="1:6" x14ac:dyDescent="0.2">
      <c r="A572" s="275"/>
      <c r="B572" s="78"/>
      <c r="C572" s="189"/>
      <c r="D572" s="185"/>
      <c r="E572" s="186"/>
      <c r="F572" s="187"/>
    </row>
    <row r="573" spans="1:6" x14ac:dyDescent="0.2">
      <c r="A573" s="275"/>
      <c r="B573" s="78"/>
      <c r="C573" s="189"/>
      <c r="D573" s="185"/>
      <c r="E573" s="186"/>
      <c r="F573" s="187"/>
    </row>
    <row r="574" spans="1:6" x14ac:dyDescent="0.2">
      <c r="A574" s="275"/>
      <c r="B574" s="78"/>
      <c r="C574" s="189"/>
      <c r="D574" s="185"/>
      <c r="E574" s="186"/>
      <c r="F574" s="187"/>
    </row>
    <row r="575" spans="1:6" x14ac:dyDescent="0.2">
      <c r="A575" s="275"/>
      <c r="B575" s="78"/>
      <c r="C575" s="189"/>
      <c r="D575" s="185"/>
      <c r="E575" s="186"/>
      <c r="F575" s="187"/>
    </row>
    <row r="576" spans="1:6" x14ac:dyDescent="0.2">
      <c r="A576" s="275"/>
      <c r="B576" s="78"/>
      <c r="C576" s="189"/>
      <c r="D576" s="185"/>
      <c r="E576" s="186"/>
      <c r="F576" s="187"/>
    </row>
    <row r="577" spans="1:6" x14ac:dyDescent="0.2">
      <c r="A577" s="275"/>
      <c r="B577" s="78"/>
      <c r="C577" s="189"/>
      <c r="D577" s="185"/>
      <c r="E577" s="186"/>
      <c r="F577" s="187"/>
    </row>
    <row r="578" spans="1:6" x14ac:dyDescent="0.2">
      <c r="A578" s="275"/>
      <c r="B578" s="78"/>
      <c r="C578" s="189"/>
      <c r="D578" s="185"/>
      <c r="E578" s="186"/>
      <c r="F578" s="187"/>
    </row>
    <row r="579" spans="1:6" x14ac:dyDescent="0.2">
      <c r="A579" s="275"/>
      <c r="B579" s="78"/>
      <c r="C579" s="189"/>
      <c r="D579" s="185"/>
      <c r="E579" s="186"/>
      <c r="F579" s="187"/>
    </row>
    <row r="580" spans="1:6" x14ac:dyDescent="0.2">
      <c r="A580" s="275"/>
      <c r="B580" s="78"/>
      <c r="C580" s="189"/>
      <c r="D580" s="185"/>
      <c r="E580" s="186"/>
      <c r="F580" s="187"/>
    </row>
    <row r="581" spans="1:6" x14ac:dyDescent="0.2">
      <c r="A581" s="275"/>
      <c r="B581" s="78"/>
      <c r="C581" s="189"/>
      <c r="D581" s="185"/>
      <c r="E581" s="186"/>
      <c r="F581" s="187"/>
    </row>
    <row r="582" spans="1:6" x14ac:dyDescent="0.2">
      <c r="A582" s="275"/>
      <c r="B582" s="78"/>
      <c r="C582" s="189"/>
      <c r="D582" s="185"/>
      <c r="E582" s="186"/>
      <c r="F582" s="187"/>
    </row>
    <row r="583" spans="1:6" x14ac:dyDescent="0.2">
      <c r="A583" s="275"/>
      <c r="B583" s="78"/>
      <c r="C583" s="189"/>
      <c r="D583" s="185"/>
      <c r="E583" s="186"/>
      <c r="F583" s="187"/>
    </row>
    <row r="584" spans="1:6" x14ac:dyDescent="0.2">
      <c r="A584" s="275"/>
      <c r="B584" s="78"/>
      <c r="C584" s="189"/>
      <c r="D584" s="185"/>
      <c r="E584" s="186"/>
      <c r="F584" s="187"/>
    </row>
    <row r="585" spans="1:6" x14ac:dyDescent="0.2">
      <c r="A585" s="275"/>
      <c r="B585" s="78"/>
      <c r="C585" s="189"/>
      <c r="D585" s="185"/>
      <c r="E585" s="186"/>
      <c r="F585" s="187"/>
    </row>
    <row r="586" spans="1:6" x14ac:dyDescent="0.2">
      <c r="A586" s="275"/>
      <c r="B586" s="78"/>
      <c r="C586" s="189"/>
      <c r="D586" s="185"/>
      <c r="E586" s="186"/>
      <c r="F586" s="187"/>
    </row>
    <row r="587" spans="1:6" x14ac:dyDescent="0.2">
      <c r="A587" s="275"/>
      <c r="B587" s="78"/>
      <c r="C587" s="189"/>
      <c r="D587" s="185"/>
      <c r="E587" s="186"/>
      <c r="F587" s="187"/>
    </row>
    <row r="588" spans="1:6" x14ac:dyDescent="0.2">
      <c r="A588" s="275"/>
      <c r="B588" s="78"/>
      <c r="C588" s="189"/>
      <c r="D588" s="185"/>
      <c r="E588" s="186"/>
      <c r="F588" s="187"/>
    </row>
    <row r="589" spans="1:6" x14ac:dyDescent="0.2">
      <c r="A589" s="275"/>
      <c r="B589" s="78"/>
      <c r="C589" s="189"/>
      <c r="D589" s="185"/>
      <c r="E589" s="186"/>
      <c r="F589" s="187"/>
    </row>
    <row r="590" spans="1:6" x14ac:dyDescent="0.2">
      <c r="A590" s="275"/>
      <c r="B590" s="78"/>
      <c r="C590" s="189"/>
      <c r="D590" s="185"/>
      <c r="E590" s="186"/>
      <c r="F590" s="187"/>
    </row>
    <row r="591" spans="1:6" x14ac:dyDescent="0.2">
      <c r="A591" s="275"/>
      <c r="B591" s="78"/>
      <c r="C591" s="189"/>
      <c r="D591" s="185"/>
      <c r="E591" s="186"/>
      <c r="F591" s="187"/>
    </row>
    <row r="592" spans="1:6" x14ac:dyDescent="0.2">
      <c r="A592" s="275"/>
      <c r="B592" s="78"/>
      <c r="C592" s="189"/>
      <c r="D592" s="185"/>
      <c r="E592" s="186"/>
      <c r="F592" s="187"/>
    </row>
    <row r="593" spans="1:6" x14ac:dyDescent="0.2">
      <c r="A593" s="275"/>
      <c r="B593" s="78"/>
      <c r="C593" s="189"/>
      <c r="D593" s="185"/>
      <c r="E593" s="186"/>
      <c r="F593" s="187"/>
    </row>
    <row r="594" spans="1:6" x14ac:dyDescent="0.2">
      <c r="A594" s="275"/>
      <c r="B594" s="78"/>
      <c r="C594" s="189"/>
      <c r="D594" s="185"/>
      <c r="E594" s="186"/>
      <c r="F594" s="187"/>
    </row>
    <row r="595" spans="1:6" x14ac:dyDescent="0.2">
      <c r="A595" s="275"/>
      <c r="B595" s="78"/>
      <c r="C595" s="189"/>
      <c r="D595" s="185"/>
      <c r="E595" s="186"/>
      <c r="F595" s="187"/>
    </row>
    <row r="596" spans="1:6" x14ac:dyDescent="0.2">
      <c r="A596" s="275"/>
      <c r="B596" s="78"/>
      <c r="C596" s="189"/>
      <c r="D596" s="185"/>
      <c r="E596" s="186"/>
      <c r="F596" s="187"/>
    </row>
    <row r="597" spans="1:6" x14ac:dyDescent="0.2">
      <c r="A597" s="275"/>
      <c r="B597" s="78"/>
      <c r="C597" s="189"/>
      <c r="D597" s="185"/>
      <c r="E597" s="186"/>
      <c r="F597" s="187"/>
    </row>
    <row r="598" spans="1:6" x14ac:dyDescent="0.2">
      <c r="A598" s="275"/>
      <c r="B598" s="78"/>
      <c r="C598" s="189"/>
      <c r="D598" s="185"/>
      <c r="E598" s="186"/>
      <c r="F598" s="187"/>
    </row>
    <row r="599" spans="1:6" x14ac:dyDescent="0.2">
      <c r="A599" s="275"/>
      <c r="B599" s="78"/>
      <c r="C599" s="189"/>
      <c r="D599" s="185"/>
      <c r="E599" s="186"/>
      <c r="F599" s="187"/>
    </row>
    <row r="600" spans="1:6" x14ac:dyDescent="0.2">
      <c r="A600" s="275"/>
      <c r="B600" s="78"/>
      <c r="C600" s="189"/>
      <c r="D600" s="185"/>
      <c r="E600" s="186"/>
      <c r="F600" s="187"/>
    </row>
    <row r="601" spans="1:6" x14ac:dyDescent="0.2">
      <c r="A601" s="275"/>
      <c r="B601" s="78"/>
      <c r="C601" s="189"/>
      <c r="D601" s="185"/>
      <c r="E601" s="186"/>
      <c r="F601" s="187"/>
    </row>
    <row r="602" spans="1:6" x14ac:dyDescent="0.2">
      <c r="A602" s="275"/>
      <c r="B602" s="78"/>
      <c r="C602" s="189"/>
      <c r="D602" s="185"/>
      <c r="E602" s="186"/>
      <c r="F602" s="187"/>
    </row>
    <row r="603" spans="1:6" x14ac:dyDescent="0.2">
      <c r="A603" s="275"/>
      <c r="B603" s="78"/>
      <c r="C603" s="189"/>
      <c r="D603" s="185"/>
      <c r="E603" s="186"/>
      <c r="F603" s="187"/>
    </row>
    <row r="604" spans="1:6" x14ac:dyDescent="0.2">
      <c r="A604" s="275"/>
      <c r="B604" s="78"/>
      <c r="C604" s="189"/>
      <c r="D604" s="185"/>
      <c r="E604" s="186"/>
      <c r="F604" s="187"/>
    </row>
    <row r="605" spans="1:6" x14ac:dyDescent="0.2">
      <c r="A605" s="275"/>
      <c r="B605" s="78"/>
      <c r="C605" s="189"/>
      <c r="D605" s="185"/>
      <c r="E605" s="186"/>
      <c r="F605" s="187"/>
    </row>
    <row r="606" spans="1:6" x14ac:dyDescent="0.2">
      <c r="A606" s="275"/>
      <c r="B606" s="78"/>
      <c r="C606" s="189"/>
      <c r="D606" s="185"/>
      <c r="E606" s="186"/>
      <c r="F606" s="187"/>
    </row>
    <row r="607" spans="1:6" x14ac:dyDescent="0.2">
      <c r="A607" s="275"/>
      <c r="B607" s="78"/>
      <c r="C607" s="189"/>
      <c r="D607" s="185"/>
      <c r="E607" s="186"/>
      <c r="F607" s="187"/>
    </row>
    <row r="608" spans="1:6" x14ac:dyDescent="0.2">
      <c r="A608" s="275"/>
      <c r="B608" s="78"/>
      <c r="C608" s="189"/>
      <c r="D608" s="185"/>
      <c r="E608" s="186"/>
      <c r="F608" s="187"/>
    </row>
    <row r="609" spans="1:6" x14ac:dyDescent="0.2">
      <c r="A609" s="275"/>
      <c r="B609" s="78"/>
      <c r="C609" s="189"/>
      <c r="D609" s="185"/>
      <c r="E609" s="186"/>
      <c r="F609" s="187"/>
    </row>
    <row r="610" spans="1:6" x14ac:dyDescent="0.2">
      <c r="A610" s="275"/>
      <c r="B610" s="78"/>
      <c r="C610" s="189"/>
      <c r="D610" s="185"/>
      <c r="E610" s="186"/>
      <c r="F610" s="187"/>
    </row>
    <row r="611" spans="1:6" x14ac:dyDescent="0.2">
      <c r="A611" s="275"/>
      <c r="B611" s="78"/>
      <c r="C611" s="189"/>
      <c r="D611" s="185"/>
      <c r="E611" s="186"/>
      <c r="F611" s="187"/>
    </row>
    <row r="612" spans="1:6" x14ac:dyDescent="0.2">
      <c r="A612" s="275"/>
      <c r="B612" s="78"/>
      <c r="C612" s="189"/>
      <c r="D612" s="185"/>
      <c r="E612" s="186"/>
      <c r="F612" s="187"/>
    </row>
    <row r="613" spans="1:6" x14ac:dyDescent="0.2">
      <c r="A613" s="275"/>
      <c r="B613" s="78"/>
      <c r="C613" s="189"/>
      <c r="D613" s="185"/>
      <c r="E613" s="186"/>
      <c r="F613" s="187"/>
    </row>
    <row r="614" spans="1:6" x14ac:dyDescent="0.2">
      <c r="A614" s="275"/>
      <c r="B614" s="78"/>
      <c r="C614" s="189"/>
      <c r="D614" s="185"/>
      <c r="E614" s="186"/>
      <c r="F614" s="187"/>
    </row>
    <row r="615" spans="1:6" x14ac:dyDescent="0.2">
      <c r="A615" s="275"/>
      <c r="B615" s="78"/>
      <c r="C615" s="189"/>
      <c r="D615" s="185"/>
      <c r="E615" s="186"/>
      <c r="F615" s="187"/>
    </row>
    <row r="616" spans="1:6" x14ac:dyDescent="0.2">
      <c r="A616" s="275"/>
      <c r="B616" s="78"/>
      <c r="C616" s="189"/>
      <c r="D616" s="185"/>
      <c r="E616" s="186"/>
      <c r="F616" s="187"/>
    </row>
    <row r="617" spans="1:6" x14ac:dyDescent="0.2">
      <c r="A617" s="275"/>
      <c r="B617" s="78"/>
      <c r="C617" s="189"/>
      <c r="D617" s="185"/>
      <c r="E617" s="186"/>
      <c r="F617" s="187"/>
    </row>
    <row r="618" spans="1:6" x14ac:dyDescent="0.2">
      <c r="A618" s="275"/>
      <c r="B618" s="78"/>
      <c r="C618" s="189"/>
      <c r="D618" s="185"/>
      <c r="E618" s="186"/>
      <c r="F618" s="187"/>
    </row>
    <row r="619" spans="1:6" x14ac:dyDescent="0.2">
      <c r="A619" s="275"/>
      <c r="B619" s="78"/>
      <c r="C619" s="189"/>
      <c r="D619" s="185"/>
      <c r="E619" s="186"/>
      <c r="F619" s="187"/>
    </row>
    <row r="620" spans="1:6" x14ac:dyDescent="0.2">
      <c r="A620" s="275"/>
      <c r="B620" s="78"/>
      <c r="C620" s="189"/>
      <c r="D620" s="185"/>
      <c r="E620" s="186"/>
      <c r="F620" s="187"/>
    </row>
    <row r="621" spans="1:6" x14ac:dyDescent="0.2">
      <c r="A621" s="275"/>
      <c r="B621" s="78"/>
      <c r="C621" s="189"/>
      <c r="D621" s="185"/>
      <c r="E621" s="186"/>
      <c r="F621" s="187"/>
    </row>
    <row r="622" spans="1:6" x14ac:dyDescent="0.2">
      <c r="A622" s="275"/>
      <c r="B622" s="78"/>
      <c r="C622" s="189"/>
      <c r="D622" s="185"/>
      <c r="E622" s="186"/>
      <c r="F622" s="187"/>
    </row>
    <row r="623" spans="1:6" x14ac:dyDescent="0.2">
      <c r="A623" s="275"/>
      <c r="B623" s="78"/>
      <c r="C623" s="189"/>
      <c r="D623" s="185"/>
      <c r="E623" s="186"/>
      <c r="F623" s="187"/>
    </row>
    <row r="624" spans="1:6" x14ac:dyDescent="0.2">
      <c r="A624" s="275"/>
      <c r="B624" s="78"/>
      <c r="C624" s="189"/>
      <c r="D624" s="185"/>
      <c r="E624" s="186"/>
      <c r="F624" s="187"/>
    </row>
    <row r="625" spans="1:6" x14ac:dyDescent="0.2">
      <c r="A625" s="275"/>
      <c r="B625" s="78"/>
      <c r="C625" s="189"/>
      <c r="D625" s="185"/>
      <c r="E625" s="186"/>
      <c r="F625" s="187"/>
    </row>
    <row r="626" spans="1:6" x14ac:dyDescent="0.2">
      <c r="A626" s="275"/>
      <c r="B626" s="78"/>
      <c r="C626" s="189"/>
      <c r="D626" s="185"/>
      <c r="E626" s="186"/>
      <c r="F626" s="187"/>
    </row>
    <row r="627" spans="1:6" x14ac:dyDescent="0.2">
      <c r="A627" s="275"/>
      <c r="B627" s="78"/>
      <c r="C627" s="189"/>
      <c r="D627" s="185"/>
      <c r="E627" s="186"/>
      <c r="F627" s="187"/>
    </row>
    <row r="628" spans="1:6" x14ac:dyDescent="0.2">
      <c r="A628" s="275"/>
      <c r="B628" s="78"/>
      <c r="C628" s="189"/>
      <c r="D628" s="185"/>
      <c r="E628" s="186"/>
      <c r="F628" s="187"/>
    </row>
    <row r="629" spans="1:6" x14ac:dyDescent="0.2">
      <c r="A629" s="275"/>
      <c r="B629" s="78"/>
      <c r="C629" s="189"/>
      <c r="D629" s="185"/>
      <c r="E629" s="186"/>
      <c r="F629" s="187"/>
    </row>
    <row r="630" spans="1:6" x14ac:dyDescent="0.2">
      <c r="A630" s="275"/>
      <c r="B630" s="78"/>
      <c r="C630" s="189"/>
      <c r="D630" s="185"/>
      <c r="E630" s="186"/>
      <c r="F630" s="187"/>
    </row>
    <row r="631" spans="1:6" x14ac:dyDescent="0.2">
      <c r="A631" s="275"/>
      <c r="B631" s="78"/>
      <c r="C631" s="189"/>
      <c r="D631" s="185"/>
      <c r="E631" s="186"/>
      <c r="F631" s="187"/>
    </row>
    <row r="632" spans="1:6" x14ac:dyDescent="0.2">
      <c r="A632" s="275"/>
      <c r="B632" s="78"/>
      <c r="C632" s="189"/>
      <c r="D632" s="185"/>
      <c r="E632" s="186"/>
      <c r="F632" s="187"/>
    </row>
    <row r="633" spans="1:6" x14ac:dyDescent="0.2">
      <c r="A633" s="275"/>
      <c r="B633" s="78"/>
      <c r="C633" s="189"/>
      <c r="D633" s="185"/>
      <c r="E633" s="186"/>
      <c r="F633" s="187"/>
    </row>
    <row r="634" spans="1:6" x14ac:dyDescent="0.2">
      <c r="A634" s="275"/>
      <c r="B634" s="78"/>
      <c r="C634" s="189"/>
      <c r="D634" s="185"/>
      <c r="E634" s="186"/>
      <c r="F634" s="187"/>
    </row>
    <row r="635" spans="1:6" x14ac:dyDescent="0.2">
      <c r="A635" s="275"/>
      <c r="B635" s="78"/>
      <c r="C635" s="189"/>
      <c r="D635" s="185"/>
      <c r="E635" s="186"/>
      <c r="F635" s="187"/>
    </row>
    <row r="636" spans="1:6" x14ac:dyDescent="0.2">
      <c r="A636" s="275"/>
      <c r="B636" s="78"/>
      <c r="C636" s="189"/>
      <c r="D636" s="185"/>
      <c r="E636" s="186"/>
      <c r="F636" s="187"/>
    </row>
    <row r="637" spans="1:6" x14ac:dyDescent="0.2">
      <c r="A637" s="275"/>
      <c r="B637" s="78"/>
      <c r="C637" s="189"/>
      <c r="D637" s="185"/>
      <c r="E637" s="186"/>
      <c r="F637" s="187"/>
    </row>
    <row r="638" spans="1:6" x14ac:dyDescent="0.2">
      <c r="A638" s="275"/>
      <c r="B638" s="78"/>
      <c r="C638" s="189"/>
      <c r="D638" s="185"/>
      <c r="E638" s="186"/>
      <c r="F638" s="187"/>
    </row>
    <row r="639" spans="1:6" x14ac:dyDescent="0.2">
      <c r="A639" s="275"/>
      <c r="B639" s="78"/>
      <c r="C639" s="189"/>
      <c r="D639" s="185"/>
      <c r="E639" s="186"/>
      <c r="F639" s="187"/>
    </row>
    <row r="640" spans="1:6" x14ac:dyDescent="0.2">
      <c r="A640" s="275"/>
      <c r="B640" s="78"/>
      <c r="C640" s="189"/>
      <c r="D640" s="185"/>
      <c r="E640" s="186"/>
      <c r="F640" s="187"/>
    </row>
    <row r="641" spans="1:6" x14ac:dyDescent="0.2">
      <c r="A641" s="275"/>
      <c r="B641" s="78"/>
      <c r="C641" s="189"/>
      <c r="D641" s="185"/>
      <c r="E641" s="186"/>
      <c r="F641" s="187"/>
    </row>
    <row r="642" spans="1:6" x14ac:dyDescent="0.2">
      <c r="A642" s="275"/>
      <c r="B642" s="78"/>
      <c r="C642" s="189"/>
      <c r="D642" s="185"/>
      <c r="E642" s="186"/>
      <c r="F642" s="187"/>
    </row>
    <row r="643" spans="1:6" x14ac:dyDescent="0.2">
      <c r="A643" s="275"/>
      <c r="B643" s="78"/>
      <c r="C643" s="189"/>
      <c r="D643" s="185"/>
      <c r="E643" s="186"/>
      <c r="F643" s="187"/>
    </row>
    <row r="644" spans="1:6" x14ac:dyDescent="0.2">
      <c r="A644" s="275"/>
      <c r="B644" s="78"/>
      <c r="C644" s="189"/>
      <c r="D644" s="185"/>
      <c r="E644" s="186"/>
      <c r="F644" s="187"/>
    </row>
    <row r="645" spans="1:6" x14ac:dyDescent="0.2">
      <c r="A645" s="275"/>
      <c r="B645" s="78"/>
      <c r="C645" s="189"/>
      <c r="D645" s="185"/>
      <c r="E645" s="186"/>
      <c r="F645" s="187"/>
    </row>
    <row r="646" spans="1:6" x14ac:dyDescent="0.2">
      <c r="A646" s="275"/>
      <c r="B646" s="78"/>
      <c r="C646" s="189"/>
      <c r="D646" s="185"/>
      <c r="E646" s="186"/>
      <c r="F646" s="187"/>
    </row>
    <row r="647" spans="1:6" x14ac:dyDescent="0.2">
      <c r="A647" s="275"/>
      <c r="B647" s="78"/>
      <c r="C647" s="189"/>
      <c r="D647" s="185"/>
      <c r="E647" s="186"/>
      <c r="F647" s="187"/>
    </row>
    <row r="648" spans="1:6" x14ac:dyDescent="0.2">
      <c r="A648" s="275"/>
      <c r="B648" s="78"/>
      <c r="C648" s="189"/>
      <c r="D648" s="185"/>
      <c r="E648" s="186"/>
      <c r="F648" s="187"/>
    </row>
    <row r="649" spans="1:6" x14ac:dyDescent="0.2">
      <c r="A649" s="275"/>
      <c r="B649" s="78"/>
      <c r="C649" s="189"/>
      <c r="D649" s="185"/>
      <c r="E649" s="186"/>
      <c r="F649" s="187"/>
    </row>
    <row r="650" spans="1:6" x14ac:dyDescent="0.2">
      <c r="A650" s="275"/>
      <c r="B650" s="78"/>
      <c r="C650" s="189"/>
      <c r="D650" s="185"/>
      <c r="E650" s="186"/>
      <c r="F650" s="187"/>
    </row>
    <row r="651" spans="1:6" x14ac:dyDescent="0.2">
      <c r="A651" s="275"/>
      <c r="B651" s="78"/>
      <c r="C651" s="189"/>
      <c r="D651" s="185"/>
      <c r="E651" s="186"/>
      <c r="F651" s="187"/>
    </row>
    <row r="652" spans="1:6" x14ac:dyDescent="0.2">
      <c r="A652" s="275"/>
      <c r="B652" s="78"/>
      <c r="C652" s="189"/>
      <c r="D652" s="185"/>
      <c r="E652" s="186"/>
      <c r="F652" s="187"/>
    </row>
    <row r="653" spans="1:6" x14ac:dyDescent="0.2">
      <c r="A653" s="275"/>
      <c r="B653" s="78"/>
      <c r="C653" s="189"/>
      <c r="D653" s="185"/>
      <c r="E653" s="186"/>
      <c r="F653" s="187"/>
    </row>
    <row r="654" spans="1:6" x14ac:dyDescent="0.2">
      <c r="A654" s="275"/>
      <c r="B654" s="78"/>
      <c r="C654" s="189"/>
      <c r="D654" s="185"/>
      <c r="E654" s="186"/>
      <c r="F654" s="187"/>
    </row>
    <row r="655" spans="1:6" x14ac:dyDescent="0.2">
      <c r="A655" s="275"/>
      <c r="B655" s="78"/>
      <c r="C655" s="189"/>
      <c r="D655" s="185"/>
      <c r="E655" s="186"/>
      <c r="F655" s="187"/>
    </row>
    <row r="656" spans="1:6" x14ac:dyDescent="0.2">
      <c r="A656" s="275"/>
      <c r="B656" s="78"/>
      <c r="C656" s="189"/>
      <c r="D656" s="185"/>
      <c r="E656" s="186"/>
      <c r="F656" s="187"/>
    </row>
    <row r="657" spans="1:6" x14ac:dyDescent="0.2">
      <c r="A657" s="275"/>
      <c r="B657" s="78"/>
      <c r="C657" s="189"/>
      <c r="D657" s="185"/>
      <c r="E657" s="186"/>
      <c r="F657" s="187"/>
    </row>
    <row r="658" spans="1:6" x14ac:dyDescent="0.2">
      <c r="A658" s="275"/>
      <c r="B658" s="78"/>
      <c r="C658" s="189"/>
      <c r="D658" s="185"/>
      <c r="E658" s="186"/>
      <c r="F658" s="187"/>
    </row>
    <row r="659" spans="1:6" x14ac:dyDescent="0.2">
      <c r="A659" s="275"/>
      <c r="B659" s="78"/>
      <c r="C659" s="189"/>
      <c r="D659" s="185"/>
      <c r="E659" s="186"/>
      <c r="F659" s="187"/>
    </row>
    <row r="660" spans="1:6" x14ac:dyDescent="0.2">
      <c r="A660" s="275"/>
      <c r="B660" s="78"/>
      <c r="C660" s="189"/>
      <c r="D660" s="185"/>
      <c r="E660" s="186"/>
      <c r="F660" s="187"/>
    </row>
    <row r="661" spans="1:6" x14ac:dyDescent="0.2">
      <c r="A661" s="275"/>
      <c r="B661" s="78"/>
      <c r="C661" s="189"/>
      <c r="D661" s="185"/>
      <c r="E661" s="186"/>
      <c r="F661" s="187"/>
    </row>
    <row r="662" spans="1:6" x14ac:dyDescent="0.2">
      <c r="A662" s="275"/>
      <c r="B662" s="78"/>
      <c r="C662" s="189"/>
      <c r="D662" s="185"/>
      <c r="E662" s="186"/>
      <c r="F662" s="187"/>
    </row>
    <row r="663" spans="1:6" x14ac:dyDescent="0.2">
      <c r="A663" s="275"/>
      <c r="B663" s="78"/>
      <c r="C663" s="189"/>
      <c r="D663" s="185"/>
      <c r="E663" s="186"/>
      <c r="F663" s="187"/>
    </row>
    <row r="664" spans="1:6" x14ac:dyDescent="0.2">
      <c r="A664" s="275"/>
      <c r="B664" s="78"/>
      <c r="C664" s="189"/>
      <c r="D664" s="185"/>
      <c r="E664" s="186"/>
      <c r="F664" s="187"/>
    </row>
    <row r="665" spans="1:6" x14ac:dyDescent="0.2">
      <c r="A665" s="275"/>
      <c r="B665" s="78"/>
      <c r="C665" s="189"/>
      <c r="D665" s="185"/>
      <c r="E665" s="186"/>
      <c r="F665" s="187"/>
    </row>
    <row r="666" spans="1:6" x14ac:dyDescent="0.2">
      <c r="A666" s="275"/>
      <c r="B666" s="78"/>
      <c r="C666" s="189"/>
      <c r="D666" s="185"/>
      <c r="E666" s="186"/>
      <c r="F666" s="187"/>
    </row>
    <row r="667" spans="1:6" x14ac:dyDescent="0.2">
      <c r="A667" s="275"/>
      <c r="B667" s="78"/>
      <c r="C667" s="189"/>
      <c r="D667" s="185"/>
      <c r="E667" s="186"/>
      <c r="F667" s="187"/>
    </row>
    <row r="668" spans="1:6" x14ac:dyDescent="0.2">
      <c r="A668" s="275"/>
      <c r="B668" s="78"/>
      <c r="C668" s="189"/>
      <c r="D668" s="185"/>
      <c r="E668" s="186"/>
      <c r="F668" s="187"/>
    </row>
    <row r="669" spans="1:6" x14ac:dyDescent="0.2">
      <c r="A669" s="275"/>
      <c r="B669" s="78"/>
      <c r="C669" s="189"/>
      <c r="D669" s="185"/>
      <c r="E669" s="186"/>
      <c r="F669" s="187"/>
    </row>
    <row r="670" spans="1:6" x14ac:dyDescent="0.2">
      <c r="A670" s="275"/>
      <c r="B670" s="78"/>
      <c r="C670" s="189"/>
      <c r="D670" s="185"/>
      <c r="E670" s="186"/>
      <c r="F670" s="187"/>
    </row>
    <row r="671" spans="1:6" x14ac:dyDescent="0.2">
      <c r="A671" s="275"/>
      <c r="B671" s="78"/>
      <c r="C671" s="189"/>
      <c r="D671" s="185"/>
      <c r="E671" s="186"/>
      <c r="F671" s="187"/>
    </row>
    <row r="672" spans="1:6" x14ac:dyDescent="0.2">
      <c r="A672" s="275"/>
      <c r="B672" s="78"/>
      <c r="C672" s="189"/>
      <c r="D672" s="185"/>
      <c r="E672" s="186"/>
      <c r="F672" s="187"/>
    </row>
    <row r="673" spans="1:6" x14ac:dyDescent="0.2">
      <c r="A673" s="275"/>
      <c r="B673" s="78"/>
      <c r="C673" s="189"/>
      <c r="D673" s="185"/>
      <c r="E673" s="186"/>
      <c r="F673" s="187"/>
    </row>
    <row r="674" spans="1:6" x14ac:dyDescent="0.2">
      <c r="A674" s="275"/>
      <c r="B674" s="78"/>
      <c r="C674" s="189"/>
      <c r="D674" s="185"/>
      <c r="E674" s="186"/>
      <c r="F674" s="187"/>
    </row>
    <row r="675" spans="1:6" x14ac:dyDescent="0.2">
      <c r="A675" s="275"/>
      <c r="B675" s="78"/>
      <c r="C675" s="189"/>
      <c r="D675" s="185"/>
      <c r="E675" s="186"/>
      <c r="F675" s="187"/>
    </row>
    <row r="676" spans="1:6" x14ac:dyDescent="0.2">
      <c r="A676" s="275"/>
      <c r="B676" s="78"/>
      <c r="C676" s="189"/>
      <c r="D676" s="185"/>
      <c r="E676" s="186"/>
      <c r="F676" s="187"/>
    </row>
    <row r="677" spans="1:6" x14ac:dyDescent="0.2">
      <c r="A677" s="275"/>
      <c r="B677" s="78"/>
      <c r="C677" s="189"/>
      <c r="D677" s="185"/>
      <c r="E677" s="186"/>
      <c r="F677" s="187"/>
    </row>
    <row r="678" spans="1:6" x14ac:dyDescent="0.2">
      <c r="A678" s="275"/>
      <c r="B678" s="78"/>
      <c r="C678" s="189"/>
      <c r="D678" s="185"/>
      <c r="E678" s="186"/>
      <c r="F678" s="187"/>
    </row>
    <row r="679" spans="1:6" x14ac:dyDescent="0.2">
      <c r="A679" s="275"/>
      <c r="B679" s="78"/>
      <c r="C679" s="189"/>
      <c r="D679" s="185"/>
      <c r="E679" s="186"/>
      <c r="F679" s="187"/>
    </row>
    <row r="680" spans="1:6" x14ac:dyDescent="0.2">
      <c r="A680" s="275"/>
      <c r="B680" s="78"/>
      <c r="C680" s="189"/>
      <c r="D680" s="185"/>
      <c r="E680" s="186"/>
      <c r="F680" s="187"/>
    </row>
    <row r="681" spans="1:6" x14ac:dyDescent="0.2">
      <c r="A681" s="275"/>
      <c r="B681" s="78"/>
      <c r="C681" s="189"/>
      <c r="D681" s="185"/>
      <c r="E681" s="186"/>
      <c r="F681" s="187"/>
    </row>
    <row r="682" spans="1:6" x14ac:dyDescent="0.2">
      <c r="A682" s="275"/>
      <c r="B682" s="78"/>
      <c r="C682" s="189"/>
      <c r="D682" s="185"/>
      <c r="E682" s="186"/>
      <c r="F682" s="187"/>
    </row>
    <row r="683" spans="1:6" x14ac:dyDescent="0.2">
      <c r="A683" s="275"/>
      <c r="B683" s="78"/>
      <c r="C683" s="189"/>
      <c r="D683" s="185"/>
      <c r="E683" s="186"/>
      <c r="F683" s="187"/>
    </row>
    <row r="684" spans="1:6" x14ac:dyDescent="0.2">
      <c r="A684" s="275"/>
      <c r="B684" s="78"/>
      <c r="C684" s="189"/>
      <c r="D684" s="185"/>
      <c r="E684" s="186"/>
      <c r="F684" s="187"/>
    </row>
    <row r="685" spans="1:6" x14ac:dyDescent="0.2">
      <c r="A685" s="275"/>
      <c r="B685" s="78"/>
      <c r="C685" s="189"/>
      <c r="D685" s="185"/>
      <c r="E685" s="186"/>
      <c r="F685" s="187"/>
    </row>
    <row r="686" spans="1:6" x14ac:dyDescent="0.2">
      <c r="A686" s="275"/>
      <c r="B686" s="78"/>
      <c r="C686" s="189"/>
      <c r="D686" s="185"/>
      <c r="E686" s="186"/>
      <c r="F686" s="187"/>
    </row>
    <row r="687" spans="1:6" x14ac:dyDescent="0.2">
      <c r="A687" s="275"/>
      <c r="B687" s="78"/>
      <c r="C687" s="189"/>
      <c r="D687" s="185"/>
      <c r="E687" s="186"/>
      <c r="F687" s="187"/>
    </row>
    <row r="688" spans="1:6" x14ac:dyDescent="0.2">
      <c r="A688" s="275"/>
      <c r="B688" s="78"/>
      <c r="C688" s="189"/>
      <c r="D688" s="185"/>
      <c r="E688" s="186"/>
      <c r="F688" s="187"/>
    </row>
    <row r="689" spans="1:6" x14ac:dyDescent="0.2">
      <c r="A689" s="275"/>
      <c r="B689" s="78"/>
      <c r="C689" s="189"/>
      <c r="D689" s="185"/>
      <c r="E689" s="186"/>
      <c r="F689" s="187"/>
    </row>
    <row r="690" spans="1:6" x14ac:dyDescent="0.2">
      <c r="A690" s="275"/>
      <c r="B690" s="78"/>
      <c r="C690" s="189"/>
      <c r="D690" s="185"/>
      <c r="E690" s="186"/>
      <c r="F690" s="187"/>
    </row>
    <row r="691" spans="1:6" x14ac:dyDescent="0.2">
      <c r="A691" s="275"/>
      <c r="B691" s="78"/>
      <c r="C691" s="189"/>
      <c r="D691" s="185"/>
      <c r="E691" s="186"/>
      <c r="F691" s="187"/>
    </row>
    <row r="692" spans="1:6" x14ac:dyDescent="0.2">
      <c r="A692" s="275"/>
      <c r="B692" s="78"/>
      <c r="C692" s="189"/>
      <c r="D692" s="185"/>
      <c r="E692" s="186"/>
      <c r="F692" s="187"/>
    </row>
    <row r="693" spans="1:6" x14ac:dyDescent="0.2">
      <c r="A693" s="275"/>
      <c r="B693" s="78"/>
      <c r="C693" s="189"/>
      <c r="D693" s="185"/>
      <c r="E693" s="186"/>
      <c r="F693" s="187"/>
    </row>
    <row r="694" spans="1:6" x14ac:dyDescent="0.2">
      <c r="A694" s="275"/>
      <c r="B694" s="78"/>
      <c r="C694" s="189"/>
      <c r="D694" s="185"/>
      <c r="E694" s="186"/>
      <c r="F694" s="187"/>
    </row>
    <row r="695" spans="1:6" x14ac:dyDescent="0.2">
      <c r="A695" s="275"/>
      <c r="B695" s="78"/>
      <c r="C695" s="189"/>
      <c r="D695" s="185"/>
      <c r="E695" s="186"/>
      <c r="F695" s="187"/>
    </row>
    <row r="696" spans="1:6" x14ac:dyDescent="0.2">
      <c r="A696" s="275"/>
      <c r="B696" s="78"/>
      <c r="C696" s="189"/>
      <c r="D696" s="185"/>
      <c r="E696" s="186"/>
      <c r="F696" s="187"/>
    </row>
    <row r="697" spans="1:6" x14ac:dyDescent="0.2">
      <c r="A697" s="275"/>
      <c r="B697" s="78"/>
      <c r="C697" s="189"/>
      <c r="D697" s="185"/>
      <c r="E697" s="186"/>
      <c r="F697" s="187"/>
    </row>
    <row r="698" spans="1:6" x14ac:dyDescent="0.2">
      <c r="A698" s="275"/>
      <c r="B698" s="78"/>
      <c r="C698" s="189"/>
      <c r="D698" s="185"/>
      <c r="E698" s="186"/>
      <c r="F698" s="187"/>
    </row>
    <row r="699" spans="1:6" x14ac:dyDescent="0.2">
      <c r="A699" s="275"/>
      <c r="B699" s="78"/>
      <c r="C699" s="189"/>
      <c r="D699" s="185"/>
      <c r="E699" s="186"/>
      <c r="F699" s="187"/>
    </row>
    <row r="700" spans="1:6" x14ac:dyDescent="0.2">
      <c r="A700" s="275"/>
      <c r="B700" s="78"/>
      <c r="C700" s="189"/>
      <c r="D700" s="185"/>
      <c r="E700" s="186"/>
      <c r="F700" s="187"/>
    </row>
    <row r="701" spans="1:6" x14ac:dyDescent="0.2">
      <c r="A701" s="275"/>
      <c r="B701" s="78"/>
      <c r="C701" s="189"/>
      <c r="D701" s="185"/>
      <c r="E701" s="186"/>
      <c r="F701" s="187"/>
    </row>
    <row r="702" spans="1:6" x14ac:dyDescent="0.2">
      <c r="A702" s="275"/>
      <c r="B702" s="78"/>
      <c r="C702" s="189"/>
      <c r="D702" s="185"/>
      <c r="E702" s="186"/>
      <c r="F702" s="187"/>
    </row>
    <row r="703" spans="1:6" x14ac:dyDescent="0.2">
      <c r="A703" s="275"/>
      <c r="B703" s="78"/>
      <c r="C703" s="189"/>
      <c r="D703" s="185"/>
      <c r="E703" s="186"/>
      <c r="F703" s="187"/>
    </row>
    <row r="704" spans="1:6" x14ac:dyDescent="0.2">
      <c r="A704" s="275"/>
      <c r="B704" s="78"/>
      <c r="C704" s="189"/>
      <c r="D704" s="185"/>
      <c r="E704" s="186"/>
      <c r="F704" s="187"/>
    </row>
    <row r="705" spans="1:6" x14ac:dyDescent="0.2">
      <c r="A705" s="275"/>
      <c r="B705" s="78"/>
      <c r="C705" s="189"/>
      <c r="D705" s="185"/>
      <c r="E705" s="186"/>
      <c r="F705" s="187"/>
    </row>
    <row r="706" spans="1:6" x14ac:dyDescent="0.2">
      <c r="A706" s="275"/>
      <c r="B706" s="78"/>
      <c r="C706" s="189"/>
      <c r="D706" s="185"/>
      <c r="E706" s="186"/>
      <c r="F706" s="187"/>
    </row>
    <row r="707" spans="1:6" x14ac:dyDescent="0.2">
      <c r="A707" s="275"/>
      <c r="B707" s="78"/>
      <c r="C707" s="189"/>
      <c r="D707" s="185"/>
      <c r="E707" s="186"/>
      <c r="F707" s="187"/>
    </row>
    <row r="708" spans="1:6" x14ac:dyDescent="0.2">
      <c r="A708" s="275"/>
      <c r="B708" s="78"/>
      <c r="C708" s="189"/>
      <c r="D708" s="185"/>
      <c r="E708" s="186"/>
      <c r="F708" s="187"/>
    </row>
    <row r="709" spans="1:6" x14ac:dyDescent="0.2">
      <c r="A709" s="275"/>
      <c r="B709" s="78"/>
      <c r="C709" s="189"/>
      <c r="D709" s="185"/>
      <c r="E709" s="186"/>
      <c r="F709" s="187"/>
    </row>
    <row r="710" spans="1:6" x14ac:dyDescent="0.2">
      <c r="A710" s="275"/>
      <c r="B710" s="78"/>
      <c r="C710" s="189"/>
      <c r="D710" s="185"/>
      <c r="E710" s="186"/>
      <c r="F710" s="187"/>
    </row>
    <row r="711" spans="1:6" x14ac:dyDescent="0.2">
      <c r="A711" s="275"/>
      <c r="B711" s="78"/>
      <c r="C711" s="189"/>
      <c r="D711" s="185"/>
      <c r="E711" s="186"/>
      <c r="F711" s="187"/>
    </row>
    <row r="712" spans="1:6" x14ac:dyDescent="0.2">
      <c r="A712" s="275"/>
      <c r="B712" s="78"/>
      <c r="C712" s="189"/>
      <c r="D712" s="185"/>
      <c r="E712" s="186"/>
      <c r="F712" s="187"/>
    </row>
    <row r="713" spans="1:6" x14ac:dyDescent="0.2">
      <c r="A713" s="275"/>
      <c r="B713" s="78"/>
      <c r="C713" s="189"/>
      <c r="D713" s="185"/>
      <c r="E713" s="186"/>
      <c r="F713" s="187"/>
    </row>
    <row r="714" spans="1:6" x14ac:dyDescent="0.2">
      <c r="A714" s="275"/>
      <c r="B714" s="78"/>
      <c r="C714" s="189"/>
      <c r="D714" s="185"/>
      <c r="E714" s="186"/>
      <c r="F714" s="187"/>
    </row>
    <row r="715" spans="1:6" x14ac:dyDescent="0.2">
      <c r="A715" s="275"/>
      <c r="B715" s="78"/>
      <c r="C715" s="189"/>
      <c r="D715" s="185"/>
      <c r="E715" s="186"/>
      <c r="F715" s="187"/>
    </row>
    <row r="716" spans="1:6" x14ac:dyDescent="0.2">
      <c r="A716" s="275"/>
      <c r="B716" s="78"/>
      <c r="C716" s="189"/>
      <c r="D716" s="185"/>
      <c r="E716" s="186"/>
      <c r="F716" s="187"/>
    </row>
    <row r="717" spans="1:6" x14ac:dyDescent="0.2">
      <c r="A717" s="275"/>
      <c r="B717" s="78"/>
      <c r="C717" s="189"/>
      <c r="D717" s="185"/>
      <c r="E717" s="186"/>
      <c r="F717" s="187"/>
    </row>
    <row r="718" spans="1:6" x14ac:dyDescent="0.2">
      <c r="A718" s="275"/>
      <c r="B718" s="78"/>
      <c r="C718" s="189"/>
      <c r="D718" s="185"/>
      <c r="E718" s="186"/>
      <c r="F718" s="187"/>
    </row>
    <row r="719" spans="1:6" x14ac:dyDescent="0.2">
      <c r="A719" s="275"/>
      <c r="B719" s="78"/>
      <c r="C719" s="189"/>
      <c r="D719" s="185"/>
      <c r="E719" s="186"/>
      <c r="F719" s="187"/>
    </row>
    <row r="720" spans="1:6" x14ac:dyDescent="0.2">
      <c r="A720" s="275"/>
      <c r="B720" s="78"/>
      <c r="C720" s="189"/>
      <c r="D720" s="185"/>
      <c r="E720" s="186"/>
      <c r="F720" s="187"/>
    </row>
    <row r="721" spans="1:6" x14ac:dyDescent="0.2">
      <c r="A721" s="275"/>
      <c r="B721" s="78"/>
      <c r="C721" s="189"/>
      <c r="D721" s="185"/>
      <c r="E721" s="186"/>
      <c r="F721" s="187"/>
    </row>
    <row r="722" spans="1:6" x14ac:dyDescent="0.2">
      <c r="A722" s="275"/>
      <c r="B722" s="78"/>
      <c r="C722" s="189"/>
      <c r="D722" s="185"/>
      <c r="E722" s="186"/>
      <c r="F722" s="187"/>
    </row>
    <row r="723" spans="1:6" x14ac:dyDescent="0.2">
      <c r="A723" s="275"/>
      <c r="B723" s="78"/>
      <c r="C723" s="189"/>
      <c r="D723" s="185"/>
      <c r="E723" s="186"/>
      <c r="F723" s="187"/>
    </row>
    <row r="724" spans="1:6" x14ac:dyDescent="0.2">
      <c r="A724" s="275"/>
      <c r="B724" s="78"/>
      <c r="C724" s="189"/>
      <c r="D724" s="185"/>
      <c r="E724" s="186"/>
      <c r="F724" s="187"/>
    </row>
    <row r="725" spans="1:6" x14ac:dyDescent="0.2">
      <c r="A725" s="275"/>
      <c r="B725" s="78"/>
      <c r="C725" s="189"/>
      <c r="D725" s="185"/>
      <c r="E725" s="186"/>
      <c r="F725" s="187"/>
    </row>
    <row r="726" spans="1:6" x14ac:dyDescent="0.2">
      <c r="A726" s="275"/>
      <c r="B726" s="78"/>
      <c r="C726" s="189"/>
      <c r="D726" s="185"/>
      <c r="E726" s="186"/>
      <c r="F726" s="187"/>
    </row>
    <row r="727" spans="1:6" x14ac:dyDescent="0.2">
      <c r="A727" s="275"/>
      <c r="B727" s="78"/>
      <c r="C727" s="189"/>
      <c r="D727" s="185"/>
      <c r="E727" s="186"/>
      <c r="F727" s="187"/>
    </row>
    <row r="728" spans="1:6" x14ac:dyDescent="0.2">
      <c r="A728" s="275"/>
      <c r="B728" s="78"/>
      <c r="C728" s="189"/>
      <c r="D728" s="185"/>
      <c r="E728" s="186"/>
      <c r="F728" s="187"/>
    </row>
    <row r="729" spans="1:6" x14ac:dyDescent="0.2">
      <c r="A729" s="275"/>
      <c r="B729" s="78"/>
      <c r="C729" s="189"/>
      <c r="D729" s="185"/>
      <c r="E729" s="186"/>
      <c r="F729" s="187"/>
    </row>
    <row r="730" spans="1:6" x14ac:dyDescent="0.2">
      <c r="A730" s="275"/>
      <c r="B730" s="78"/>
      <c r="C730" s="189"/>
      <c r="D730" s="185"/>
      <c r="E730" s="186"/>
      <c r="F730" s="187"/>
    </row>
    <row r="731" spans="1:6" x14ac:dyDescent="0.2">
      <c r="A731" s="275"/>
      <c r="B731" s="78"/>
      <c r="C731" s="189"/>
      <c r="D731" s="185"/>
      <c r="E731" s="186"/>
      <c r="F731" s="187"/>
    </row>
    <row r="732" spans="1:6" x14ac:dyDescent="0.2">
      <c r="A732" s="275"/>
      <c r="B732" s="78"/>
      <c r="C732" s="189"/>
      <c r="D732" s="185"/>
      <c r="E732" s="186"/>
      <c r="F732" s="187"/>
    </row>
    <row r="733" spans="1:6" x14ac:dyDescent="0.2">
      <c r="A733" s="275"/>
      <c r="B733" s="78"/>
      <c r="C733" s="189"/>
      <c r="D733" s="185"/>
      <c r="E733" s="186"/>
      <c r="F733" s="187"/>
    </row>
    <row r="734" spans="1:6" x14ac:dyDescent="0.2">
      <c r="A734" s="275"/>
      <c r="B734" s="78"/>
      <c r="C734" s="189"/>
      <c r="D734" s="185"/>
      <c r="E734" s="186"/>
      <c r="F734" s="187"/>
    </row>
    <row r="735" spans="1:6" x14ac:dyDescent="0.2">
      <c r="A735" s="275"/>
      <c r="B735" s="78"/>
      <c r="C735" s="189"/>
      <c r="D735" s="185"/>
      <c r="E735" s="186"/>
      <c r="F735" s="187"/>
    </row>
    <row r="736" spans="1:6" x14ac:dyDescent="0.2">
      <c r="A736" s="275"/>
      <c r="B736" s="78"/>
      <c r="C736" s="189"/>
      <c r="D736" s="185"/>
      <c r="E736" s="186"/>
      <c r="F736" s="187"/>
    </row>
    <row r="737" spans="1:6" x14ac:dyDescent="0.2">
      <c r="A737" s="275"/>
      <c r="B737" s="78"/>
      <c r="C737" s="189"/>
      <c r="D737" s="185"/>
      <c r="E737" s="186"/>
      <c r="F737" s="187"/>
    </row>
    <row r="738" spans="1:6" x14ac:dyDescent="0.2">
      <c r="A738" s="275"/>
      <c r="B738" s="78"/>
      <c r="C738" s="189"/>
      <c r="D738" s="185"/>
      <c r="E738" s="186"/>
      <c r="F738" s="187"/>
    </row>
    <row r="739" spans="1:6" x14ac:dyDescent="0.2">
      <c r="A739" s="275"/>
      <c r="B739" s="78"/>
      <c r="C739" s="189"/>
      <c r="D739" s="185"/>
      <c r="E739" s="186"/>
      <c r="F739" s="187"/>
    </row>
    <row r="740" spans="1:6" x14ac:dyDescent="0.2">
      <c r="A740" s="275"/>
      <c r="B740" s="78"/>
      <c r="C740" s="189"/>
      <c r="D740" s="185"/>
      <c r="E740" s="186"/>
      <c r="F740" s="187"/>
    </row>
    <row r="741" spans="1:6" x14ac:dyDescent="0.2">
      <c r="A741" s="275"/>
      <c r="B741" s="78"/>
      <c r="C741" s="189"/>
      <c r="D741" s="185"/>
      <c r="E741" s="186"/>
      <c r="F741" s="187"/>
    </row>
    <row r="742" spans="1:6" x14ac:dyDescent="0.2">
      <c r="A742" s="275"/>
      <c r="B742" s="78"/>
      <c r="C742" s="189"/>
      <c r="D742" s="185"/>
      <c r="E742" s="186"/>
      <c r="F742" s="187"/>
    </row>
    <row r="743" spans="1:6" x14ac:dyDescent="0.2">
      <c r="A743" s="275"/>
      <c r="B743" s="78"/>
      <c r="C743" s="189"/>
      <c r="D743" s="185"/>
      <c r="E743" s="186"/>
      <c r="F743" s="187"/>
    </row>
    <row r="744" spans="1:6" x14ac:dyDescent="0.2">
      <c r="A744" s="275"/>
      <c r="B744" s="78"/>
      <c r="C744" s="189"/>
      <c r="D744" s="185"/>
      <c r="E744" s="186"/>
      <c r="F744" s="187"/>
    </row>
    <row r="745" spans="1:6" x14ac:dyDescent="0.2">
      <c r="A745" s="275"/>
      <c r="B745" s="78"/>
      <c r="C745" s="189"/>
      <c r="D745" s="185"/>
      <c r="E745" s="186"/>
      <c r="F745" s="187"/>
    </row>
    <row r="746" spans="1:6" x14ac:dyDescent="0.2">
      <c r="A746" s="275"/>
      <c r="B746" s="78"/>
      <c r="C746" s="189"/>
      <c r="D746" s="185"/>
      <c r="E746" s="186"/>
      <c r="F746" s="187"/>
    </row>
    <row r="747" spans="1:6" x14ac:dyDescent="0.2">
      <c r="A747" s="275"/>
      <c r="B747" s="78"/>
      <c r="C747" s="189"/>
      <c r="D747" s="185"/>
      <c r="E747" s="186"/>
      <c r="F747" s="187"/>
    </row>
    <row r="748" spans="1:6" x14ac:dyDescent="0.2">
      <c r="A748" s="275"/>
      <c r="B748" s="78"/>
      <c r="C748" s="189"/>
      <c r="D748" s="185"/>
      <c r="E748" s="186"/>
      <c r="F748" s="187"/>
    </row>
    <row r="749" spans="1:6" x14ac:dyDescent="0.2">
      <c r="A749" s="275"/>
      <c r="B749" s="78"/>
      <c r="C749" s="189"/>
      <c r="D749" s="185"/>
      <c r="E749" s="186"/>
      <c r="F749" s="187"/>
    </row>
    <row r="750" spans="1:6" x14ac:dyDescent="0.2">
      <c r="A750" s="275"/>
      <c r="B750" s="78"/>
      <c r="C750" s="189"/>
      <c r="D750" s="185"/>
      <c r="E750" s="186"/>
      <c r="F750" s="187"/>
    </row>
    <row r="751" spans="1:6" x14ac:dyDescent="0.2">
      <c r="A751" s="275"/>
      <c r="B751" s="78"/>
      <c r="C751" s="189"/>
      <c r="D751" s="185"/>
      <c r="E751" s="186"/>
      <c r="F751" s="187"/>
    </row>
    <row r="752" spans="1:6" x14ac:dyDescent="0.2">
      <c r="A752" s="275"/>
      <c r="B752" s="78"/>
      <c r="C752" s="189"/>
      <c r="D752" s="185"/>
      <c r="E752" s="186"/>
      <c r="F752" s="187"/>
    </row>
    <row r="753" spans="1:6" x14ac:dyDescent="0.2">
      <c r="A753" s="275"/>
      <c r="B753" s="78"/>
      <c r="C753" s="189"/>
      <c r="D753" s="185"/>
      <c r="E753" s="186"/>
      <c r="F753" s="187"/>
    </row>
    <row r="754" spans="1:6" x14ac:dyDescent="0.2">
      <c r="A754" s="275"/>
      <c r="B754" s="78"/>
      <c r="C754" s="189"/>
      <c r="D754" s="185"/>
      <c r="E754" s="186"/>
      <c r="F754" s="187"/>
    </row>
    <row r="755" spans="1:6" x14ac:dyDescent="0.2">
      <c r="A755" s="275"/>
      <c r="B755" s="78"/>
      <c r="C755" s="189"/>
      <c r="D755" s="185"/>
      <c r="E755" s="186"/>
      <c r="F755" s="187"/>
    </row>
    <row r="756" spans="1:6" x14ac:dyDescent="0.2">
      <c r="A756" s="275"/>
      <c r="B756" s="78"/>
      <c r="C756" s="189"/>
      <c r="D756" s="185"/>
      <c r="E756" s="186"/>
      <c r="F756" s="187"/>
    </row>
    <row r="757" spans="1:6" x14ac:dyDescent="0.2">
      <c r="A757" s="275"/>
      <c r="B757" s="78"/>
      <c r="C757" s="189"/>
      <c r="D757" s="185"/>
      <c r="E757" s="186"/>
      <c r="F757" s="187"/>
    </row>
    <row r="758" spans="1:6" x14ac:dyDescent="0.2">
      <c r="A758" s="275"/>
      <c r="B758" s="78"/>
      <c r="C758" s="189"/>
      <c r="D758" s="185"/>
      <c r="E758" s="186"/>
      <c r="F758" s="187"/>
    </row>
    <row r="759" spans="1:6" x14ac:dyDescent="0.2">
      <c r="A759" s="275"/>
      <c r="B759" s="78"/>
      <c r="C759" s="189"/>
      <c r="D759" s="185"/>
      <c r="E759" s="186"/>
      <c r="F759" s="187"/>
    </row>
    <row r="760" spans="1:6" x14ac:dyDescent="0.2">
      <c r="A760" s="275"/>
      <c r="B760" s="78"/>
      <c r="C760" s="189"/>
      <c r="D760" s="185"/>
      <c r="E760" s="186"/>
      <c r="F760" s="187"/>
    </row>
    <row r="761" spans="1:6" x14ac:dyDescent="0.2">
      <c r="A761" s="275"/>
      <c r="B761" s="78"/>
      <c r="C761" s="189"/>
      <c r="D761" s="185"/>
      <c r="E761" s="186"/>
      <c r="F761" s="187"/>
    </row>
    <row r="762" spans="1:6" x14ac:dyDescent="0.2">
      <c r="A762" s="275"/>
      <c r="B762" s="78"/>
      <c r="C762" s="189"/>
      <c r="D762" s="185"/>
      <c r="E762" s="186"/>
      <c r="F762" s="187"/>
    </row>
    <row r="763" spans="1:6" x14ac:dyDescent="0.2">
      <c r="A763" s="275"/>
      <c r="B763" s="78"/>
      <c r="C763" s="189"/>
      <c r="D763" s="185"/>
      <c r="E763" s="186"/>
      <c r="F763" s="187"/>
    </row>
    <row r="764" spans="1:6" x14ac:dyDescent="0.2">
      <c r="A764" s="275"/>
      <c r="B764" s="78"/>
      <c r="C764" s="189"/>
      <c r="D764" s="185"/>
      <c r="E764" s="186"/>
      <c r="F764" s="187"/>
    </row>
    <row r="765" spans="1:6" x14ac:dyDescent="0.2">
      <c r="A765" s="275"/>
      <c r="B765" s="78"/>
      <c r="C765" s="189"/>
      <c r="D765" s="185"/>
      <c r="E765" s="186"/>
      <c r="F765" s="187"/>
    </row>
    <row r="766" spans="1:6" x14ac:dyDescent="0.2">
      <c r="A766" s="275"/>
      <c r="B766" s="78"/>
      <c r="C766" s="189"/>
      <c r="D766" s="185"/>
      <c r="E766" s="186"/>
      <c r="F766" s="187"/>
    </row>
    <row r="767" spans="1:6" x14ac:dyDescent="0.2">
      <c r="A767" s="275"/>
      <c r="B767" s="78"/>
      <c r="C767" s="189"/>
      <c r="D767" s="185"/>
      <c r="E767" s="186"/>
      <c r="F767" s="187"/>
    </row>
    <row r="768" spans="1:6" x14ac:dyDescent="0.2">
      <c r="A768" s="275"/>
      <c r="B768" s="78"/>
      <c r="C768" s="189"/>
      <c r="D768" s="185"/>
      <c r="E768" s="186"/>
      <c r="F768" s="187"/>
    </row>
    <row r="769" spans="1:6" x14ac:dyDescent="0.2">
      <c r="A769" s="275"/>
      <c r="B769" s="78"/>
      <c r="C769" s="189"/>
      <c r="D769" s="185"/>
      <c r="E769" s="186"/>
      <c r="F769" s="187"/>
    </row>
    <row r="770" spans="1:6" x14ac:dyDescent="0.2">
      <c r="A770" s="275"/>
      <c r="B770" s="78"/>
      <c r="C770" s="189"/>
      <c r="D770" s="185"/>
      <c r="E770" s="186"/>
      <c r="F770" s="187"/>
    </row>
    <row r="771" spans="1:6" x14ac:dyDescent="0.2">
      <c r="A771" s="275"/>
      <c r="B771" s="78"/>
      <c r="C771" s="189"/>
      <c r="D771" s="185"/>
      <c r="E771" s="186"/>
      <c r="F771" s="187"/>
    </row>
    <row r="772" spans="1:6" x14ac:dyDescent="0.2">
      <c r="A772" s="275"/>
      <c r="B772" s="78"/>
      <c r="C772" s="189"/>
      <c r="D772" s="185"/>
      <c r="E772" s="186"/>
      <c r="F772" s="187"/>
    </row>
    <row r="773" spans="1:6" x14ac:dyDescent="0.2">
      <c r="A773" s="275"/>
      <c r="B773" s="78"/>
      <c r="C773" s="189"/>
      <c r="D773" s="185"/>
      <c r="E773" s="186"/>
      <c r="F773" s="187"/>
    </row>
    <row r="774" spans="1:6" x14ac:dyDescent="0.2">
      <c r="A774" s="275"/>
      <c r="B774" s="78"/>
      <c r="C774" s="189"/>
      <c r="D774" s="185"/>
      <c r="E774" s="186"/>
      <c r="F774" s="187"/>
    </row>
    <row r="775" spans="1:6" x14ac:dyDescent="0.2">
      <c r="A775" s="275"/>
      <c r="B775" s="78"/>
      <c r="C775" s="189"/>
      <c r="D775" s="185"/>
      <c r="E775" s="186"/>
      <c r="F775" s="187"/>
    </row>
    <row r="776" spans="1:6" x14ac:dyDescent="0.2">
      <c r="A776" s="275"/>
      <c r="B776" s="78"/>
      <c r="C776" s="189"/>
      <c r="D776" s="185"/>
      <c r="E776" s="186"/>
      <c r="F776" s="187"/>
    </row>
    <row r="777" spans="1:6" x14ac:dyDescent="0.2">
      <c r="A777" s="275"/>
      <c r="B777" s="78"/>
      <c r="C777" s="189"/>
      <c r="D777" s="185"/>
      <c r="E777" s="186"/>
      <c r="F777" s="187"/>
    </row>
    <row r="778" spans="1:6" x14ac:dyDescent="0.2">
      <c r="A778" s="275"/>
      <c r="B778" s="78"/>
      <c r="C778" s="189"/>
      <c r="D778" s="185"/>
      <c r="E778" s="186"/>
      <c r="F778" s="187"/>
    </row>
    <row r="779" spans="1:6" x14ac:dyDescent="0.2">
      <c r="A779" s="275"/>
      <c r="B779" s="78"/>
      <c r="C779" s="189"/>
      <c r="D779" s="185"/>
      <c r="E779" s="186"/>
      <c r="F779" s="187"/>
    </row>
    <row r="780" spans="1:6" x14ac:dyDescent="0.2">
      <c r="A780" s="275"/>
      <c r="B780" s="78"/>
      <c r="C780" s="189"/>
      <c r="D780" s="185"/>
      <c r="E780" s="186"/>
      <c r="F780" s="187"/>
    </row>
    <row r="781" spans="1:6" x14ac:dyDescent="0.2">
      <c r="A781" s="275"/>
      <c r="B781" s="78"/>
      <c r="C781" s="189"/>
      <c r="D781" s="185"/>
      <c r="E781" s="186"/>
      <c r="F781" s="187"/>
    </row>
    <row r="782" spans="1:6" x14ac:dyDescent="0.2">
      <c r="A782" s="275"/>
      <c r="B782" s="78"/>
      <c r="C782" s="189"/>
      <c r="D782" s="185"/>
      <c r="E782" s="186"/>
      <c r="F782" s="187"/>
    </row>
    <row r="783" spans="1:6" x14ac:dyDescent="0.2">
      <c r="A783" s="275"/>
      <c r="B783" s="78"/>
      <c r="C783" s="189"/>
      <c r="D783" s="185"/>
      <c r="E783" s="186"/>
      <c r="F783" s="187"/>
    </row>
    <row r="784" spans="1:6" x14ac:dyDescent="0.2">
      <c r="A784" s="275"/>
      <c r="B784" s="78"/>
      <c r="C784" s="189"/>
      <c r="D784" s="185"/>
      <c r="E784" s="186"/>
      <c r="F784" s="187"/>
    </row>
    <row r="785" spans="1:6" x14ac:dyDescent="0.2">
      <c r="A785" s="275"/>
      <c r="B785" s="78"/>
      <c r="C785" s="189"/>
      <c r="D785" s="185"/>
      <c r="E785" s="186"/>
      <c r="F785" s="187"/>
    </row>
    <row r="786" spans="1:6" x14ac:dyDescent="0.2">
      <c r="A786" s="275"/>
      <c r="B786" s="78"/>
      <c r="C786" s="189"/>
      <c r="D786" s="185"/>
      <c r="E786" s="186"/>
      <c r="F786" s="187"/>
    </row>
    <row r="787" spans="1:6" x14ac:dyDescent="0.2">
      <c r="A787" s="275"/>
      <c r="B787" s="78"/>
      <c r="C787" s="189"/>
      <c r="D787" s="185"/>
      <c r="E787" s="186"/>
      <c r="F787" s="187"/>
    </row>
    <row r="788" spans="1:6" x14ac:dyDescent="0.2">
      <c r="A788" s="275"/>
      <c r="B788" s="78"/>
      <c r="C788" s="189"/>
      <c r="D788" s="185"/>
      <c r="E788" s="186"/>
      <c r="F788" s="187"/>
    </row>
    <row r="789" spans="1:6" x14ac:dyDescent="0.2">
      <c r="A789" s="275"/>
      <c r="B789" s="78"/>
      <c r="C789" s="189"/>
      <c r="D789" s="185"/>
      <c r="E789" s="186"/>
      <c r="F789" s="187"/>
    </row>
    <row r="790" spans="1:6" x14ac:dyDescent="0.2">
      <c r="A790" s="275"/>
      <c r="B790" s="78"/>
      <c r="C790" s="189"/>
      <c r="D790" s="185"/>
      <c r="E790" s="186"/>
      <c r="F790" s="187"/>
    </row>
    <row r="791" spans="1:6" x14ac:dyDescent="0.2">
      <c r="A791" s="275"/>
      <c r="B791" s="78"/>
      <c r="C791" s="189"/>
      <c r="D791" s="185"/>
      <c r="E791" s="186"/>
      <c r="F791" s="187"/>
    </row>
    <row r="792" spans="1:6" x14ac:dyDescent="0.2">
      <c r="A792" s="275"/>
      <c r="B792" s="78"/>
      <c r="C792" s="189"/>
      <c r="D792" s="185"/>
      <c r="E792" s="186"/>
      <c r="F792" s="187"/>
    </row>
    <row r="793" spans="1:6" x14ac:dyDescent="0.2">
      <c r="A793" s="275"/>
      <c r="B793" s="78"/>
      <c r="C793" s="189"/>
      <c r="D793" s="185"/>
      <c r="E793" s="186"/>
      <c r="F793" s="187"/>
    </row>
    <row r="794" spans="1:6" x14ac:dyDescent="0.2">
      <c r="A794" s="275"/>
      <c r="B794" s="78"/>
      <c r="C794" s="189"/>
      <c r="D794" s="185"/>
      <c r="E794" s="186"/>
      <c r="F794" s="187"/>
    </row>
    <row r="795" spans="1:6" x14ac:dyDescent="0.2">
      <c r="A795" s="275"/>
      <c r="B795" s="78"/>
      <c r="C795" s="189"/>
      <c r="D795" s="185"/>
      <c r="E795" s="186"/>
      <c r="F795" s="187"/>
    </row>
    <row r="796" spans="1:6" x14ac:dyDescent="0.2">
      <c r="A796" s="275"/>
      <c r="B796" s="78"/>
      <c r="C796" s="189"/>
      <c r="D796" s="185"/>
      <c r="E796" s="186"/>
      <c r="F796" s="187"/>
    </row>
    <row r="797" spans="1:6" x14ac:dyDescent="0.2">
      <c r="A797" s="275"/>
      <c r="B797" s="78"/>
      <c r="C797" s="189"/>
      <c r="D797" s="185"/>
      <c r="E797" s="186"/>
      <c r="F797" s="187"/>
    </row>
    <row r="798" spans="1:6" x14ac:dyDescent="0.2">
      <c r="A798" s="275"/>
      <c r="B798" s="78"/>
      <c r="C798" s="189"/>
      <c r="D798" s="185"/>
      <c r="E798" s="186"/>
      <c r="F798" s="187"/>
    </row>
    <row r="799" spans="1:6" x14ac:dyDescent="0.2">
      <c r="A799" s="275"/>
      <c r="B799" s="78"/>
      <c r="C799" s="189"/>
      <c r="D799" s="185"/>
      <c r="E799" s="186"/>
      <c r="F799" s="187"/>
    </row>
    <row r="800" spans="1:6" x14ac:dyDescent="0.2">
      <c r="A800" s="275"/>
      <c r="B800" s="78"/>
      <c r="C800" s="189"/>
      <c r="D800" s="185"/>
      <c r="E800" s="186"/>
      <c r="F800" s="187"/>
    </row>
    <row r="801" spans="1:6" x14ac:dyDescent="0.2">
      <c r="A801" s="275"/>
      <c r="B801" s="78"/>
      <c r="C801" s="189"/>
      <c r="D801" s="185"/>
      <c r="E801" s="186"/>
      <c r="F801" s="187"/>
    </row>
    <row r="802" spans="1:6" x14ac:dyDescent="0.2">
      <c r="A802" s="275"/>
      <c r="B802" s="78"/>
      <c r="C802" s="189"/>
      <c r="D802" s="185"/>
      <c r="E802" s="186"/>
      <c r="F802" s="187"/>
    </row>
    <row r="803" spans="1:6" x14ac:dyDescent="0.2">
      <c r="A803" s="275"/>
      <c r="B803" s="78"/>
      <c r="C803" s="189"/>
      <c r="D803" s="185"/>
      <c r="E803" s="186"/>
      <c r="F803" s="187"/>
    </row>
    <row r="804" spans="1:6" x14ac:dyDescent="0.2">
      <c r="A804" s="275"/>
      <c r="B804" s="78"/>
      <c r="C804" s="189"/>
      <c r="D804" s="185"/>
      <c r="E804" s="186"/>
      <c r="F804" s="187"/>
    </row>
    <row r="805" spans="1:6" x14ac:dyDescent="0.2">
      <c r="A805" s="275"/>
      <c r="B805" s="78"/>
      <c r="C805" s="189"/>
      <c r="D805" s="185"/>
      <c r="E805" s="186"/>
      <c r="F805" s="187"/>
    </row>
    <row r="806" spans="1:6" x14ac:dyDescent="0.2">
      <c r="A806" s="275"/>
      <c r="B806" s="78"/>
      <c r="C806" s="189"/>
      <c r="D806" s="185"/>
      <c r="E806" s="186"/>
      <c r="F806" s="187"/>
    </row>
    <row r="807" spans="1:6" x14ac:dyDescent="0.2">
      <c r="A807" s="275"/>
      <c r="B807" s="78"/>
      <c r="C807" s="189"/>
      <c r="D807" s="185"/>
      <c r="E807" s="186"/>
      <c r="F807" s="187"/>
    </row>
    <row r="808" spans="1:6" x14ac:dyDescent="0.2">
      <c r="A808" s="275"/>
      <c r="B808" s="78"/>
      <c r="C808" s="189"/>
      <c r="D808" s="185"/>
      <c r="E808" s="186"/>
      <c r="F808" s="187"/>
    </row>
    <row r="809" spans="1:6" x14ac:dyDescent="0.2">
      <c r="A809" s="275"/>
      <c r="B809" s="78"/>
      <c r="C809" s="189"/>
      <c r="D809" s="185"/>
      <c r="E809" s="186"/>
      <c r="F809" s="187"/>
    </row>
    <row r="810" spans="1:6" x14ac:dyDescent="0.2">
      <c r="A810" s="275"/>
      <c r="B810" s="78"/>
      <c r="C810" s="189"/>
      <c r="D810" s="185"/>
      <c r="E810" s="186"/>
      <c r="F810" s="187"/>
    </row>
    <row r="811" spans="1:6" x14ac:dyDescent="0.2">
      <c r="A811" s="275"/>
      <c r="B811" s="78"/>
      <c r="C811" s="189"/>
      <c r="D811" s="185"/>
      <c r="E811" s="186"/>
      <c r="F811" s="187"/>
    </row>
    <row r="812" spans="1:6" x14ac:dyDescent="0.2">
      <c r="A812" s="275"/>
      <c r="B812" s="78"/>
      <c r="C812" s="189"/>
      <c r="D812" s="185"/>
      <c r="E812" s="186"/>
      <c r="F812" s="187"/>
    </row>
    <row r="813" spans="1:6" x14ac:dyDescent="0.2">
      <c r="A813" s="275"/>
      <c r="B813" s="78"/>
      <c r="C813" s="189"/>
      <c r="D813" s="185"/>
      <c r="E813" s="186"/>
      <c r="F813" s="187"/>
    </row>
    <row r="814" spans="1:6" x14ac:dyDescent="0.2">
      <c r="A814" s="275"/>
      <c r="B814" s="78"/>
      <c r="C814" s="189"/>
      <c r="D814" s="185"/>
      <c r="E814" s="186"/>
      <c r="F814" s="187"/>
    </row>
    <row r="815" spans="1:6" x14ac:dyDescent="0.2">
      <c r="A815" s="275"/>
      <c r="B815" s="78"/>
      <c r="C815" s="189"/>
      <c r="D815" s="185"/>
      <c r="E815" s="186"/>
      <c r="F815" s="187"/>
    </row>
    <row r="816" spans="1:6" x14ac:dyDescent="0.2">
      <c r="A816" s="275"/>
      <c r="B816" s="78"/>
      <c r="C816" s="189"/>
      <c r="D816" s="185"/>
      <c r="E816" s="186"/>
      <c r="F816" s="187"/>
    </row>
    <row r="817" spans="1:6" x14ac:dyDescent="0.2">
      <c r="A817" s="275"/>
      <c r="B817" s="78"/>
      <c r="C817" s="189"/>
      <c r="D817" s="185"/>
      <c r="E817" s="186"/>
      <c r="F817" s="187"/>
    </row>
    <row r="818" spans="1:6" x14ac:dyDescent="0.2">
      <c r="A818" s="275"/>
      <c r="B818" s="78"/>
      <c r="C818" s="189"/>
      <c r="D818" s="185"/>
      <c r="E818" s="186"/>
      <c r="F818" s="187"/>
    </row>
    <row r="819" spans="1:6" x14ac:dyDescent="0.2">
      <c r="A819" s="275"/>
      <c r="B819" s="78"/>
      <c r="C819" s="189"/>
      <c r="D819" s="185"/>
      <c r="E819" s="186"/>
      <c r="F819" s="187"/>
    </row>
    <row r="820" spans="1:6" x14ac:dyDescent="0.2">
      <c r="A820" s="275"/>
      <c r="B820" s="78"/>
      <c r="C820" s="189"/>
      <c r="D820" s="185"/>
      <c r="E820" s="186"/>
      <c r="F820" s="187"/>
    </row>
    <row r="821" spans="1:6" x14ac:dyDescent="0.2">
      <c r="A821" s="275"/>
      <c r="B821" s="78"/>
      <c r="C821" s="189"/>
      <c r="D821" s="185"/>
      <c r="E821" s="186"/>
      <c r="F821" s="187"/>
    </row>
    <row r="822" spans="1:6" x14ac:dyDescent="0.2">
      <c r="A822" s="275"/>
      <c r="B822" s="78"/>
      <c r="C822" s="189"/>
      <c r="D822" s="185"/>
      <c r="E822" s="186"/>
      <c r="F822" s="187"/>
    </row>
    <row r="823" spans="1:6" x14ac:dyDescent="0.2">
      <c r="A823" s="275"/>
      <c r="B823" s="78"/>
      <c r="C823" s="189"/>
      <c r="D823" s="185"/>
      <c r="E823" s="186"/>
      <c r="F823" s="187"/>
    </row>
    <row r="824" spans="1:6" x14ac:dyDescent="0.2">
      <c r="A824" s="275"/>
      <c r="B824" s="78"/>
      <c r="C824" s="189"/>
      <c r="D824" s="185"/>
      <c r="E824" s="186"/>
      <c r="F824" s="187"/>
    </row>
    <row r="825" spans="1:6" x14ac:dyDescent="0.2">
      <c r="A825" s="275"/>
      <c r="B825" s="78"/>
      <c r="C825" s="189"/>
      <c r="D825" s="185"/>
      <c r="E825" s="186"/>
      <c r="F825" s="187"/>
    </row>
    <row r="826" spans="1:6" x14ac:dyDescent="0.2">
      <c r="A826" s="275"/>
      <c r="B826" s="78"/>
      <c r="C826" s="189"/>
      <c r="D826" s="185"/>
      <c r="E826" s="186"/>
      <c r="F826" s="187"/>
    </row>
    <row r="827" spans="1:6" x14ac:dyDescent="0.2">
      <c r="A827" s="275"/>
      <c r="B827" s="78"/>
      <c r="C827" s="189"/>
      <c r="D827" s="185"/>
      <c r="E827" s="186"/>
      <c r="F827" s="187"/>
    </row>
    <row r="828" spans="1:6" x14ac:dyDescent="0.2">
      <c r="A828" s="275"/>
      <c r="B828" s="78"/>
      <c r="C828" s="189"/>
      <c r="D828" s="185"/>
      <c r="E828" s="186"/>
      <c r="F828" s="187"/>
    </row>
    <row r="829" spans="1:6" x14ac:dyDescent="0.2">
      <c r="A829" s="275"/>
      <c r="B829" s="78"/>
      <c r="C829" s="189"/>
      <c r="D829" s="185"/>
      <c r="E829" s="186"/>
      <c r="F829" s="187"/>
    </row>
    <row r="830" spans="1:6" x14ac:dyDescent="0.2">
      <c r="A830" s="275"/>
      <c r="B830" s="78"/>
      <c r="C830" s="189"/>
      <c r="D830" s="185"/>
      <c r="E830" s="186"/>
      <c r="F830" s="187"/>
    </row>
    <row r="831" spans="1:6" x14ac:dyDescent="0.2">
      <c r="A831" s="275"/>
      <c r="B831" s="78"/>
      <c r="C831" s="189"/>
      <c r="D831" s="185"/>
      <c r="E831" s="186"/>
      <c r="F831" s="187"/>
    </row>
    <row r="832" spans="1:6" x14ac:dyDescent="0.2">
      <c r="A832" s="275"/>
      <c r="B832" s="78"/>
      <c r="C832" s="189"/>
      <c r="D832" s="185"/>
      <c r="E832" s="186"/>
      <c r="F832" s="187"/>
    </row>
    <row r="833" spans="1:6" x14ac:dyDescent="0.2">
      <c r="A833" s="275"/>
      <c r="B833" s="78"/>
      <c r="C833" s="189"/>
      <c r="D833" s="185"/>
      <c r="E833" s="186"/>
      <c r="F833" s="187"/>
    </row>
    <row r="834" spans="1:6" x14ac:dyDescent="0.2">
      <c r="A834" s="275"/>
      <c r="B834" s="78"/>
      <c r="C834" s="189"/>
      <c r="D834" s="185"/>
      <c r="E834" s="186"/>
      <c r="F834" s="187"/>
    </row>
    <row r="835" spans="1:6" x14ac:dyDescent="0.2">
      <c r="A835" s="275"/>
      <c r="B835" s="78"/>
      <c r="C835" s="189"/>
      <c r="D835" s="185"/>
      <c r="E835" s="186"/>
      <c r="F835" s="187"/>
    </row>
    <row r="836" spans="1:6" x14ac:dyDescent="0.2">
      <c r="A836" s="275"/>
      <c r="B836" s="78"/>
      <c r="C836" s="189"/>
      <c r="D836" s="185"/>
      <c r="E836" s="186"/>
      <c r="F836" s="187"/>
    </row>
    <row r="837" spans="1:6" x14ac:dyDescent="0.2">
      <c r="A837" s="275"/>
      <c r="B837" s="78"/>
      <c r="C837" s="189"/>
      <c r="D837" s="185"/>
      <c r="E837" s="186"/>
      <c r="F837" s="187"/>
    </row>
    <row r="838" spans="1:6" x14ac:dyDescent="0.2">
      <c r="A838" s="275"/>
      <c r="B838" s="78"/>
      <c r="C838" s="189"/>
      <c r="D838" s="185"/>
      <c r="E838" s="186"/>
      <c r="F838" s="187"/>
    </row>
    <row r="839" spans="1:6" x14ac:dyDescent="0.2">
      <c r="A839" s="275"/>
      <c r="B839" s="78"/>
      <c r="C839" s="189"/>
      <c r="D839" s="185"/>
      <c r="E839" s="186"/>
      <c r="F839" s="187"/>
    </row>
    <row r="840" spans="1:6" x14ac:dyDescent="0.2">
      <c r="A840" s="275"/>
      <c r="B840" s="78"/>
      <c r="C840" s="189"/>
      <c r="D840" s="185"/>
      <c r="E840" s="186"/>
      <c r="F840" s="187"/>
    </row>
    <row r="841" spans="1:6" x14ac:dyDescent="0.2">
      <c r="A841" s="275"/>
      <c r="B841" s="78"/>
      <c r="C841" s="189"/>
      <c r="D841" s="185"/>
      <c r="E841" s="186"/>
      <c r="F841" s="187"/>
    </row>
    <row r="842" spans="1:6" x14ac:dyDescent="0.2">
      <c r="A842" s="275"/>
      <c r="B842" s="78"/>
      <c r="C842" s="189"/>
      <c r="D842" s="185"/>
      <c r="E842" s="186"/>
      <c r="F842" s="187"/>
    </row>
    <row r="843" spans="1:6" x14ac:dyDescent="0.2">
      <c r="A843" s="275"/>
      <c r="B843" s="78"/>
      <c r="C843" s="189"/>
      <c r="D843" s="185"/>
      <c r="E843" s="186"/>
      <c r="F843" s="187"/>
    </row>
    <row r="844" spans="1:6" x14ac:dyDescent="0.2">
      <c r="A844" s="275"/>
      <c r="B844" s="78"/>
      <c r="C844" s="189"/>
      <c r="D844" s="185"/>
      <c r="E844" s="186"/>
      <c r="F844" s="187"/>
    </row>
    <row r="845" spans="1:6" x14ac:dyDescent="0.2">
      <c r="A845" s="275"/>
      <c r="B845" s="78"/>
      <c r="C845" s="189"/>
      <c r="D845" s="185"/>
      <c r="E845" s="186"/>
      <c r="F845" s="187"/>
    </row>
    <row r="846" spans="1:6" x14ac:dyDescent="0.2">
      <c r="A846" s="275"/>
      <c r="B846" s="78"/>
      <c r="C846" s="189"/>
      <c r="D846" s="185"/>
      <c r="E846" s="186"/>
      <c r="F846" s="187"/>
    </row>
    <row r="847" spans="1:6" x14ac:dyDescent="0.2">
      <c r="A847" s="275"/>
      <c r="B847" s="78"/>
      <c r="C847" s="189"/>
      <c r="D847" s="185"/>
      <c r="E847" s="186"/>
      <c r="F847" s="187"/>
    </row>
    <row r="848" spans="1:6" x14ac:dyDescent="0.2">
      <c r="A848" s="275"/>
      <c r="B848" s="78"/>
      <c r="C848" s="189"/>
      <c r="D848" s="185"/>
      <c r="E848" s="186"/>
      <c r="F848" s="187"/>
    </row>
    <row r="849" spans="1:6" x14ac:dyDescent="0.2">
      <c r="A849" s="275"/>
      <c r="B849" s="78"/>
      <c r="C849" s="189"/>
      <c r="D849" s="185"/>
      <c r="E849" s="186"/>
      <c r="F849" s="187"/>
    </row>
    <row r="850" spans="1:6" x14ac:dyDescent="0.2">
      <c r="A850" s="275"/>
      <c r="B850" s="78"/>
      <c r="C850" s="189"/>
      <c r="D850" s="185"/>
      <c r="E850" s="186"/>
      <c r="F850" s="187"/>
    </row>
    <row r="851" spans="1:6" x14ac:dyDescent="0.2">
      <c r="A851" s="275"/>
      <c r="B851" s="78"/>
      <c r="C851" s="189"/>
      <c r="D851" s="185"/>
      <c r="E851" s="186"/>
      <c r="F851" s="187"/>
    </row>
    <row r="852" spans="1:6" x14ac:dyDescent="0.2">
      <c r="A852" s="275"/>
      <c r="B852" s="78"/>
      <c r="C852" s="189"/>
      <c r="D852" s="185"/>
      <c r="E852" s="186"/>
      <c r="F852" s="187"/>
    </row>
    <row r="853" spans="1:6" x14ac:dyDescent="0.2">
      <c r="A853" s="275"/>
      <c r="B853" s="78"/>
      <c r="C853" s="189"/>
      <c r="D853" s="185"/>
      <c r="E853" s="186"/>
      <c r="F853" s="187"/>
    </row>
    <row r="854" spans="1:6" x14ac:dyDescent="0.2">
      <c r="A854" s="275"/>
      <c r="B854" s="78"/>
      <c r="C854" s="189"/>
      <c r="D854" s="185"/>
      <c r="E854" s="186"/>
      <c r="F854" s="187"/>
    </row>
    <row r="855" spans="1:6" x14ac:dyDescent="0.2">
      <c r="A855" s="275"/>
      <c r="B855" s="78"/>
      <c r="C855" s="189"/>
      <c r="D855" s="185"/>
      <c r="E855" s="186"/>
      <c r="F855" s="187"/>
    </row>
    <row r="856" spans="1:6" x14ac:dyDescent="0.2">
      <c r="A856" s="275"/>
      <c r="B856" s="78"/>
      <c r="C856" s="189"/>
      <c r="D856" s="185"/>
      <c r="E856" s="186"/>
      <c r="F856" s="187"/>
    </row>
    <row r="857" spans="1:6" x14ac:dyDescent="0.2">
      <c r="A857" s="275"/>
      <c r="B857" s="78"/>
      <c r="C857" s="189"/>
      <c r="D857" s="185"/>
      <c r="E857" s="186"/>
      <c r="F857" s="187"/>
    </row>
    <row r="858" spans="1:6" x14ac:dyDescent="0.2">
      <c r="A858" s="275"/>
      <c r="B858" s="78"/>
      <c r="C858" s="189"/>
      <c r="D858" s="185"/>
      <c r="E858" s="186"/>
      <c r="F858" s="187"/>
    </row>
    <row r="859" spans="1:6" x14ac:dyDescent="0.2">
      <c r="A859" s="275"/>
      <c r="B859" s="78"/>
      <c r="C859" s="189"/>
      <c r="D859" s="185"/>
      <c r="E859" s="186"/>
      <c r="F859" s="187"/>
    </row>
    <row r="860" spans="1:6" x14ac:dyDescent="0.2">
      <c r="A860" s="275"/>
      <c r="B860" s="78"/>
      <c r="C860" s="189"/>
      <c r="D860" s="185"/>
      <c r="E860" s="186"/>
      <c r="F860" s="187"/>
    </row>
    <row r="861" spans="1:6" x14ac:dyDescent="0.2">
      <c r="A861" s="275"/>
      <c r="B861" s="78"/>
      <c r="C861" s="189"/>
      <c r="D861" s="185"/>
      <c r="E861" s="186"/>
      <c r="F861" s="187"/>
    </row>
    <row r="862" spans="1:6" x14ac:dyDescent="0.2">
      <c r="A862" s="275"/>
      <c r="B862" s="78"/>
      <c r="C862" s="189"/>
      <c r="D862" s="185"/>
      <c r="E862" s="186"/>
      <c r="F862" s="187"/>
    </row>
    <row r="863" spans="1:6" x14ac:dyDescent="0.2">
      <c r="A863" s="275"/>
      <c r="B863" s="78"/>
      <c r="C863" s="189"/>
      <c r="D863" s="185"/>
      <c r="E863" s="186"/>
      <c r="F863" s="187"/>
    </row>
    <row r="864" spans="1:6" x14ac:dyDescent="0.2">
      <c r="A864" s="275"/>
      <c r="B864" s="78"/>
      <c r="C864" s="189"/>
      <c r="D864" s="185"/>
      <c r="E864" s="186"/>
      <c r="F864" s="187"/>
    </row>
    <row r="865" spans="1:6" x14ac:dyDescent="0.2">
      <c r="A865" s="275"/>
      <c r="B865" s="78"/>
      <c r="C865" s="189"/>
      <c r="D865" s="185"/>
      <c r="E865" s="186"/>
      <c r="F865" s="187"/>
    </row>
    <row r="866" spans="1:6" x14ac:dyDescent="0.2">
      <c r="A866" s="275"/>
      <c r="B866" s="78"/>
      <c r="C866" s="189"/>
      <c r="D866" s="185"/>
      <c r="E866" s="186"/>
      <c r="F866" s="187"/>
    </row>
    <row r="867" spans="1:6" x14ac:dyDescent="0.2">
      <c r="A867" s="275"/>
      <c r="B867" s="78"/>
      <c r="C867" s="189"/>
      <c r="D867" s="185"/>
      <c r="E867" s="186"/>
      <c r="F867" s="187"/>
    </row>
    <row r="868" spans="1:6" x14ac:dyDescent="0.2">
      <c r="A868" s="275"/>
      <c r="B868" s="78"/>
      <c r="C868" s="189"/>
      <c r="D868" s="185"/>
      <c r="E868" s="186"/>
      <c r="F868" s="187"/>
    </row>
    <row r="869" spans="1:6" x14ac:dyDescent="0.2">
      <c r="A869" s="275"/>
      <c r="B869" s="78"/>
      <c r="C869" s="189"/>
      <c r="D869" s="185"/>
      <c r="E869" s="186"/>
      <c r="F869" s="187"/>
    </row>
    <row r="870" spans="1:6" x14ac:dyDescent="0.2">
      <c r="A870" s="275"/>
      <c r="B870" s="78"/>
      <c r="C870" s="189"/>
      <c r="D870" s="185"/>
      <c r="E870" s="186"/>
      <c r="F870" s="187"/>
    </row>
    <row r="871" spans="1:6" x14ac:dyDescent="0.2">
      <c r="A871" s="275"/>
      <c r="B871" s="78"/>
      <c r="C871" s="189"/>
      <c r="D871" s="185"/>
      <c r="E871" s="186"/>
      <c r="F871" s="187"/>
    </row>
    <row r="872" spans="1:6" x14ac:dyDescent="0.2">
      <c r="A872" s="275"/>
      <c r="B872" s="78"/>
      <c r="C872" s="189"/>
      <c r="D872" s="185"/>
      <c r="E872" s="186"/>
      <c r="F872" s="187"/>
    </row>
    <row r="873" spans="1:6" x14ac:dyDescent="0.2">
      <c r="A873" s="275"/>
      <c r="B873" s="78"/>
      <c r="C873" s="189"/>
      <c r="D873" s="185"/>
      <c r="E873" s="186"/>
      <c r="F873" s="187"/>
    </row>
    <row r="874" spans="1:6" x14ac:dyDescent="0.2">
      <c r="A874" s="275"/>
      <c r="B874" s="78"/>
      <c r="C874" s="189"/>
      <c r="D874" s="185"/>
      <c r="E874" s="186"/>
      <c r="F874" s="187"/>
    </row>
    <row r="875" spans="1:6" x14ac:dyDescent="0.2">
      <c r="A875" s="275"/>
      <c r="B875" s="78"/>
      <c r="C875" s="189"/>
      <c r="D875" s="185"/>
      <c r="E875" s="186"/>
      <c r="F875" s="187"/>
    </row>
    <row r="876" spans="1:6" x14ac:dyDescent="0.2">
      <c r="A876" s="275"/>
      <c r="B876" s="78"/>
      <c r="C876" s="189"/>
      <c r="D876" s="185"/>
      <c r="E876" s="186"/>
      <c r="F876" s="187"/>
    </row>
    <row r="877" spans="1:6" x14ac:dyDescent="0.2">
      <c r="A877" s="275"/>
      <c r="B877" s="78"/>
      <c r="C877" s="189"/>
      <c r="D877" s="185"/>
      <c r="E877" s="186"/>
      <c r="F877" s="187"/>
    </row>
    <row r="878" spans="1:6" x14ac:dyDescent="0.2">
      <c r="A878" s="275"/>
      <c r="B878" s="78"/>
      <c r="C878" s="189"/>
      <c r="D878" s="185"/>
      <c r="E878" s="186"/>
      <c r="F878" s="187"/>
    </row>
    <row r="879" spans="1:6" x14ac:dyDescent="0.2">
      <c r="A879" s="275"/>
      <c r="B879" s="78"/>
      <c r="C879" s="189"/>
      <c r="D879" s="185"/>
      <c r="E879" s="186"/>
      <c r="F879" s="187"/>
    </row>
    <row r="880" spans="1:6" x14ac:dyDescent="0.2">
      <c r="A880" s="275"/>
      <c r="B880" s="78"/>
      <c r="C880" s="189"/>
      <c r="D880" s="185"/>
      <c r="E880" s="186"/>
      <c r="F880" s="187"/>
    </row>
    <row r="881" spans="1:6" x14ac:dyDescent="0.2">
      <c r="A881" s="275"/>
      <c r="B881" s="78"/>
      <c r="C881" s="189"/>
      <c r="D881" s="185"/>
      <c r="E881" s="186"/>
      <c r="F881" s="187"/>
    </row>
    <row r="882" spans="1:6" x14ac:dyDescent="0.2">
      <c r="A882" s="275"/>
      <c r="B882" s="78"/>
      <c r="C882" s="189"/>
      <c r="D882" s="185"/>
      <c r="E882" s="186"/>
      <c r="F882" s="187"/>
    </row>
    <row r="883" spans="1:6" x14ac:dyDescent="0.2">
      <c r="A883" s="275"/>
      <c r="B883" s="78"/>
      <c r="C883" s="189"/>
      <c r="D883" s="185"/>
      <c r="E883" s="186"/>
      <c r="F883" s="187"/>
    </row>
    <row r="884" spans="1:6" x14ac:dyDescent="0.2">
      <c r="A884" s="275"/>
      <c r="B884" s="78"/>
      <c r="C884" s="189"/>
      <c r="D884" s="185"/>
      <c r="E884" s="186"/>
      <c r="F884" s="187"/>
    </row>
    <row r="885" spans="1:6" x14ac:dyDescent="0.2">
      <c r="A885" s="275"/>
      <c r="B885" s="78"/>
      <c r="C885" s="189"/>
      <c r="D885" s="185"/>
      <c r="E885" s="186"/>
      <c r="F885" s="187"/>
    </row>
    <row r="886" spans="1:6" x14ac:dyDescent="0.2">
      <c r="A886" s="275"/>
      <c r="B886" s="78"/>
      <c r="C886" s="189"/>
      <c r="D886" s="185"/>
      <c r="E886" s="186"/>
      <c r="F886" s="187"/>
    </row>
    <row r="887" spans="1:6" x14ac:dyDescent="0.2">
      <c r="A887" s="275"/>
      <c r="B887" s="78"/>
      <c r="C887" s="189"/>
      <c r="D887" s="185"/>
      <c r="E887" s="186"/>
      <c r="F887" s="187"/>
    </row>
    <row r="888" spans="1:6" x14ac:dyDescent="0.2">
      <c r="A888" s="275"/>
      <c r="B888" s="78"/>
      <c r="C888" s="189"/>
      <c r="D888" s="185"/>
      <c r="E888" s="186"/>
      <c r="F888" s="187"/>
    </row>
    <row r="889" spans="1:6" x14ac:dyDescent="0.2">
      <c r="A889" s="275"/>
      <c r="B889" s="78"/>
      <c r="C889" s="189"/>
      <c r="D889" s="185"/>
      <c r="E889" s="186"/>
      <c r="F889" s="187"/>
    </row>
    <row r="890" spans="1:6" x14ac:dyDescent="0.2">
      <c r="A890" s="275"/>
      <c r="B890" s="78"/>
      <c r="C890" s="189"/>
      <c r="D890" s="185"/>
      <c r="E890" s="186"/>
      <c r="F890" s="187"/>
    </row>
    <row r="891" spans="1:6" x14ac:dyDescent="0.2">
      <c r="A891" s="275"/>
      <c r="B891" s="78"/>
      <c r="C891" s="189"/>
      <c r="D891" s="185"/>
      <c r="E891" s="186"/>
      <c r="F891" s="187"/>
    </row>
    <row r="892" spans="1:6" x14ac:dyDescent="0.2">
      <c r="A892" s="275"/>
      <c r="B892" s="78"/>
      <c r="C892" s="189"/>
      <c r="D892" s="185"/>
      <c r="E892" s="186"/>
      <c r="F892" s="187"/>
    </row>
    <row r="893" spans="1:6" x14ac:dyDescent="0.2">
      <c r="A893" s="275"/>
      <c r="B893" s="78"/>
      <c r="C893" s="189"/>
      <c r="D893" s="185"/>
      <c r="E893" s="186"/>
      <c r="F893" s="187"/>
    </row>
    <row r="894" spans="1:6" x14ac:dyDescent="0.2">
      <c r="A894" s="275"/>
      <c r="B894" s="78"/>
      <c r="C894" s="189"/>
      <c r="D894" s="185"/>
      <c r="E894" s="186"/>
      <c r="F894" s="187"/>
    </row>
    <row r="895" spans="1:6" x14ac:dyDescent="0.2">
      <c r="A895" s="275"/>
      <c r="B895" s="78"/>
      <c r="C895" s="189"/>
      <c r="D895" s="185"/>
      <c r="E895" s="186"/>
      <c r="F895" s="187"/>
    </row>
    <row r="896" spans="1:6" x14ac:dyDescent="0.2">
      <c r="A896" s="275"/>
      <c r="B896" s="78"/>
      <c r="C896" s="189"/>
      <c r="D896" s="185"/>
      <c r="E896" s="186"/>
      <c r="F896" s="187"/>
    </row>
    <row r="897" spans="1:6" x14ac:dyDescent="0.2">
      <c r="A897" s="275"/>
      <c r="B897" s="78"/>
      <c r="C897" s="189"/>
      <c r="D897" s="185"/>
      <c r="E897" s="186"/>
      <c r="F897" s="187"/>
    </row>
    <row r="898" spans="1:6" x14ac:dyDescent="0.2">
      <c r="A898" s="275"/>
      <c r="B898" s="78"/>
      <c r="C898" s="189"/>
      <c r="D898" s="185"/>
      <c r="E898" s="186"/>
      <c r="F898" s="187"/>
    </row>
    <row r="899" spans="1:6" x14ac:dyDescent="0.2">
      <c r="A899" s="275"/>
      <c r="B899" s="78"/>
      <c r="C899" s="189"/>
      <c r="D899" s="185"/>
      <c r="E899" s="186"/>
      <c r="F899" s="187"/>
    </row>
    <row r="900" spans="1:6" x14ac:dyDescent="0.2">
      <c r="A900" s="275"/>
      <c r="B900" s="78"/>
      <c r="C900" s="189"/>
      <c r="D900" s="185"/>
      <c r="E900" s="186"/>
      <c r="F900" s="187"/>
    </row>
    <row r="901" spans="1:6" x14ac:dyDescent="0.2">
      <c r="A901" s="275"/>
      <c r="B901" s="78"/>
      <c r="C901" s="189"/>
      <c r="D901" s="185"/>
      <c r="E901" s="186"/>
      <c r="F901" s="187"/>
    </row>
    <row r="902" spans="1:6" x14ac:dyDescent="0.2">
      <c r="A902" s="275"/>
      <c r="B902" s="78"/>
      <c r="C902" s="189"/>
      <c r="D902" s="185"/>
      <c r="E902" s="186"/>
      <c r="F902" s="187"/>
    </row>
    <row r="903" spans="1:6" x14ac:dyDescent="0.2">
      <c r="A903" s="275"/>
      <c r="B903" s="78"/>
      <c r="C903" s="189"/>
      <c r="D903" s="185"/>
      <c r="E903" s="186"/>
      <c r="F903" s="187"/>
    </row>
    <row r="904" spans="1:6" x14ac:dyDescent="0.2">
      <c r="A904" s="275"/>
      <c r="B904" s="78"/>
      <c r="C904" s="189"/>
      <c r="D904" s="185"/>
      <c r="E904" s="186"/>
      <c r="F904" s="187"/>
    </row>
    <row r="905" spans="1:6" x14ac:dyDescent="0.2">
      <c r="A905" s="275"/>
      <c r="B905" s="78"/>
      <c r="C905" s="189"/>
      <c r="D905" s="185"/>
      <c r="E905" s="186"/>
      <c r="F905" s="187"/>
    </row>
    <row r="906" spans="1:6" x14ac:dyDescent="0.2">
      <c r="A906" s="275"/>
      <c r="B906" s="78"/>
      <c r="C906" s="189"/>
      <c r="D906" s="185"/>
      <c r="E906" s="186"/>
      <c r="F906" s="187"/>
    </row>
    <row r="907" spans="1:6" x14ac:dyDescent="0.2">
      <c r="A907" s="275"/>
      <c r="B907" s="78"/>
      <c r="C907" s="189"/>
      <c r="D907" s="185"/>
      <c r="E907" s="186"/>
      <c r="F907" s="187"/>
    </row>
    <row r="908" spans="1:6" x14ac:dyDescent="0.2">
      <c r="A908" s="275"/>
      <c r="B908" s="78"/>
      <c r="C908" s="189"/>
      <c r="D908" s="185"/>
      <c r="E908" s="186"/>
      <c r="F908" s="187"/>
    </row>
    <row r="909" spans="1:6" x14ac:dyDescent="0.2">
      <c r="A909" s="275"/>
      <c r="B909" s="78"/>
      <c r="C909" s="189"/>
      <c r="D909" s="185"/>
      <c r="E909" s="186"/>
      <c r="F909" s="187"/>
    </row>
    <row r="910" spans="1:6" x14ac:dyDescent="0.2">
      <c r="A910" s="275"/>
      <c r="B910" s="78"/>
      <c r="C910" s="189"/>
      <c r="D910" s="185"/>
      <c r="E910" s="186"/>
      <c r="F910" s="187"/>
    </row>
    <row r="911" spans="1:6" x14ac:dyDescent="0.2">
      <c r="A911" s="275"/>
      <c r="B911" s="78"/>
      <c r="C911" s="189"/>
      <c r="D911" s="185"/>
      <c r="E911" s="186"/>
      <c r="F911" s="187"/>
    </row>
    <row r="912" spans="1:6" x14ac:dyDescent="0.2">
      <c r="A912" s="275"/>
      <c r="B912" s="78"/>
      <c r="C912" s="189"/>
      <c r="D912" s="185"/>
      <c r="E912" s="186"/>
      <c r="F912" s="187"/>
    </row>
    <row r="913" spans="1:6" x14ac:dyDescent="0.2">
      <c r="A913" s="275"/>
      <c r="B913" s="78"/>
      <c r="C913" s="189"/>
      <c r="D913" s="185"/>
      <c r="E913" s="186"/>
      <c r="F913" s="187"/>
    </row>
    <row r="914" spans="1:6" x14ac:dyDescent="0.2">
      <c r="A914" s="275"/>
      <c r="B914" s="78"/>
      <c r="C914" s="189"/>
      <c r="D914" s="185"/>
      <c r="E914" s="186"/>
      <c r="F914" s="187"/>
    </row>
    <row r="915" spans="1:6" x14ac:dyDescent="0.2">
      <c r="A915" s="275"/>
      <c r="B915" s="78"/>
      <c r="C915" s="189"/>
      <c r="D915" s="185"/>
      <c r="E915" s="186"/>
      <c r="F915" s="187"/>
    </row>
    <row r="916" spans="1:6" x14ac:dyDescent="0.2">
      <c r="A916" s="275"/>
      <c r="B916" s="78"/>
      <c r="C916" s="189"/>
      <c r="D916" s="185"/>
      <c r="E916" s="186"/>
      <c r="F916" s="187"/>
    </row>
    <row r="917" spans="1:6" x14ac:dyDescent="0.2">
      <c r="A917" s="275"/>
      <c r="B917" s="78"/>
      <c r="C917" s="189"/>
      <c r="D917" s="185"/>
      <c r="E917" s="186"/>
      <c r="F917" s="187"/>
    </row>
    <row r="918" spans="1:6" x14ac:dyDescent="0.2">
      <c r="A918" s="275"/>
      <c r="B918" s="78"/>
      <c r="C918" s="189"/>
      <c r="D918" s="185"/>
      <c r="E918" s="186"/>
      <c r="F918" s="187"/>
    </row>
    <row r="919" spans="1:6" x14ac:dyDescent="0.2">
      <c r="A919" s="275"/>
      <c r="B919" s="78"/>
      <c r="C919" s="189"/>
      <c r="D919" s="185"/>
      <c r="E919" s="186"/>
      <c r="F919" s="187"/>
    </row>
    <row r="920" spans="1:6" x14ac:dyDescent="0.2">
      <c r="A920" s="275"/>
      <c r="B920" s="78"/>
      <c r="C920" s="189"/>
      <c r="D920" s="185"/>
      <c r="E920" s="186"/>
      <c r="F920" s="187"/>
    </row>
    <row r="921" spans="1:6" x14ac:dyDescent="0.2">
      <c r="A921" s="275"/>
      <c r="B921" s="78"/>
      <c r="C921" s="189"/>
      <c r="D921" s="185"/>
      <c r="E921" s="186"/>
      <c r="F921" s="187"/>
    </row>
    <row r="922" spans="1:6" x14ac:dyDescent="0.2">
      <c r="A922" s="275"/>
      <c r="B922" s="78"/>
      <c r="C922" s="189"/>
      <c r="D922" s="185"/>
      <c r="E922" s="186"/>
      <c r="F922" s="187"/>
    </row>
    <row r="923" spans="1:6" x14ac:dyDescent="0.2">
      <c r="A923" s="275"/>
      <c r="B923" s="78"/>
      <c r="C923" s="189"/>
      <c r="D923" s="185"/>
      <c r="E923" s="186"/>
      <c r="F923" s="187"/>
    </row>
    <row r="924" spans="1:6" x14ac:dyDescent="0.2">
      <c r="A924" s="275"/>
      <c r="B924" s="78"/>
      <c r="C924" s="189"/>
      <c r="D924" s="185"/>
      <c r="E924" s="186"/>
      <c r="F924" s="187"/>
    </row>
    <row r="925" spans="1:6" x14ac:dyDescent="0.2">
      <c r="A925" s="275"/>
      <c r="B925" s="78"/>
      <c r="C925" s="189"/>
      <c r="D925" s="185"/>
      <c r="E925" s="186"/>
      <c r="F925" s="187"/>
    </row>
    <row r="926" spans="1:6" x14ac:dyDescent="0.2">
      <c r="A926" s="275"/>
      <c r="B926" s="78"/>
      <c r="C926" s="189"/>
      <c r="D926" s="185"/>
      <c r="E926" s="186"/>
      <c r="F926" s="187"/>
    </row>
    <row r="927" spans="1:6" x14ac:dyDescent="0.2">
      <c r="A927" s="275"/>
      <c r="B927" s="78"/>
      <c r="C927" s="189"/>
      <c r="D927" s="185"/>
      <c r="E927" s="186"/>
      <c r="F927" s="187"/>
    </row>
    <row r="928" spans="1:6" x14ac:dyDescent="0.2">
      <c r="A928" s="275"/>
      <c r="B928" s="78"/>
      <c r="C928" s="189"/>
      <c r="D928" s="185"/>
      <c r="E928" s="186"/>
      <c r="F928" s="187"/>
    </row>
    <row r="929" spans="1:6" x14ac:dyDescent="0.2">
      <c r="A929" s="275"/>
      <c r="B929" s="78"/>
      <c r="C929" s="189"/>
      <c r="D929" s="185"/>
      <c r="E929" s="186"/>
      <c r="F929" s="187"/>
    </row>
    <row r="930" spans="1:6" x14ac:dyDescent="0.2">
      <c r="A930" s="275"/>
      <c r="B930" s="78"/>
      <c r="C930" s="189"/>
      <c r="D930" s="185"/>
      <c r="E930" s="186"/>
      <c r="F930" s="187"/>
    </row>
    <row r="931" spans="1:6" x14ac:dyDescent="0.2">
      <c r="A931" s="275"/>
      <c r="B931" s="78"/>
      <c r="C931" s="189"/>
      <c r="D931" s="185"/>
      <c r="E931" s="186"/>
      <c r="F931" s="187"/>
    </row>
    <row r="932" spans="1:6" x14ac:dyDescent="0.2">
      <c r="A932" s="275"/>
      <c r="B932" s="78"/>
      <c r="C932" s="189"/>
      <c r="D932" s="185"/>
      <c r="E932" s="186"/>
      <c r="F932" s="187"/>
    </row>
    <row r="933" spans="1:6" x14ac:dyDescent="0.2">
      <c r="A933" s="275"/>
      <c r="B933" s="78"/>
      <c r="C933" s="189"/>
      <c r="D933" s="185"/>
      <c r="E933" s="186"/>
      <c r="F933" s="187"/>
    </row>
    <row r="934" spans="1:6" x14ac:dyDescent="0.2">
      <c r="A934" s="275"/>
      <c r="B934" s="78"/>
      <c r="C934" s="189"/>
      <c r="D934" s="185"/>
      <c r="E934" s="186"/>
      <c r="F934" s="187"/>
    </row>
    <row r="935" spans="1:6" x14ac:dyDescent="0.2">
      <c r="A935" s="275"/>
      <c r="B935" s="78"/>
      <c r="C935" s="189"/>
      <c r="D935" s="185"/>
      <c r="E935" s="186"/>
      <c r="F935" s="187"/>
    </row>
    <row r="936" spans="1:6" x14ac:dyDescent="0.2">
      <c r="A936" s="275"/>
      <c r="B936" s="78"/>
      <c r="C936" s="189"/>
      <c r="D936" s="185"/>
      <c r="E936" s="186"/>
      <c r="F936" s="187"/>
    </row>
    <row r="937" spans="1:6" x14ac:dyDescent="0.2">
      <c r="A937" s="275"/>
      <c r="B937" s="78"/>
      <c r="C937" s="189"/>
      <c r="D937" s="185"/>
      <c r="E937" s="186"/>
      <c r="F937" s="187"/>
    </row>
    <row r="938" spans="1:6" x14ac:dyDescent="0.2">
      <c r="A938" s="275"/>
      <c r="B938" s="78"/>
      <c r="C938" s="189"/>
      <c r="D938" s="185"/>
      <c r="E938" s="186"/>
      <c r="F938" s="187"/>
    </row>
    <row r="939" spans="1:6" x14ac:dyDescent="0.2">
      <c r="A939" s="275"/>
      <c r="B939" s="78"/>
      <c r="C939" s="189"/>
      <c r="D939" s="185"/>
      <c r="E939" s="186"/>
      <c r="F939" s="187"/>
    </row>
    <row r="940" spans="1:6" x14ac:dyDescent="0.2">
      <c r="A940" s="275"/>
      <c r="B940" s="78"/>
      <c r="C940" s="189"/>
      <c r="D940" s="185"/>
      <c r="E940" s="186"/>
      <c r="F940" s="187"/>
    </row>
    <row r="941" spans="1:6" x14ac:dyDescent="0.2">
      <c r="A941" s="275"/>
      <c r="B941" s="78"/>
      <c r="C941" s="189"/>
      <c r="D941" s="185"/>
      <c r="E941" s="186"/>
      <c r="F941" s="187"/>
    </row>
    <row r="942" spans="1:6" x14ac:dyDescent="0.2">
      <c r="A942" s="275"/>
      <c r="B942" s="78"/>
      <c r="C942" s="189"/>
      <c r="D942" s="185"/>
      <c r="E942" s="186"/>
      <c r="F942" s="187"/>
    </row>
    <row r="943" spans="1:6" x14ac:dyDescent="0.2">
      <c r="A943" s="275"/>
      <c r="B943" s="78"/>
      <c r="C943" s="189"/>
      <c r="D943" s="185"/>
      <c r="E943" s="186"/>
      <c r="F943" s="187"/>
    </row>
    <row r="944" spans="1:6" x14ac:dyDescent="0.2">
      <c r="A944" s="275"/>
      <c r="B944" s="78"/>
      <c r="C944" s="189"/>
      <c r="D944" s="185"/>
      <c r="E944" s="186"/>
      <c r="F944" s="187"/>
    </row>
    <row r="945" spans="1:6" x14ac:dyDescent="0.2">
      <c r="A945" s="275"/>
      <c r="B945" s="78"/>
      <c r="C945" s="189"/>
      <c r="D945" s="185"/>
      <c r="E945" s="186"/>
      <c r="F945" s="187"/>
    </row>
    <row r="946" spans="1:6" x14ac:dyDescent="0.2">
      <c r="A946" s="275"/>
      <c r="B946" s="78"/>
      <c r="C946" s="189"/>
      <c r="D946" s="185"/>
      <c r="E946" s="186"/>
      <c r="F946" s="187"/>
    </row>
    <row r="947" spans="1:6" x14ac:dyDescent="0.2">
      <c r="A947" s="275"/>
      <c r="B947" s="78"/>
      <c r="C947" s="189"/>
      <c r="D947" s="185"/>
      <c r="E947" s="186"/>
      <c r="F947" s="187"/>
    </row>
    <row r="948" spans="1:6" x14ac:dyDescent="0.2">
      <c r="A948" s="275"/>
      <c r="B948" s="78"/>
      <c r="C948" s="189"/>
      <c r="D948" s="185"/>
      <c r="E948" s="186"/>
      <c r="F948" s="187"/>
    </row>
    <row r="949" spans="1:6" x14ac:dyDescent="0.2">
      <c r="A949" s="275"/>
      <c r="B949" s="78"/>
      <c r="C949" s="189"/>
      <c r="D949" s="185"/>
      <c r="E949" s="186"/>
      <c r="F949" s="187"/>
    </row>
    <row r="950" spans="1:6" x14ac:dyDescent="0.2">
      <c r="A950" s="275"/>
      <c r="B950" s="78"/>
      <c r="C950" s="189"/>
      <c r="D950" s="185"/>
      <c r="E950" s="186"/>
      <c r="F950" s="187"/>
    </row>
    <row r="951" spans="1:6" x14ac:dyDescent="0.2">
      <c r="A951" s="275"/>
      <c r="B951" s="78"/>
      <c r="C951" s="189"/>
      <c r="D951" s="185"/>
      <c r="E951" s="186"/>
      <c r="F951" s="187"/>
    </row>
    <row r="952" spans="1:6" x14ac:dyDescent="0.2">
      <c r="A952" s="275"/>
      <c r="B952" s="78"/>
      <c r="C952" s="189"/>
      <c r="D952" s="185"/>
      <c r="E952" s="186"/>
      <c r="F952" s="187"/>
    </row>
    <row r="953" spans="1:6" x14ac:dyDescent="0.2">
      <c r="A953" s="275"/>
      <c r="B953" s="78"/>
      <c r="C953" s="189"/>
      <c r="D953" s="185"/>
      <c r="E953" s="186"/>
      <c r="F953" s="187"/>
    </row>
    <row r="954" spans="1:6" x14ac:dyDescent="0.2">
      <c r="A954" s="275"/>
      <c r="B954" s="78"/>
      <c r="C954" s="189"/>
      <c r="D954" s="185"/>
      <c r="E954" s="186"/>
      <c r="F954" s="187"/>
    </row>
    <row r="955" spans="1:6" x14ac:dyDescent="0.2">
      <c r="A955" s="275"/>
      <c r="B955" s="78"/>
      <c r="C955" s="189"/>
      <c r="D955" s="185"/>
      <c r="E955" s="186"/>
      <c r="F955" s="187"/>
    </row>
    <row r="956" spans="1:6" x14ac:dyDescent="0.2">
      <c r="A956" s="275"/>
      <c r="B956" s="78"/>
      <c r="C956" s="189"/>
      <c r="D956" s="185"/>
      <c r="E956" s="186"/>
      <c r="F956" s="187"/>
    </row>
    <row r="957" spans="1:6" x14ac:dyDescent="0.2">
      <c r="A957" s="275"/>
      <c r="B957" s="78"/>
      <c r="C957" s="189"/>
      <c r="D957" s="185"/>
      <c r="E957" s="186"/>
      <c r="F957" s="187"/>
    </row>
    <row r="958" spans="1:6" x14ac:dyDescent="0.2">
      <c r="A958" s="275"/>
      <c r="B958" s="78"/>
      <c r="C958" s="189"/>
      <c r="D958" s="185"/>
      <c r="E958" s="186"/>
      <c r="F958" s="187"/>
    </row>
    <row r="959" spans="1:6" x14ac:dyDescent="0.2">
      <c r="A959" s="275"/>
      <c r="B959" s="78"/>
      <c r="C959" s="189"/>
      <c r="D959" s="185"/>
      <c r="E959" s="186"/>
      <c r="F959" s="187"/>
    </row>
    <row r="960" spans="1:6" x14ac:dyDescent="0.2">
      <c r="A960" s="275"/>
      <c r="B960" s="78"/>
      <c r="C960" s="189"/>
      <c r="D960" s="185"/>
      <c r="E960" s="186"/>
      <c r="F960" s="187"/>
    </row>
    <row r="961" spans="1:6" x14ac:dyDescent="0.2">
      <c r="A961" s="275"/>
      <c r="B961" s="78"/>
      <c r="C961" s="189"/>
      <c r="D961" s="185"/>
      <c r="E961" s="186"/>
      <c r="F961" s="187"/>
    </row>
    <row r="962" spans="1:6" x14ac:dyDescent="0.2">
      <c r="A962" s="275"/>
      <c r="B962" s="78"/>
      <c r="C962" s="189"/>
      <c r="D962" s="185"/>
      <c r="E962" s="186"/>
      <c r="F962" s="187"/>
    </row>
    <row r="963" spans="1:6" x14ac:dyDescent="0.2">
      <c r="A963" s="275"/>
      <c r="B963" s="78"/>
      <c r="C963" s="189"/>
      <c r="D963" s="185"/>
      <c r="E963" s="186"/>
      <c r="F963" s="187"/>
    </row>
    <row r="964" spans="1:6" x14ac:dyDescent="0.2">
      <c r="A964" s="275"/>
      <c r="B964" s="78"/>
      <c r="C964" s="189"/>
      <c r="D964" s="185"/>
      <c r="E964" s="186"/>
      <c r="F964" s="187"/>
    </row>
    <row r="965" spans="1:6" x14ac:dyDescent="0.2">
      <c r="A965" s="275"/>
      <c r="B965" s="78"/>
      <c r="C965" s="189"/>
      <c r="D965" s="185"/>
      <c r="E965" s="186"/>
      <c r="F965" s="187"/>
    </row>
    <row r="966" spans="1:6" x14ac:dyDescent="0.2">
      <c r="A966" s="275"/>
      <c r="B966" s="78"/>
      <c r="C966" s="189"/>
      <c r="D966" s="185"/>
      <c r="E966" s="186"/>
      <c r="F966" s="187"/>
    </row>
    <row r="967" spans="1:6" x14ac:dyDescent="0.2">
      <c r="A967" s="275"/>
      <c r="B967" s="78"/>
      <c r="C967" s="189"/>
      <c r="D967" s="185"/>
      <c r="E967" s="186"/>
      <c r="F967" s="187"/>
    </row>
    <row r="968" spans="1:6" x14ac:dyDescent="0.2">
      <c r="A968" s="275"/>
      <c r="B968" s="78"/>
      <c r="C968" s="189"/>
      <c r="D968" s="185"/>
      <c r="E968" s="186"/>
      <c r="F968" s="187"/>
    </row>
    <row r="969" spans="1:6" x14ac:dyDescent="0.2">
      <c r="A969" s="275"/>
      <c r="B969" s="78"/>
      <c r="C969" s="189"/>
      <c r="D969" s="185"/>
      <c r="E969" s="186"/>
      <c r="F969" s="187"/>
    </row>
    <row r="970" spans="1:6" x14ac:dyDescent="0.2">
      <c r="A970" s="275"/>
      <c r="B970" s="78"/>
      <c r="C970" s="189"/>
      <c r="D970" s="185"/>
      <c r="E970" s="186"/>
      <c r="F970" s="187"/>
    </row>
    <row r="971" spans="1:6" x14ac:dyDescent="0.2">
      <c r="A971" s="275"/>
      <c r="B971" s="78"/>
      <c r="C971" s="189"/>
      <c r="D971" s="185"/>
      <c r="E971" s="186"/>
      <c r="F971" s="187"/>
    </row>
    <row r="972" spans="1:6" x14ac:dyDescent="0.2">
      <c r="A972" s="275"/>
      <c r="B972" s="78"/>
      <c r="C972" s="189"/>
      <c r="D972" s="185"/>
      <c r="E972" s="186"/>
      <c r="F972" s="187"/>
    </row>
    <row r="973" spans="1:6" x14ac:dyDescent="0.2">
      <c r="A973" s="275"/>
      <c r="B973" s="78"/>
      <c r="C973" s="189"/>
      <c r="D973" s="185"/>
      <c r="E973" s="186"/>
      <c r="F973" s="187"/>
    </row>
    <row r="974" spans="1:6" x14ac:dyDescent="0.2">
      <c r="A974" s="275"/>
      <c r="B974" s="78"/>
      <c r="C974" s="189"/>
      <c r="D974" s="185"/>
      <c r="E974" s="186"/>
      <c r="F974" s="187"/>
    </row>
    <row r="975" spans="1:6" x14ac:dyDescent="0.2">
      <c r="A975" s="275"/>
      <c r="B975" s="78"/>
      <c r="C975" s="189"/>
      <c r="D975" s="185"/>
      <c r="E975" s="186"/>
      <c r="F975" s="187"/>
    </row>
    <row r="976" spans="1:6" x14ac:dyDescent="0.2">
      <c r="A976" s="275"/>
      <c r="B976" s="78"/>
      <c r="C976" s="189"/>
      <c r="D976" s="185"/>
      <c r="E976" s="186"/>
      <c r="F976" s="187"/>
    </row>
    <row r="977" spans="1:6" x14ac:dyDescent="0.2">
      <c r="A977" s="275"/>
      <c r="B977" s="78"/>
      <c r="C977" s="189"/>
      <c r="D977" s="185"/>
      <c r="E977" s="186"/>
      <c r="F977" s="187"/>
    </row>
    <row r="978" spans="1:6" x14ac:dyDescent="0.2">
      <c r="A978" s="275"/>
      <c r="B978" s="78"/>
      <c r="C978" s="189"/>
      <c r="D978" s="185"/>
      <c r="E978" s="186"/>
      <c r="F978" s="187"/>
    </row>
    <row r="979" spans="1:6" x14ac:dyDescent="0.2">
      <c r="A979" s="275"/>
      <c r="B979" s="78"/>
      <c r="C979" s="189"/>
      <c r="D979" s="185"/>
      <c r="E979" s="186"/>
      <c r="F979" s="187"/>
    </row>
    <row r="980" spans="1:6" x14ac:dyDescent="0.2">
      <c r="A980" s="275"/>
      <c r="B980" s="78"/>
      <c r="C980" s="189"/>
      <c r="D980" s="185"/>
      <c r="E980" s="186"/>
      <c r="F980" s="187"/>
    </row>
    <row r="981" spans="1:6" x14ac:dyDescent="0.2">
      <c r="A981" s="275"/>
      <c r="B981" s="78"/>
      <c r="C981" s="189"/>
      <c r="D981" s="185"/>
      <c r="E981" s="186"/>
      <c r="F981" s="187"/>
    </row>
    <row r="982" spans="1:6" x14ac:dyDescent="0.2">
      <c r="A982" s="275"/>
      <c r="B982" s="78"/>
      <c r="C982" s="189"/>
      <c r="D982" s="185"/>
      <c r="E982" s="186"/>
      <c r="F982" s="187"/>
    </row>
    <row r="983" spans="1:6" x14ac:dyDescent="0.2">
      <c r="A983" s="275"/>
      <c r="B983" s="78"/>
      <c r="C983" s="189"/>
      <c r="D983" s="185"/>
      <c r="E983" s="186"/>
      <c r="F983" s="187"/>
    </row>
    <row r="984" spans="1:6" x14ac:dyDescent="0.2">
      <c r="A984" s="275"/>
      <c r="B984" s="78"/>
      <c r="C984" s="189"/>
      <c r="D984" s="185"/>
      <c r="E984" s="186"/>
      <c r="F984" s="187"/>
    </row>
    <row r="985" spans="1:6" x14ac:dyDescent="0.2">
      <c r="A985" s="275"/>
      <c r="B985" s="78"/>
      <c r="C985" s="189"/>
      <c r="D985" s="185"/>
      <c r="E985" s="186"/>
      <c r="F985" s="187"/>
    </row>
    <row r="986" spans="1:6" x14ac:dyDescent="0.2">
      <c r="A986" s="275"/>
      <c r="B986" s="78"/>
      <c r="C986" s="189"/>
      <c r="D986" s="185"/>
      <c r="E986" s="186"/>
      <c r="F986" s="187"/>
    </row>
    <row r="987" spans="1:6" x14ac:dyDescent="0.2">
      <c r="A987" s="275"/>
      <c r="B987" s="78"/>
      <c r="C987" s="189"/>
      <c r="D987" s="185"/>
      <c r="E987" s="186"/>
      <c r="F987" s="187"/>
    </row>
    <row r="988" spans="1:6" x14ac:dyDescent="0.2">
      <c r="A988" s="275"/>
      <c r="B988" s="78"/>
      <c r="C988" s="189"/>
      <c r="D988" s="185"/>
      <c r="E988" s="186"/>
      <c r="F988" s="187"/>
    </row>
    <row r="989" spans="1:6" x14ac:dyDescent="0.2">
      <c r="A989" s="275"/>
      <c r="B989" s="78"/>
      <c r="C989" s="189"/>
      <c r="D989" s="185"/>
      <c r="E989" s="186"/>
      <c r="F989" s="187"/>
    </row>
    <row r="990" spans="1:6" x14ac:dyDescent="0.2">
      <c r="A990" s="275"/>
      <c r="B990" s="78"/>
      <c r="C990" s="189"/>
      <c r="D990" s="185"/>
      <c r="E990" s="186"/>
      <c r="F990" s="187"/>
    </row>
    <row r="991" spans="1:6" x14ac:dyDescent="0.2">
      <c r="A991" s="275"/>
      <c r="B991" s="78"/>
      <c r="C991" s="189"/>
      <c r="D991" s="185"/>
      <c r="E991" s="186"/>
      <c r="F991" s="187"/>
    </row>
    <row r="992" spans="1:6" x14ac:dyDescent="0.2">
      <c r="A992" s="275"/>
      <c r="B992" s="78"/>
      <c r="C992" s="189"/>
      <c r="D992" s="185"/>
      <c r="E992" s="186"/>
      <c r="F992" s="187"/>
    </row>
    <row r="993" spans="1:6" x14ac:dyDescent="0.2">
      <c r="A993" s="275"/>
      <c r="B993" s="78"/>
      <c r="C993" s="189"/>
      <c r="D993" s="185"/>
      <c r="E993" s="186"/>
      <c r="F993" s="187"/>
    </row>
    <row r="994" spans="1:6" x14ac:dyDescent="0.2">
      <c r="A994" s="275"/>
      <c r="B994" s="78"/>
      <c r="C994" s="189"/>
      <c r="D994" s="185"/>
      <c r="E994" s="186"/>
      <c r="F994" s="187"/>
    </row>
    <row r="995" spans="1:6" x14ac:dyDescent="0.2">
      <c r="A995" s="275"/>
      <c r="B995" s="78"/>
      <c r="C995" s="189"/>
      <c r="D995" s="185"/>
      <c r="E995" s="186"/>
      <c r="F995" s="187"/>
    </row>
    <row r="996" spans="1:6" x14ac:dyDescent="0.2">
      <c r="A996" s="275"/>
      <c r="B996" s="78"/>
      <c r="C996" s="189"/>
      <c r="D996" s="185"/>
      <c r="E996" s="186"/>
      <c r="F996" s="187"/>
    </row>
    <row r="997" spans="1:6" x14ac:dyDescent="0.2">
      <c r="A997" s="275"/>
      <c r="B997" s="78"/>
      <c r="C997" s="189"/>
      <c r="D997" s="185"/>
      <c r="E997" s="186"/>
      <c r="F997" s="187"/>
    </row>
    <row r="998" spans="1:6" x14ac:dyDescent="0.2">
      <c r="A998" s="275"/>
      <c r="B998" s="78"/>
      <c r="C998" s="189"/>
      <c r="D998" s="185"/>
      <c r="E998" s="186"/>
      <c r="F998" s="187"/>
    </row>
    <row r="999" spans="1:6" x14ac:dyDescent="0.2">
      <c r="A999" s="275"/>
      <c r="B999" s="78"/>
      <c r="C999" s="189"/>
      <c r="D999" s="185"/>
      <c r="E999" s="186"/>
      <c r="F999" s="187"/>
    </row>
    <row r="1000" spans="1:6" x14ac:dyDescent="0.2">
      <c r="A1000" s="275"/>
      <c r="B1000" s="78"/>
      <c r="C1000" s="189"/>
      <c r="D1000" s="185"/>
      <c r="E1000" s="186"/>
      <c r="F1000" s="187"/>
    </row>
    <row r="1001" spans="1:6" x14ac:dyDescent="0.2">
      <c r="A1001" s="275"/>
      <c r="B1001" s="78"/>
      <c r="C1001" s="189"/>
      <c r="D1001" s="185"/>
      <c r="E1001" s="186"/>
      <c r="F1001" s="187"/>
    </row>
    <row r="1002" spans="1:6" x14ac:dyDescent="0.2">
      <c r="A1002" s="275"/>
      <c r="B1002" s="78"/>
      <c r="C1002" s="189"/>
      <c r="D1002" s="185"/>
      <c r="E1002" s="186"/>
      <c r="F1002" s="187"/>
    </row>
    <row r="1003" spans="1:6" x14ac:dyDescent="0.2">
      <c r="A1003" s="275"/>
      <c r="B1003" s="78"/>
      <c r="C1003" s="189"/>
      <c r="D1003" s="185"/>
      <c r="E1003" s="186"/>
      <c r="F1003" s="187"/>
    </row>
    <row r="1004" spans="1:6" x14ac:dyDescent="0.2">
      <c r="A1004" s="275"/>
      <c r="B1004" s="78"/>
      <c r="C1004" s="189"/>
      <c r="D1004" s="185"/>
      <c r="E1004" s="186"/>
      <c r="F1004" s="187"/>
    </row>
    <row r="1005" spans="1:6" x14ac:dyDescent="0.2">
      <c r="A1005" s="275"/>
      <c r="B1005" s="78"/>
      <c r="C1005" s="189"/>
      <c r="D1005" s="185"/>
      <c r="E1005" s="186"/>
      <c r="F1005" s="187"/>
    </row>
    <row r="1006" spans="1:6" x14ac:dyDescent="0.2">
      <c r="A1006" s="275"/>
      <c r="B1006" s="78"/>
      <c r="C1006" s="189"/>
      <c r="D1006" s="185"/>
      <c r="E1006" s="186"/>
      <c r="F1006" s="187"/>
    </row>
    <row r="1007" spans="1:6" x14ac:dyDescent="0.2">
      <c r="A1007" s="275"/>
      <c r="B1007" s="78"/>
      <c r="C1007" s="189"/>
      <c r="D1007" s="185"/>
      <c r="E1007" s="186"/>
      <c r="F1007" s="187"/>
    </row>
    <row r="1008" spans="1:6" x14ac:dyDescent="0.2">
      <c r="A1008" s="275"/>
      <c r="B1008" s="78"/>
      <c r="C1008" s="189"/>
      <c r="D1008" s="185"/>
      <c r="E1008" s="186"/>
      <c r="F1008" s="187"/>
    </row>
    <row r="1009" spans="1:6" x14ac:dyDescent="0.2">
      <c r="A1009" s="275"/>
      <c r="B1009" s="78"/>
      <c r="C1009" s="189"/>
      <c r="D1009" s="185"/>
      <c r="E1009" s="186"/>
      <c r="F1009" s="187"/>
    </row>
    <row r="1010" spans="1:6" x14ac:dyDescent="0.2">
      <c r="A1010" s="275"/>
      <c r="B1010" s="78"/>
      <c r="C1010" s="189"/>
      <c r="D1010" s="185"/>
      <c r="E1010" s="186"/>
      <c r="F1010" s="187"/>
    </row>
    <row r="1011" spans="1:6" x14ac:dyDescent="0.2">
      <c r="A1011" s="275"/>
      <c r="B1011" s="78"/>
      <c r="C1011" s="189"/>
      <c r="D1011" s="185"/>
      <c r="E1011" s="186"/>
      <c r="F1011" s="187"/>
    </row>
    <row r="1012" spans="1:6" x14ac:dyDescent="0.2">
      <c r="A1012" s="275"/>
      <c r="B1012" s="78"/>
      <c r="C1012" s="189"/>
      <c r="D1012" s="185"/>
      <c r="E1012" s="186"/>
      <c r="F1012" s="187"/>
    </row>
    <row r="1013" spans="1:6" x14ac:dyDescent="0.2">
      <c r="A1013" s="275"/>
      <c r="B1013" s="78"/>
      <c r="C1013" s="189"/>
      <c r="D1013" s="185"/>
      <c r="E1013" s="186"/>
      <c r="F1013" s="187"/>
    </row>
    <row r="1014" spans="1:6" x14ac:dyDescent="0.2">
      <c r="A1014" s="275"/>
      <c r="B1014" s="78"/>
      <c r="C1014" s="189"/>
      <c r="D1014" s="185"/>
      <c r="E1014" s="186"/>
      <c r="F1014" s="187"/>
    </row>
    <row r="1015" spans="1:6" x14ac:dyDescent="0.2">
      <c r="A1015" s="275"/>
      <c r="B1015" s="78"/>
      <c r="C1015" s="189"/>
      <c r="D1015" s="185"/>
      <c r="E1015" s="186"/>
      <c r="F1015" s="187"/>
    </row>
    <row r="1016" spans="1:6" x14ac:dyDescent="0.2">
      <c r="A1016" s="275"/>
      <c r="B1016" s="78"/>
      <c r="C1016" s="189"/>
      <c r="D1016" s="185"/>
      <c r="E1016" s="186"/>
      <c r="F1016" s="187"/>
    </row>
    <row r="1017" spans="1:6" x14ac:dyDescent="0.2">
      <c r="A1017" s="275"/>
      <c r="B1017" s="78"/>
      <c r="C1017" s="189"/>
      <c r="D1017" s="185"/>
      <c r="E1017" s="186"/>
      <c r="F1017" s="187"/>
    </row>
    <row r="1018" spans="1:6" x14ac:dyDescent="0.2">
      <c r="A1018" s="275"/>
      <c r="B1018" s="78"/>
      <c r="C1018" s="189"/>
      <c r="D1018" s="185"/>
      <c r="E1018" s="186"/>
      <c r="F1018" s="187"/>
    </row>
    <row r="1019" spans="1:6" x14ac:dyDescent="0.2">
      <c r="A1019" s="275"/>
      <c r="B1019" s="78"/>
      <c r="C1019" s="189"/>
      <c r="D1019" s="185"/>
      <c r="E1019" s="186"/>
      <c r="F1019" s="187"/>
    </row>
    <row r="1020" spans="1:6" x14ac:dyDescent="0.2">
      <c r="A1020" s="275"/>
      <c r="B1020" s="78"/>
      <c r="C1020" s="189"/>
      <c r="D1020" s="185"/>
      <c r="E1020" s="186"/>
      <c r="F1020" s="187"/>
    </row>
    <row r="1021" spans="1:6" x14ac:dyDescent="0.2">
      <c r="A1021" s="275"/>
      <c r="B1021" s="78"/>
      <c r="C1021" s="189"/>
      <c r="D1021" s="185"/>
      <c r="E1021" s="186"/>
      <c r="F1021" s="187"/>
    </row>
    <row r="1022" spans="1:6" x14ac:dyDescent="0.2">
      <c r="A1022" s="275"/>
      <c r="B1022" s="78"/>
      <c r="C1022" s="189"/>
      <c r="D1022" s="185"/>
      <c r="E1022" s="186"/>
      <c r="F1022" s="187"/>
    </row>
    <row r="1023" spans="1:6" x14ac:dyDescent="0.2">
      <c r="A1023" s="275"/>
      <c r="B1023" s="78"/>
      <c r="C1023" s="189"/>
      <c r="D1023" s="185"/>
      <c r="E1023" s="186"/>
      <c r="F1023" s="187"/>
    </row>
    <row r="1024" spans="1:6" x14ac:dyDescent="0.2">
      <c r="A1024" s="275"/>
      <c r="B1024" s="78"/>
      <c r="C1024" s="189"/>
      <c r="D1024" s="185"/>
      <c r="E1024" s="186"/>
      <c r="F1024" s="187"/>
    </row>
    <row r="1025" spans="1:6" x14ac:dyDescent="0.2">
      <c r="A1025" s="275"/>
      <c r="B1025" s="78"/>
      <c r="C1025" s="189"/>
      <c r="D1025" s="185"/>
      <c r="E1025" s="186"/>
      <c r="F1025" s="187"/>
    </row>
    <row r="1026" spans="1:6" x14ac:dyDescent="0.2">
      <c r="A1026" s="275"/>
      <c r="B1026" s="78"/>
      <c r="C1026" s="189"/>
      <c r="D1026" s="185"/>
      <c r="E1026" s="186"/>
      <c r="F1026" s="187"/>
    </row>
    <row r="1027" spans="1:6" x14ac:dyDescent="0.2">
      <c r="A1027" s="275"/>
      <c r="B1027" s="78"/>
      <c r="C1027" s="189"/>
      <c r="D1027" s="185"/>
      <c r="E1027" s="186"/>
      <c r="F1027" s="187"/>
    </row>
    <row r="1028" spans="1:6" x14ac:dyDescent="0.2">
      <c r="A1028" s="275"/>
      <c r="B1028" s="78"/>
      <c r="C1028" s="189"/>
      <c r="D1028" s="185"/>
      <c r="E1028" s="186"/>
      <c r="F1028" s="187"/>
    </row>
    <row r="1029" spans="1:6" x14ac:dyDescent="0.2">
      <c r="A1029" s="275"/>
      <c r="B1029" s="78"/>
      <c r="C1029" s="189"/>
      <c r="D1029" s="185"/>
      <c r="E1029" s="186"/>
      <c r="F1029" s="187"/>
    </row>
    <row r="1030" spans="1:6" x14ac:dyDescent="0.2">
      <c r="A1030" s="275"/>
      <c r="B1030" s="78"/>
      <c r="C1030" s="189"/>
      <c r="D1030" s="185"/>
      <c r="E1030" s="186"/>
      <c r="F1030" s="187"/>
    </row>
    <row r="1031" spans="1:6" x14ac:dyDescent="0.2">
      <c r="A1031" s="275"/>
      <c r="B1031" s="78"/>
      <c r="C1031" s="189"/>
      <c r="D1031" s="185"/>
      <c r="E1031" s="186"/>
      <c r="F1031" s="187"/>
    </row>
    <row r="1032" spans="1:6" x14ac:dyDescent="0.2">
      <c r="A1032" s="275"/>
      <c r="B1032" s="78"/>
      <c r="C1032" s="189"/>
      <c r="D1032" s="185"/>
      <c r="E1032" s="186"/>
      <c r="F1032" s="187"/>
    </row>
    <row r="1033" spans="1:6" x14ac:dyDescent="0.2">
      <c r="A1033" s="275"/>
      <c r="B1033" s="78"/>
      <c r="C1033" s="189"/>
      <c r="D1033" s="185"/>
      <c r="E1033" s="186"/>
      <c r="F1033" s="187"/>
    </row>
    <row r="1034" spans="1:6" x14ac:dyDescent="0.2">
      <c r="A1034" s="275"/>
      <c r="B1034" s="78"/>
      <c r="C1034" s="189"/>
      <c r="D1034" s="185"/>
      <c r="E1034" s="186"/>
      <c r="F1034" s="187"/>
    </row>
    <row r="1035" spans="1:6" x14ac:dyDescent="0.2">
      <c r="A1035" s="275"/>
      <c r="B1035" s="78"/>
      <c r="C1035" s="189"/>
      <c r="D1035" s="185"/>
      <c r="E1035" s="186"/>
      <c r="F1035" s="187"/>
    </row>
    <row r="1036" spans="1:6" x14ac:dyDescent="0.2">
      <c r="A1036" s="275"/>
      <c r="B1036" s="78"/>
      <c r="C1036" s="189"/>
      <c r="D1036" s="185"/>
      <c r="E1036" s="186"/>
      <c r="F1036" s="187"/>
    </row>
    <row r="1037" spans="1:6" x14ac:dyDescent="0.2">
      <c r="A1037" s="275"/>
      <c r="B1037" s="78"/>
      <c r="C1037" s="189"/>
      <c r="D1037" s="185"/>
      <c r="E1037" s="186"/>
      <c r="F1037" s="187"/>
    </row>
    <row r="1038" spans="1:6" x14ac:dyDescent="0.2">
      <c r="A1038" s="275"/>
      <c r="B1038" s="78"/>
      <c r="C1038" s="189"/>
      <c r="D1038" s="185"/>
      <c r="E1038" s="186"/>
      <c r="F1038" s="187"/>
    </row>
    <row r="1039" spans="1:6" x14ac:dyDescent="0.2">
      <c r="A1039" s="275"/>
      <c r="B1039" s="78"/>
      <c r="C1039" s="189"/>
      <c r="D1039" s="185"/>
      <c r="E1039" s="186"/>
      <c r="F1039" s="187"/>
    </row>
    <row r="1040" spans="1:6" x14ac:dyDescent="0.2">
      <c r="A1040" s="275"/>
      <c r="B1040" s="78"/>
      <c r="C1040" s="189"/>
      <c r="D1040" s="185"/>
      <c r="E1040" s="186"/>
      <c r="F1040" s="187"/>
    </row>
    <row r="1041" spans="1:6" x14ac:dyDescent="0.2">
      <c r="A1041" s="275"/>
      <c r="B1041" s="78"/>
      <c r="C1041" s="189"/>
      <c r="D1041" s="185"/>
      <c r="E1041" s="186"/>
      <c r="F1041" s="187"/>
    </row>
    <row r="1042" spans="1:6" x14ac:dyDescent="0.2">
      <c r="A1042" s="275"/>
      <c r="B1042" s="78"/>
      <c r="C1042" s="189"/>
      <c r="D1042" s="185"/>
      <c r="E1042" s="186"/>
      <c r="F1042" s="187"/>
    </row>
    <row r="1043" spans="1:6" x14ac:dyDescent="0.2">
      <c r="A1043" s="275"/>
      <c r="B1043" s="78"/>
      <c r="C1043" s="189"/>
      <c r="D1043" s="185"/>
      <c r="E1043" s="186"/>
      <c r="F1043" s="187"/>
    </row>
    <row r="1044" spans="1:6" x14ac:dyDescent="0.2">
      <c r="A1044" s="275"/>
      <c r="B1044" s="78"/>
      <c r="C1044" s="189"/>
      <c r="D1044" s="185"/>
      <c r="E1044" s="186"/>
      <c r="F1044" s="187"/>
    </row>
    <row r="1045" spans="1:6" x14ac:dyDescent="0.2">
      <c r="A1045" s="275"/>
      <c r="B1045" s="78"/>
      <c r="C1045" s="189"/>
      <c r="D1045" s="185"/>
      <c r="E1045" s="186"/>
      <c r="F1045" s="187"/>
    </row>
    <row r="1046" spans="1:6" x14ac:dyDescent="0.2">
      <c r="A1046" s="275"/>
      <c r="B1046" s="78"/>
      <c r="C1046" s="189"/>
      <c r="D1046" s="185"/>
      <c r="E1046" s="186"/>
      <c r="F1046" s="187"/>
    </row>
    <row r="1047" spans="1:6" x14ac:dyDescent="0.2">
      <c r="A1047" s="275"/>
      <c r="B1047" s="78"/>
      <c r="C1047" s="189"/>
      <c r="D1047" s="185"/>
      <c r="E1047" s="186"/>
      <c r="F1047" s="187"/>
    </row>
    <row r="1048" spans="1:6" x14ac:dyDescent="0.2">
      <c r="A1048" s="275"/>
      <c r="B1048" s="78"/>
      <c r="C1048" s="189"/>
      <c r="D1048" s="185"/>
      <c r="E1048" s="186"/>
      <c r="F1048" s="187"/>
    </row>
    <row r="1049" spans="1:6" x14ac:dyDescent="0.2">
      <c r="A1049" s="275"/>
      <c r="B1049" s="78"/>
      <c r="C1049" s="189"/>
      <c r="D1049" s="185"/>
      <c r="E1049" s="186"/>
      <c r="F1049" s="187"/>
    </row>
    <row r="1050" spans="1:6" x14ac:dyDescent="0.2">
      <c r="A1050" s="275"/>
      <c r="B1050" s="78"/>
      <c r="C1050" s="189"/>
      <c r="D1050" s="185"/>
      <c r="E1050" s="186"/>
      <c r="F1050" s="187"/>
    </row>
    <row r="1051" spans="1:6" x14ac:dyDescent="0.2">
      <c r="A1051" s="275"/>
      <c r="B1051" s="78"/>
      <c r="C1051" s="189"/>
      <c r="D1051" s="185"/>
      <c r="E1051" s="186"/>
      <c r="F1051" s="187"/>
    </row>
    <row r="1052" spans="1:6" x14ac:dyDescent="0.2">
      <c r="A1052" s="275"/>
      <c r="B1052" s="78"/>
      <c r="C1052" s="189"/>
      <c r="D1052" s="185"/>
      <c r="E1052" s="186"/>
      <c r="F1052" s="187"/>
    </row>
    <row r="1053" spans="1:6" x14ac:dyDescent="0.2">
      <c r="A1053" s="275"/>
      <c r="B1053" s="78"/>
      <c r="C1053" s="189"/>
      <c r="D1053" s="185"/>
      <c r="E1053" s="186"/>
      <c r="F1053" s="187"/>
    </row>
    <row r="1054" spans="1:6" x14ac:dyDescent="0.2">
      <c r="A1054" s="275"/>
      <c r="B1054" s="78"/>
      <c r="C1054" s="189"/>
      <c r="D1054" s="185"/>
      <c r="E1054" s="186"/>
      <c r="F1054" s="187"/>
    </row>
    <row r="1055" spans="1:6" x14ac:dyDescent="0.2">
      <c r="A1055" s="275"/>
      <c r="B1055" s="78"/>
      <c r="C1055" s="189"/>
      <c r="D1055" s="185"/>
      <c r="E1055" s="186"/>
      <c r="F1055" s="187"/>
    </row>
    <row r="1056" spans="1:6" x14ac:dyDescent="0.2">
      <c r="A1056" s="275"/>
      <c r="B1056" s="78"/>
      <c r="C1056" s="189"/>
      <c r="D1056" s="185"/>
      <c r="E1056" s="186"/>
      <c r="F1056" s="187"/>
    </row>
    <row r="1057" spans="1:6" x14ac:dyDescent="0.2">
      <c r="A1057" s="275"/>
      <c r="B1057" s="78"/>
      <c r="C1057" s="189"/>
      <c r="D1057" s="185"/>
      <c r="E1057" s="186"/>
      <c r="F1057" s="187"/>
    </row>
    <row r="1058" spans="1:6" x14ac:dyDescent="0.2">
      <c r="A1058" s="275"/>
      <c r="B1058" s="78"/>
      <c r="C1058" s="189"/>
      <c r="D1058" s="185"/>
      <c r="E1058" s="186"/>
      <c r="F1058" s="187"/>
    </row>
    <row r="1059" spans="1:6" x14ac:dyDescent="0.2">
      <c r="A1059" s="275"/>
      <c r="B1059" s="78"/>
      <c r="C1059" s="189"/>
      <c r="D1059" s="185"/>
      <c r="E1059" s="186"/>
      <c r="F1059" s="187"/>
    </row>
    <row r="1060" spans="1:6" x14ac:dyDescent="0.2">
      <c r="A1060" s="275"/>
      <c r="B1060" s="78"/>
      <c r="C1060" s="189"/>
      <c r="D1060" s="185"/>
      <c r="E1060" s="186"/>
      <c r="F1060" s="187"/>
    </row>
    <row r="1061" spans="1:6" x14ac:dyDescent="0.2">
      <c r="A1061" s="275"/>
      <c r="B1061" s="78"/>
      <c r="C1061" s="189"/>
      <c r="D1061" s="185"/>
      <c r="E1061" s="186"/>
      <c r="F1061" s="187"/>
    </row>
    <row r="1062" spans="1:6" x14ac:dyDescent="0.2">
      <c r="A1062" s="275"/>
      <c r="B1062" s="78"/>
      <c r="C1062" s="189"/>
      <c r="D1062" s="185"/>
      <c r="E1062" s="186"/>
      <c r="F1062" s="187"/>
    </row>
    <row r="1063" spans="1:6" x14ac:dyDescent="0.2">
      <c r="A1063" s="275"/>
      <c r="B1063" s="78"/>
      <c r="C1063" s="189"/>
      <c r="D1063" s="185"/>
      <c r="E1063" s="186"/>
      <c r="F1063" s="187"/>
    </row>
    <row r="1064" spans="1:6" x14ac:dyDescent="0.2">
      <c r="A1064" s="275"/>
      <c r="B1064" s="78"/>
      <c r="C1064" s="189"/>
      <c r="D1064" s="185"/>
      <c r="E1064" s="186"/>
      <c r="F1064" s="187"/>
    </row>
    <row r="1065" spans="1:6" x14ac:dyDescent="0.2">
      <c r="A1065" s="275"/>
      <c r="B1065" s="78"/>
      <c r="C1065" s="189"/>
      <c r="D1065" s="185"/>
      <c r="E1065" s="186"/>
      <c r="F1065" s="187"/>
    </row>
    <row r="1066" spans="1:6" x14ac:dyDescent="0.2">
      <c r="A1066" s="275"/>
      <c r="B1066" s="78"/>
      <c r="C1066" s="189"/>
      <c r="D1066" s="185"/>
      <c r="E1066" s="186"/>
      <c r="F1066" s="187"/>
    </row>
    <row r="1067" spans="1:6" x14ac:dyDescent="0.2">
      <c r="A1067" s="275"/>
      <c r="B1067" s="78"/>
      <c r="C1067" s="189"/>
      <c r="D1067" s="185"/>
      <c r="E1067" s="186"/>
      <c r="F1067" s="187"/>
    </row>
    <row r="1068" spans="1:6" x14ac:dyDescent="0.2">
      <c r="A1068" s="275"/>
      <c r="B1068" s="78"/>
      <c r="C1068" s="189"/>
      <c r="D1068" s="185"/>
      <c r="E1068" s="186"/>
      <c r="F1068" s="187"/>
    </row>
    <row r="1069" spans="1:6" x14ac:dyDescent="0.2">
      <c r="A1069" s="275"/>
      <c r="B1069" s="78"/>
      <c r="C1069" s="189"/>
      <c r="D1069" s="185"/>
      <c r="E1069" s="186"/>
      <c r="F1069" s="187"/>
    </row>
    <row r="1070" spans="1:6" x14ac:dyDescent="0.2">
      <c r="A1070" s="275"/>
      <c r="B1070" s="78"/>
      <c r="C1070" s="189"/>
      <c r="D1070" s="185"/>
      <c r="E1070" s="186"/>
      <c r="F1070" s="187"/>
    </row>
    <row r="1071" spans="1:6" x14ac:dyDescent="0.2">
      <c r="A1071" s="275"/>
      <c r="B1071" s="78"/>
      <c r="C1071" s="189"/>
      <c r="D1071" s="185"/>
      <c r="E1071" s="186"/>
      <c r="F1071" s="187"/>
    </row>
    <row r="1072" spans="1:6" x14ac:dyDescent="0.2">
      <c r="A1072" s="275"/>
      <c r="B1072" s="78"/>
      <c r="C1072" s="189"/>
      <c r="D1072" s="185"/>
      <c r="E1072" s="186"/>
      <c r="F1072" s="187"/>
    </row>
    <row r="1073" spans="1:6" x14ac:dyDescent="0.2">
      <c r="A1073" s="275"/>
      <c r="B1073" s="78"/>
      <c r="C1073" s="189"/>
      <c r="D1073" s="185"/>
      <c r="E1073" s="186"/>
      <c r="F1073" s="187"/>
    </row>
    <row r="1074" spans="1:6" x14ac:dyDescent="0.2">
      <c r="A1074" s="275"/>
      <c r="B1074" s="78"/>
      <c r="C1074" s="189"/>
      <c r="D1074" s="185"/>
      <c r="E1074" s="186"/>
      <c r="F1074" s="187"/>
    </row>
    <row r="1075" spans="1:6" x14ac:dyDescent="0.2">
      <c r="A1075" s="275"/>
      <c r="B1075" s="78"/>
      <c r="C1075" s="189"/>
      <c r="D1075" s="185"/>
      <c r="E1075" s="186"/>
      <c r="F1075" s="187"/>
    </row>
    <row r="1076" spans="1:6" x14ac:dyDescent="0.2">
      <c r="A1076" s="275"/>
      <c r="B1076" s="78"/>
      <c r="C1076" s="189"/>
      <c r="D1076" s="185"/>
      <c r="E1076" s="186"/>
      <c r="F1076" s="187"/>
    </row>
    <row r="1077" spans="1:6" x14ac:dyDescent="0.2">
      <c r="A1077" s="275"/>
      <c r="B1077" s="78"/>
      <c r="C1077" s="189"/>
      <c r="D1077" s="185"/>
      <c r="E1077" s="186"/>
      <c r="F1077" s="187"/>
    </row>
    <row r="1078" spans="1:6" x14ac:dyDescent="0.2">
      <c r="A1078" s="275"/>
      <c r="B1078" s="78"/>
      <c r="C1078" s="189"/>
      <c r="D1078" s="185"/>
      <c r="E1078" s="186"/>
      <c r="F1078" s="187"/>
    </row>
    <row r="1079" spans="1:6" x14ac:dyDescent="0.2">
      <c r="A1079" s="275"/>
      <c r="B1079" s="78"/>
      <c r="C1079" s="189"/>
      <c r="D1079" s="185"/>
      <c r="E1079" s="186"/>
      <c r="F1079" s="187"/>
    </row>
    <row r="1080" spans="1:6" x14ac:dyDescent="0.2">
      <c r="A1080" s="275"/>
      <c r="B1080" s="78"/>
      <c r="C1080" s="189"/>
      <c r="D1080" s="185"/>
      <c r="E1080" s="186"/>
      <c r="F1080" s="187"/>
    </row>
    <row r="1081" spans="1:6" x14ac:dyDescent="0.2">
      <c r="A1081" s="275"/>
      <c r="B1081" s="78"/>
      <c r="C1081" s="189"/>
      <c r="D1081" s="185"/>
      <c r="E1081" s="186"/>
      <c r="F1081" s="187"/>
    </row>
    <row r="1082" spans="1:6" x14ac:dyDescent="0.2">
      <c r="A1082" s="275"/>
      <c r="B1082" s="78"/>
      <c r="C1082" s="189"/>
      <c r="D1082" s="185"/>
      <c r="E1082" s="186"/>
      <c r="F1082" s="187"/>
    </row>
    <row r="1083" spans="1:6" x14ac:dyDescent="0.2">
      <c r="A1083" s="275"/>
      <c r="B1083" s="78"/>
      <c r="C1083" s="189"/>
      <c r="D1083" s="185"/>
      <c r="E1083" s="186"/>
      <c r="F1083" s="187"/>
    </row>
    <row r="1084" spans="1:6" x14ac:dyDescent="0.2">
      <c r="A1084" s="275"/>
      <c r="B1084" s="78"/>
      <c r="C1084" s="189"/>
      <c r="D1084" s="185"/>
      <c r="E1084" s="186"/>
      <c r="F1084" s="187"/>
    </row>
    <row r="1085" spans="1:6" x14ac:dyDescent="0.2">
      <c r="A1085" s="275"/>
      <c r="B1085" s="78"/>
      <c r="C1085" s="189"/>
      <c r="D1085" s="185"/>
      <c r="E1085" s="186"/>
      <c r="F1085" s="187"/>
    </row>
    <row r="1086" spans="1:6" x14ac:dyDescent="0.2">
      <c r="A1086" s="275"/>
      <c r="B1086" s="78"/>
      <c r="C1086" s="189"/>
      <c r="D1086" s="185"/>
      <c r="E1086" s="186"/>
      <c r="F1086" s="187"/>
    </row>
    <row r="1087" spans="1:6" x14ac:dyDescent="0.2">
      <c r="A1087" s="275"/>
      <c r="B1087" s="78"/>
      <c r="C1087" s="189"/>
      <c r="D1087" s="185"/>
      <c r="E1087" s="186"/>
      <c r="F1087" s="187"/>
    </row>
    <row r="1088" spans="1:6" x14ac:dyDescent="0.2">
      <c r="A1088" s="275"/>
      <c r="B1088" s="78"/>
      <c r="C1088" s="189"/>
      <c r="D1088" s="185"/>
      <c r="E1088" s="186"/>
      <c r="F1088" s="187"/>
    </row>
    <row r="1089" spans="1:6" x14ac:dyDescent="0.2">
      <c r="A1089" s="275"/>
      <c r="B1089" s="78"/>
      <c r="C1089" s="189"/>
      <c r="D1089" s="185"/>
      <c r="E1089" s="186"/>
      <c r="F1089" s="187"/>
    </row>
    <row r="1090" spans="1:6" x14ac:dyDescent="0.2">
      <c r="A1090" s="275"/>
      <c r="B1090" s="78"/>
      <c r="C1090" s="189"/>
      <c r="D1090" s="185"/>
      <c r="E1090" s="186"/>
      <c r="F1090" s="187"/>
    </row>
    <row r="1091" spans="1:6" x14ac:dyDescent="0.2">
      <c r="A1091" s="275"/>
      <c r="B1091" s="78"/>
      <c r="C1091" s="189"/>
      <c r="D1091" s="185"/>
      <c r="E1091" s="186"/>
      <c r="F1091" s="187"/>
    </row>
    <row r="1092" spans="1:6" x14ac:dyDescent="0.2">
      <c r="A1092" s="275"/>
      <c r="B1092" s="78"/>
      <c r="C1092" s="189"/>
      <c r="D1092" s="185"/>
      <c r="E1092" s="186"/>
      <c r="F1092" s="187"/>
    </row>
    <row r="1093" spans="1:6" x14ac:dyDescent="0.2">
      <c r="A1093" s="275"/>
      <c r="B1093" s="78"/>
      <c r="C1093" s="189"/>
      <c r="D1093" s="185"/>
      <c r="E1093" s="186"/>
      <c r="F1093" s="187"/>
    </row>
    <row r="1094" spans="1:6" x14ac:dyDescent="0.2">
      <c r="A1094" s="275"/>
      <c r="B1094" s="78"/>
      <c r="C1094" s="189"/>
      <c r="D1094" s="185"/>
      <c r="E1094" s="186"/>
      <c r="F1094" s="187"/>
    </row>
    <row r="1095" spans="1:6" x14ac:dyDescent="0.2">
      <c r="A1095" s="275"/>
      <c r="B1095" s="78"/>
      <c r="C1095" s="189"/>
      <c r="D1095" s="185"/>
      <c r="E1095" s="186"/>
      <c r="F1095" s="187"/>
    </row>
    <row r="1096" spans="1:6" x14ac:dyDescent="0.2">
      <c r="A1096" s="275"/>
      <c r="B1096" s="78"/>
      <c r="C1096" s="189"/>
      <c r="D1096" s="185"/>
      <c r="E1096" s="186"/>
      <c r="F1096" s="187"/>
    </row>
    <row r="1097" spans="1:6" x14ac:dyDescent="0.2">
      <c r="A1097" s="275"/>
      <c r="B1097" s="78"/>
      <c r="C1097" s="189"/>
      <c r="D1097" s="185"/>
      <c r="E1097" s="186"/>
      <c r="F1097" s="187"/>
    </row>
    <row r="1098" spans="1:6" x14ac:dyDescent="0.2">
      <c r="A1098" s="275"/>
      <c r="B1098" s="78"/>
      <c r="C1098" s="189"/>
      <c r="D1098" s="185"/>
      <c r="E1098" s="186"/>
      <c r="F1098" s="187"/>
    </row>
    <row r="1099" spans="1:6" x14ac:dyDescent="0.2">
      <c r="A1099" s="275"/>
      <c r="B1099" s="78"/>
      <c r="C1099" s="189"/>
      <c r="D1099" s="185"/>
      <c r="E1099" s="186"/>
      <c r="F1099" s="187"/>
    </row>
    <row r="1100" spans="1:6" x14ac:dyDescent="0.2">
      <c r="A1100" s="275"/>
      <c r="B1100" s="78"/>
      <c r="C1100" s="189"/>
      <c r="D1100" s="185"/>
      <c r="E1100" s="186"/>
      <c r="F1100" s="187"/>
    </row>
    <row r="1101" spans="1:6" x14ac:dyDescent="0.2">
      <c r="A1101" s="275"/>
      <c r="B1101" s="78"/>
      <c r="C1101" s="189"/>
      <c r="D1101" s="185"/>
      <c r="E1101" s="186"/>
      <c r="F1101" s="187"/>
    </row>
    <row r="1102" spans="1:6" x14ac:dyDescent="0.2">
      <c r="A1102" s="275"/>
      <c r="B1102" s="78"/>
      <c r="C1102" s="189"/>
      <c r="D1102" s="185"/>
      <c r="E1102" s="186"/>
      <c r="F1102" s="187"/>
    </row>
    <row r="1103" spans="1:6" x14ac:dyDescent="0.2">
      <c r="A1103" s="275"/>
      <c r="B1103" s="78"/>
      <c r="C1103" s="189"/>
      <c r="D1103" s="185"/>
      <c r="E1103" s="186"/>
      <c r="F1103" s="187"/>
    </row>
    <row r="1104" spans="1:6" x14ac:dyDescent="0.2">
      <c r="A1104" s="275"/>
      <c r="B1104" s="78"/>
      <c r="C1104" s="189"/>
      <c r="D1104" s="185"/>
      <c r="E1104" s="186"/>
      <c r="F1104" s="187"/>
    </row>
    <row r="1105" spans="1:6" x14ac:dyDescent="0.2">
      <c r="A1105" s="275"/>
      <c r="B1105" s="78"/>
      <c r="C1105" s="189"/>
      <c r="D1105" s="185"/>
      <c r="E1105" s="186"/>
      <c r="F1105" s="187"/>
    </row>
    <row r="1106" spans="1:6" x14ac:dyDescent="0.2">
      <c r="A1106" s="275"/>
      <c r="B1106" s="78"/>
      <c r="C1106" s="189"/>
      <c r="D1106" s="185"/>
      <c r="E1106" s="186"/>
      <c r="F1106" s="187"/>
    </row>
    <row r="1107" spans="1:6" x14ac:dyDescent="0.2">
      <c r="A1107" s="275"/>
      <c r="B1107" s="78"/>
      <c r="C1107" s="189"/>
      <c r="D1107" s="185"/>
      <c r="E1107" s="186"/>
      <c r="F1107" s="187"/>
    </row>
    <row r="1108" spans="1:6" x14ac:dyDescent="0.2">
      <c r="A1108" s="275"/>
      <c r="B1108" s="78"/>
      <c r="C1108" s="189"/>
      <c r="D1108" s="185"/>
      <c r="E1108" s="186"/>
      <c r="F1108" s="187"/>
    </row>
    <row r="1109" spans="1:6" x14ac:dyDescent="0.2">
      <c r="A1109" s="275"/>
      <c r="B1109" s="78"/>
      <c r="C1109" s="189"/>
      <c r="D1109" s="185"/>
      <c r="E1109" s="186"/>
      <c r="F1109" s="187"/>
    </row>
    <row r="1110" spans="1:6" x14ac:dyDescent="0.2">
      <c r="A1110" s="275"/>
      <c r="B1110" s="78"/>
      <c r="C1110" s="189"/>
      <c r="D1110" s="185"/>
      <c r="E1110" s="186"/>
      <c r="F1110" s="187"/>
    </row>
    <row r="1111" spans="1:6" x14ac:dyDescent="0.2">
      <c r="A1111" s="275"/>
      <c r="B1111" s="78"/>
      <c r="C1111" s="189"/>
      <c r="D1111" s="185"/>
      <c r="E1111" s="186"/>
      <c r="F1111" s="187"/>
    </row>
    <row r="1112" spans="1:6" x14ac:dyDescent="0.2">
      <c r="A1112" s="275"/>
      <c r="B1112" s="78"/>
      <c r="C1112" s="189"/>
      <c r="D1112" s="185"/>
      <c r="E1112" s="186"/>
      <c r="F1112" s="187"/>
    </row>
    <row r="1113" spans="1:6" x14ac:dyDescent="0.2">
      <c r="A1113" s="275"/>
      <c r="B1113" s="78"/>
      <c r="C1113" s="189"/>
      <c r="D1113" s="185"/>
      <c r="E1113" s="186"/>
      <c r="F1113" s="187"/>
    </row>
    <row r="1114" spans="1:6" x14ac:dyDescent="0.2">
      <c r="A1114" s="275"/>
      <c r="B1114" s="78"/>
      <c r="C1114" s="189"/>
      <c r="D1114" s="185"/>
      <c r="E1114" s="186"/>
      <c r="F1114" s="187"/>
    </row>
    <row r="1115" spans="1:6" x14ac:dyDescent="0.2">
      <c r="A1115" s="275"/>
      <c r="B1115" s="78"/>
      <c r="C1115" s="189"/>
      <c r="D1115" s="185"/>
      <c r="E1115" s="186"/>
      <c r="F1115" s="187"/>
    </row>
    <row r="1116" spans="1:6" x14ac:dyDescent="0.2">
      <c r="A1116" s="275"/>
      <c r="B1116" s="78"/>
      <c r="C1116" s="189"/>
      <c r="D1116" s="185"/>
      <c r="E1116" s="186"/>
      <c r="F1116" s="187"/>
    </row>
    <row r="1117" spans="1:6" x14ac:dyDescent="0.2">
      <c r="A1117" s="275"/>
      <c r="B1117" s="78"/>
      <c r="C1117" s="189"/>
      <c r="D1117" s="185"/>
      <c r="E1117" s="186"/>
      <c r="F1117" s="187"/>
    </row>
    <row r="1118" spans="1:6" x14ac:dyDescent="0.2">
      <c r="A1118" s="275"/>
      <c r="B1118" s="78"/>
      <c r="C1118" s="189"/>
      <c r="D1118" s="185"/>
      <c r="E1118" s="186"/>
      <c r="F1118" s="187"/>
    </row>
    <row r="1119" spans="1:6" x14ac:dyDescent="0.2">
      <c r="A1119" s="275"/>
      <c r="B1119" s="78"/>
      <c r="C1119" s="189"/>
      <c r="D1119" s="185"/>
      <c r="E1119" s="186"/>
      <c r="F1119" s="187"/>
    </row>
    <row r="1120" spans="1:6" x14ac:dyDescent="0.2">
      <c r="A1120" s="275"/>
      <c r="B1120" s="78"/>
      <c r="C1120" s="189"/>
      <c r="D1120" s="185"/>
      <c r="E1120" s="186"/>
      <c r="F1120" s="187"/>
    </row>
    <row r="1121" spans="1:6" x14ac:dyDescent="0.2">
      <c r="A1121" s="275"/>
      <c r="B1121" s="78"/>
      <c r="C1121" s="189"/>
      <c r="D1121" s="185"/>
      <c r="E1121" s="186"/>
      <c r="F1121" s="187"/>
    </row>
    <row r="1122" spans="1:6" x14ac:dyDescent="0.2">
      <c r="A1122" s="275"/>
      <c r="B1122" s="78"/>
      <c r="C1122" s="189"/>
      <c r="D1122" s="185"/>
      <c r="E1122" s="186"/>
      <c r="F1122" s="187"/>
    </row>
    <row r="1123" spans="1:6" x14ac:dyDescent="0.2">
      <c r="A1123" s="275"/>
      <c r="B1123" s="78"/>
      <c r="C1123" s="189"/>
      <c r="D1123" s="185"/>
      <c r="E1123" s="186"/>
      <c r="F1123" s="187"/>
    </row>
    <row r="1124" spans="1:6" x14ac:dyDescent="0.2">
      <c r="A1124" s="275"/>
      <c r="B1124" s="78"/>
      <c r="C1124" s="189"/>
      <c r="D1124" s="185"/>
      <c r="E1124" s="186"/>
      <c r="F1124" s="187"/>
    </row>
    <row r="1125" spans="1:6" x14ac:dyDescent="0.2">
      <c r="A1125" s="275"/>
      <c r="B1125" s="78"/>
      <c r="C1125" s="189"/>
      <c r="D1125" s="185"/>
      <c r="E1125" s="186"/>
      <c r="F1125" s="187"/>
    </row>
    <row r="1126" spans="1:6" x14ac:dyDescent="0.2">
      <c r="A1126" s="275"/>
      <c r="B1126" s="78"/>
      <c r="C1126" s="189"/>
      <c r="D1126" s="185"/>
      <c r="E1126" s="186"/>
      <c r="F1126" s="187"/>
    </row>
    <row r="1127" spans="1:6" x14ac:dyDescent="0.2">
      <c r="A1127" s="275"/>
      <c r="B1127" s="78"/>
      <c r="C1127" s="189"/>
      <c r="D1127" s="185"/>
      <c r="E1127" s="186"/>
      <c r="F1127" s="187"/>
    </row>
    <row r="1128" spans="1:6" x14ac:dyDescent="0.2">
      <c r="A1128" s="275"/>
      <c r="B1128" s="78"/>
      <c r="C1128" s="189"/>
      <c r="D1128" s="185"/>
      <c r="E1128" s="186"/>
      <c r="F1128" s="187"/>
    </row>
    <row r="1129" spans="1:6" x14ac:dyDescent="0.2">
      <c r="A1129" s="275"/>
      <c r="B1129" s="78"/>
      <c r="C1129" s="189"/>
      <c r="D1129" s="185"/>
      <c r="E1129" s="186"/>
      <c r="F1129" s="187"/>
    </row>
    <row r="1130" spans="1:6" x14ac:dyDescent="0.2">
      <c r="A1130" s="275"/>
      <c r="B1130" s="78"/>
      <c r="C1130" s="189"/>
      <c r="D1130" s="185"/>
      <c r="E1130" s="186"/>
      <c r="F1130" s="187"/>
    </row>
    <row r="1131" spans="1:6" x14ac:dyDescent="0.2">
      <c r="A1131" s="275"/>
      <c r="B1131" s="78"/>
      <c r="C1131" s="189"/>
      <c r="D1131" s="185"/>
      <c r="E1131" s="186"/>
      <c r="F1131" s="187"/>
    </row>
    <row r="1132" spans="1:6" x14ac:dyDescent="0.2">
      <c r="A1132" s="275"/>
      <c r="B1132" s="78"/>
      <c r="C1132" s="189"/>
      <c r="D1132" s="185"/>
      <c r="E1132" s="186"/>
      <c r="F1132" s="187"/>
    </row>
    <row r="1133" spans="1:6" x14ac:dyDescent="0.2">
      <c r="A1133" s="275"/>
      <c r="B1133" s="78"/>
      <c r="C1133" s="189"/>
      <c r="D1133" s="185"/>
      <c r="E1133" s="186"/>
      <c r="F1133" s="187"/>
    </row>
    <row r="1134" spans="1:6" x14ac:dyDescent="0.2">
      <c r="A1134" s="275"/>
      <c r="B1134" s="78"/>
      <c r="C1134" s="189"/>
      <c r="D1134" s="185"/>
      <c r="E1134" s="186"/>
      <c r="F1134" s="187"/>
    </row>
    <row r="1135" spans="1:6" x14ac:dyDescent="0.2">
      <c r="A1135" s="275"/>
      <c r="B1135" s="78"/>
      <c r="C1135" s="189"/>
      <c r="D1135" s="185"/>
      <c r="E1135" s="186"/>
      <c r="F1135" s="187"/>
    </row>
    <row r="1136" spans="1:6" x14ac:dyDescent="0.2">
      <c r="A1136" s="275"/>
      <c r="B1136" s="78"/>
      <c r="C1136" s="189"/>
      <c r="D1136" s="185"/>
      <c r="E1136" s="186"/>
      <c r="F1136" s="187"/>
    </row>
    <row r="1137" spans="1:6" x14ac:dyDescent="0.2">
      <c r="A1137" s="275"/>
      <c r="B1137" s="78"/>
      <c r="C1137" s="189"/>
      <c r="D1137" s="185"/>
      <c r="E1137" s="186"/>
      <c r="F1137" s="187"/>
    </row>
    <row r="1138" spans="1:6" x14ac:dyDescent="0.2">
      <c r="A1138" s="275"/>
      <c r="B1138" s="78"/>
      <c r="C1138" s="189"/>
      <c r="D1138" s="185"/>
      <c r="E1138" s="186"/>
      <c r="F1138" s="187"/>
    </row>
    <row r="1139" spans="1:6" x14ac:dyDescent="0.2">
      <c r="A1139" s="275"/>
      <c r="B1139" s="78"/>
      <c r="C1139" s="189"/>
      <c r="D1139" s="185"/>
      <c r="E1139" s="186"/>
      <c r="F1139" s="187"/>
    </row>
    <row r="1140" spans="1:6" x14ac:dyDescent="0.2">
      <c r="A1140" s="275"/>
      <c r="B1140" s="78"/>
      <c r="C1140" s="189"/>
      <c r="D1140" s="185"/>
      <c r="E1140" s="186"/>
      <c r="F1140" s="187"/>
    </row>
    <row r="1141" spans="1:6" x14ac:dyDescent="0.2">
      <c r="A1141" s="275"/>
      <c r="B1141" s="78"/>
      <c r="C1141" s="189"/>
      <c r="D1141" s="185"/>
      <c r="E1141" s="186"/>
      <c r="F1141" s="187"/>
    </row>
    <row r="1142" spans="1:6" x14ac:dyDescent="0.2">
      <c r="A1142" s="275"/>
      <c r="B1142" s="78"/>
      <c r="C1142" s="189"/>
      <c r="D1142" s="185"/>
      <c r="E1142" s="186"/>
      <c r="F1142" s="187"/>
    </row>
    <row r="1143" spans="1:6" x14ac:dyDescent="0.2">
      <c r="A1143" s="275"/>
      <c r="B1143" s="78"/>
      <c r="C1143" s="189"/>
      <c r="D1143" s="185"/>
      <c r="E1143" s="186"/>
      <c r="F1143" s="187"/>
    </row>
    <row r="1144" spans="1:6" x14ac:dyDescent="0.2">
      <c r="A1144" s="275"/>
      <c r="B1144" s="78"/>
      <c r="C1144" s="189"/>
      <c r="D1144" s="185"/>
      <c r="E1144" s="186"/>
      <c r="F1144" s="187"/>
    </row>
    <row r="1145" spans="1:6" x14ac:dyDescent="0.2">
      <c r="A1145" s="275"/>
      <c r="B1145" s="78"/>
      <c r="C1145" s="189"/>
      <c r="D1145" s="185"/>
      <c r="E1145" s="186"/>
      <c r="F1145" s="187"/>
    </row>
    <row r="1146" spans="1:6" x14ac:dyDescent="0.2">
      <c r="A1146" s="275"/>
      <c r="B1146" s="78"/>
      <c r="C1146" s="189"/>
      <c r="D1146" s="185"/>
      <c r="E1146" s="186"/>
      <c r="F1146" s="187"/>
    </row>
    <row r="1147" spans="1:6" x14ac:dyDescent="0.2">
      <c r="A1147" s="275"/>
      <c r="B1147" s="78"/>
      <c r="C1147" s="189"/>
      <c r="D1147" s="185"/>
      <c r="E1147" s="186"/>
      <c r="F1147" s="187"/>
    </row>
    <row r="1148" spans="1:6" x14ac:dyDescent="0.2">
      <c r="A1148" s="275"/>
      <c r="B1148" s="78"/>
      <c r="C1148" s="189"/>
      <c r="D1148" s="185"/>
      <c r="E1148" s="186"/>
      <c r="F1148" s="187"/>
    </row>
    <row r="1149" spans="1:6" x14ac:dyDescent="0.2">
      <c r="A1149" s="275"/>
      <c r="B1149" s="78"/>
      <c r="C1149" s="189"/>
      <c r="D1149" s="185"/>
      <c r="E1149" s="186"/>
      <c r="F1149" s="187"/>
    </row>
    <row r="1150" spans="1:6" x14ac:dyDescent="0.2">
      <c r="A1150" s="275"/>
      <c r="B1150" s="78"/>
      <c r="C1150" s="189"/>
      <c r="D1150" s="185"/>
      <c r="E1150" s="186"/>
      <c r="F1150" s="187"/>
    </row>
    <row r="1151" spans="1:6" x14ac:dyDescent="0.2">
      <c r="A1151" s="275"/>
      <c r="B1151" s="78"/>
      <c r="C1151" s="189"/>
      <c r="D1151" s="185"/>
      <c r="E1151" s="186"/>
      <c r="F1151" s="187"/>
    </row>
    <row r="1152" spans="1:6" x14ac:dyDescent="0.2">
      <c r="A1152" s="275"/>
      <c r="B1152" s="78"/>
      <c r="C1152" s="189"/>
      <c r="D1152" s="185"/>
      <c r="E1152" s="186"/>
      <c r="F1152" s="187"/>
    </row>
    <row r="1153" spans="1:6" x14ac:dyDescent="0.2">
      <c r="A1153" s="275"/>
      <c r="B1153" s="78"/>
      <c r="C1153" s="189"/>
      <c r="D1153" s="185"/>
      <c r="E1153" s="186"/>
      <c r="F1153" s="187"/>
    </row>
    <row r="1154" spans="1:6" x14ac:dyDescent="0.2">
      <c r="A1154" s="275"/>
      <c r="B1154" s="78"/>
      <c r="C1154" s="189"/>
      <c r="D1154" s="185"/>
      <c r="E1154" s="186"/>
      <c r="F1154" s="187"/>
    </row>
    <row r="1155" spans="1:6" x14ac:dyDescent="0.2">
      <c r="A1155" s="275"/>
      <c r="B1155" s="78"/>
      <c r="C1155" s="189"/>
      <c r="D1155" s="185"/>
      <c r="E1155" s="186"/>
      <c r="F1155" s="187"/>
    </row>
    <row r="1156" spans="1:6" x14ac:dyDescent="0.2">
      <c r="A1156" s="275"/>
      <c r="B1156" s="78"/>
      <c r="C1156" s="189"/>
      <c r="D1156" s="185"/>
      <c r="E1156" s="186"/>
      <c r="F1156" s="187"/>
    </row>
    <row r="1157" spans="1:6" x14ac:dyDescent="0.2">
      <c r="A1157" s="275"/>
      <c r="B1157" s="78"/>
      <c r="C1157" s="189"/>
      <c r="D1157" s="185"/>
      <c r="E1157" s="186"/>
      <c r="F1157" s="187"/>
    </row>
    <row r="1158" spans="1:6" x14ac:dyDescent="0.2">
      <c r="A1158" s="275"/>
      <c r="B1158" s="78"/>
      <c r="C1158" s="189"/>
      <c r="D1158" s="185"/>
      <c r="E1158" s="186"/>
      <c r="F1158" s="187"/>
    </row>
    <row r="1159" spans="1:6" x14ac:dyDescent="0.2">
      <c r="A1159" s="275"/>
      <c r="B1159" s="78"/>
      <c r="C1159" s="189"/>
      <c r="D1159" s="185"/>
      <c r="E1159" s="186"/>
      <c r="F1159" s="187"/>
    </row>
    <row r="1160" spans="1:6" x14ac:dyDescent="0.2">
      <c r="A1160" s="275"/>
      <c r="B1160" s="78"/>
      <c r="C1160" s="189"/>
      <c r="D1160" s="185"/>
      <c r="E1160" s="186"/>
      <c r="F1160" s="187"/>
    </row>
    <row r="1161" spans="1:6" x14ac:dyDescent="0.2">
      <c r="A1161" s="275"/>
      <c r="B1161" s="78"/>
      <c r="C1161" s="189"/>
      <c r="D1161" s="185"/>
      <c r="E1161" s="186"/>
      <c r="F1161" s="187"/>
    </row>
    <row r="1162" spans="1:6" x14ac:dyDescent="0.2">
      <c r="A1162" s="275"/>
      <c r="B1162" s="78"/>
      <c r="C1162" s="189"/>
      <c r="D1162" s="185"/>
      <c r="E1162" s="186"/>
      <c r="F1162" s="187"/>
    </row>
    <row r="1163" spans="1:6" x14ac:dyDescent="0.2">
      <c r="A1163" s="275"/>
      <c r="B1163" s="78"/>
      <c r="C1163" s="189"/>
      <c r="D1163" s="185"/>
      <c r="E1163" s="186"/>
      <c r="F1163" s="187"/>
    </row>
    <row r="1164" spans="1:6" x14ac:dyDescent="0.2">
      <c r="A1164" s="275"/>
      <c r="B1164" s="78"/>
      <c r="C1164" s="189"/>
      <c r="D1164" s="185"/>
      <c r="E1164" s="186"/>
      <c r="F1164" s="187"/>
    </row>
    <row r="1165" spans="1:6" x14ac:dyDescent="0.2">
      <c r="A1165" s="275"/>
      <c r="B1165" s="78"/>
      <c r="C1165" s="189"/>
      <c r="D1165" s="185"/>
      <c r="E1165" s="186"/>
      <c r="F1165" s="187"/>
    </row>
    <row r="1166" spans="1:6" x14ac:dyDescent="0.2">
      <c r="A1166" s="275"/>
      <c r="B1166" s="78"/>
      <c r="C1166" s="189"/>
      <c r="D1166" s="185"/>
      <c r="E1166" s="186"/>
      <c r="F1166" s="187"/>
    </row>
    <row r="1167" spans="1:6" x14ac:dyDescent="0.2">
      <c r="A1167" s="275"/>
      <c r="B1167" s="78"/>
      <c r="C1167" s="189"/>
      <c r="D1167" s="185"/>
      <c r="E1167" s="186"/>
      <c r="F1167" s="187"/>
    </row>
    <row r="1168" spans="1:6" x14ac:dyDescent="0.2">
      <c r="A1168" s="275"/>
      <c r="B1168" s="78"/>
      <c r="C1168" s="189"/>
      <c r="D1168" s="185"/>
      <c r="E1168" s="186"/>
      <c r="F1168" s="187"/>
    </row>
    <row r="1169" spans="1:6" x14ac:dyDescent="0.2">
      <c r="A1169" s="275"/>
      <c r="B1169" s="78"/>
      <c r="C1169" s="189"/>
      <c r="D1169" s="185"/>
      <c r="E1169" s="186"/>
      <c r="F1169" s="187"/>
    </row>
    <row r="1170" spans="1:6" x14ac:dyDescent="0.2">
      <c r="A1170" s="275"/>
      <c r="B1170" s="78"/>
      <c r="C1170" s="189"/>
      <c r="D1170" s="185"/>
      <c r="E1170" s="186"/>
      <c r="F1170" s="187"/>
    </row>
    <row r="1171" spans="1:6" x14ac:dyDescent="0.2">
      <c r="A1171" s="275"/>
      <c r="B1171" s="78"/>
      <c r="C1171" s="189"/>
      <c r="D1171" s="185"/>
      <c r="E1171" s="186"/>
      <c r="F1171" s="187"/>
    </row>
    <row r="1172" spans="1:6" x14ac:dyDescent="0.2">
      <c r="A1172" s="275"/>
      <c r="B1172" s="78"/>
      <c r="C1172" s="189"/>
      <c r="D1172" s="185"/>
      <c r="E1172" s="186"/>
      <c r="F1172" s="187"/>
    </row>
    <row r="1173" spans="1:6" x14ac:dyDescent="0.2">
      <c r="A1173" s="275"/>
      <c r="B1173" s="78"/>
      <c r="C1173" s="189"/>
      <c r="D1173" s="185"/>
      <c r="E1173" s="186"/>
      <c r="F1173" s="187"/>
    </row>
    <row r="1174" spans="1:6" x14ac:dyDescent="0.2">
      <c r="A1174" s="275"/>
      <c r="B1174" s="78"/>
      <c r="C1174" s="189"/>
      <c r="D1174" s="185"/>
      <c r="E1174" s="186"/>
      <c r="F1174" s="187"/>
    </row>
    <row r="1175" spans="1:6" x14ac:dyDescent="0.2">
      <c r="A1175" s="275"/>
      <c r="B1175" s="78"/>
      <c r="C1175" s="189"/>
      <c r="D1175" s="185"/>
      <c r="E1175" s="186"/>
      <c r="F1175" s="187"/>
    </row>
    <row r="1176" spans="1:6" x14ac:dyDescent="0.2">
      <c r="A1176" s="275"/>
      <c r="B1176" s="78"/>
      <c r="C1176" s="189"/>
      <c r="D1176" s="185"/>
      <c r="E1176" s="186"/>
      <c r="F1176" s="187"/>
    </row>
    <row r="1177" spans="1:6" x14ac:dyDescent="0.2">
      <c r="A1177" s="275"/>
      <c r="B1177" s="78"/>
      <c r="C1177" s="189"/>
      <c r="D1177" s="185"/>
      <c r="E1177" s="186"/>
      <c r="F1177" s="187"/>
    </row>
    <row r="1178" spans="1:6" x14ac:dyDescent="0.2">
      <c r="A1178" s="275"/>
      <c r="B1178" s="78"/>
      <c r="C1178" s="189"/>
      <c r="D1178" s="185"/>
      <c r="E1178" s="186"/>
      <c r="F1178" s="187"/>
    </row>
    <row r="1179" spans="1:6" x14ac:dyDescent="0.2">
      <c r="A1179" s="275"/>
      <c r="B1179" s="78"/>
      <c r="C1179" s="189"/>
      <c r="D1179" s="185"/>
      <c r="E1179" s="186"/>
      <c r="F1179" s="187"/>
    </row>
    <row r="1180" spans="1:6" x14ac:dyDescent="0.2">
      <c r="A1180" s="275"/>
      <c r="B1180" s="78"/>
      <c r="C1180" s="189"/>
      <c r="D1180" s="185"/>
      <c r="E1180" s="186"/>
      <c r="F1180" s="187"/>
    </row>
    <row r="1181" spans="1:6" x14ac:dyDescent="0.2">
      <c r="A1181" s="275"/>
      <c r="B1181" s="78"/>
      <c r="C1181" s="189"/>
      <c r="D1181" s="185"/>
      <c r="E1181" s="186"/>
      <c r="F1181" s="187"/>
    </row>
    <row r="1182" spans="1:6" x14ac:dyDescent="0.2">
      <c r="A1182" s="275"/>
      <c r="B1182" s="78"/>
      <c r="C1182" s="189"/>
      <c r="D1182" s="185"/>
      <c r="E1182" s="186"/>
      <c r="F1182" s="187"/>
    </row>
    <row r="1183" spans="1:6" x14ac:dyDescent="0.2">
      <c r="A1183" s="275"/>
      <c r="B1183" s="78"/>
      <c r="C1183" s="189"/>
      <c r="D1183" s="185"/>
      <c r="E1183" s="186"/>
      <c r="F1183" s="187"/>
    </row>
    <row r="1184" spans="1:6" x14ac:dyDescent="0.2">
      <c r="A1184" s="275"/>
      <c r="B1184" s="78"/>
      <c r="C1184" s="189"/>
      <c r="D1184" s="185"/>
      <c r="E1184" s="186"/>
      <c r="F1184" s="187"/>
    </row>
    <row r="1185" spans="1:6" x14ac:dyDescent="0.2">
      <c r="A1185" s="275"/>
      <c r="B1185" s="78"/>
      <c r="C1185" s="189"/>
      <c r="D1185" s="185"/>
      <c r="E1185" s="186"/>
      <c r="F1185" s="187"/>
    </row>
    <row r="1186" spans="1:6" x14ac:dyDescent="0.2">
      <c r="A1186" s="275"/>
      <c r="B1186" s="78"/>
      <c r="C1186" s="189"/>
      <c r="D1186" s="185"/>
      <c r="E1186" s="186"/>
      <c r="F1186" s="187"/>
    </row>
    <row r="1187" spans="1:6" x14ac:dyDescent="0.2">
      <c r="A1187" s="275"/>
      <c r="B1187" s="78"/>
      <c r="C1187" s="189"/>
      <c r="D1187" s="185"/>
      <c r="E1187" s="186"/>
      <c r="F1187" s="187"/>
    </row>
    <row r="1188" spans="1:6" x14ac:dyDescent="0.2">
      <c r="A1188" s="275"/>
      <c r="B1188" s="78"/>
      <c r="C1188" s="189"/>
      <c r="D1188" s="185"/>
      <c r="E1188" s="186"/>
      <c r="F1188" s="187"/>
    </row>
    <row r="1189" spans="1:6" x14ac:dyDescent="0.2">
      <c r="A1189" s="275"/>
      <c r="B1189" s="78"/>
      <c r="C1189" s="189"/>
      <c r="D1189" s="185"/>
      <c r="E1189" s="186"/>
      <c r="F1189" s="187"/>
    </row>
    <row r="1190" spans="1:6" x14ac:dyDescent="0.2">
      <c r="A1190" s="275"/>
      <c r="B1190" s="78"/>
      <c r="C1190" s="189"/>
      <c r="D1190" s="185"/>
      <c r="E1190" s="186"/>
      <c r="F1190" s="187"/>
    </row>
    <row r="1191" spans="1:6" x14ac:dyDescent="0.2">
      <c r="A1191" s="275"/>
      <c r="B1191" s="78"/>
      <c r="C1191" s="189"/>
      <c r="D1191" s="185"/>
      <c r="E1191" s="186"/>
      <c r="F1191" s="187"/>
    </row>
    <row r="1192" spans="1:6" x14ac:dyDescent="0.2">
      <c r="A1192" s="275"/>
      <c r="B1192" s="78"/>
      <c r="C1192" s="189"/>
      <c r="D1192" s="185"/>
      <c r="E1192" s="186"/>
      <c r="F1192" s="187"/>
    </row>
    <row r="1193" spans="1:6" x14ac:dyDescent="0.2">
      <c r="A1193" s="275"/>
      <c r="B1193" s="78"/>
      <c r="C1193" s="189"/>
      <c r="D1193" s="185"/>
      <c r="E1193" s="186"/>
      <c r="F1193" s="187"/>
    </row>
    <row r="1194" spans="1:6" x14ac:dyDescent="0.2">
      <c r="A1194" s="275"/>
      <c r="B1194" s="78"/>
      <c r="C1194" s="189"/>
      <c r="D1194" s="185"/>
      <c r="E1194" s="186"/>
      <c r="F1194" s="187"/>
    </row>
    <row r="1195" spans="1:6" x14ac:dyDescent="0.2">
      <c r="A1195" s="275"/>
      <c r="B1195" s="78"/>
      <c r="C1195" s="189"/>
      <c r="D1195" s="185"/>
      <c r="E1195" s="186"/>
      <c r="F1195" s="187"/>
    </row>
    <row r="1196" spans="1:6" x14ac:dyDescent="0.2">
      <c r="A1196" s="275"/>
      <c r="B1196" s="78"/>
      <c r="C1196" s="189"/>
      <c r="D1196" s="185"/>
      <c r="E1196" s="186"/>
      <c r="F1196" s="187"/>
    </row>
    <row r="1197" spans="1:6" x14ac:dyDescent="0.2">
      <c r="A1197" s="275"/>
      <c r="B1197" s="78"/>
      <c r="C1197" s="189"/>
      <c r="D1197" s="185"/>
      <c r="E1197" s="186"/>
      <c r="F1197" s="187"/>
    </row>
    <row r="1198" spans="1:6" x14ac:dyDescent="0.2">
      <c r="A1198" s="275"/>
      <c r="B1198" s="78"/>
      <c r="C1198" s="189"/>
      <c r="D1198" s="185"/>
      <c r="E1198" s="186"/>
      <c r="F1198" s="187"/>
    </row>
    <row r="1199" spans="1:6" x14ac:dyDescent="0.2">
      <c r="A1199" s="275"/>
      <c r="B1199" s="78"/>
      <c r="C1199" s="189"/>
      <c r="D1199" s="185"/>
      <c r="E1199" s="186"/>
      <c r="F1199" s="187"/>
    </row>
    <row r="1200" spans="1:6" x14ac:dyDescent="0.2">
      <c r="A1200" s="275"/>
      <c r="B1200" s="78"/>
      <c r="C1200" s="189"/>
      <c r="D1200" s="185"/>
      <c r="E1200" s="186"/>
      <c r="F1200" s="187"/>
    </row>
    <row r="1201" spans="1:6" x14ac:dyDescent="0.2">
      <c r="A1201" s="275"/>
      <c r="B1201" s="78"/>
      <c r="C1201" s="189"/>
      <c r="D1201" s="185"/>
      <c r="E1201" s="186"/>
      <c r="F1201" s="187"/>
    </row>
    <row r="1202" spans="1:6" x14ac:dyDescent="0.2">
      <c r="A1202" s="275"/>
      <c r="B1202" s="78"/>
      <c r="C1202" s="189"/>
      <c r="D1202" s="185"/>
      <c r="E1202" s="186"/>
      <c r="F1202" s="187"/>
    </row>
    <row r="1203" spans="1:6" x14ac:dyDescent="0.2">
      <c r="A1203" s="275"/>
      <c r="B1203" s="78"/>
      <c r="C1203" s="189"/>
      <c r="D1203" s="185"/>
      <c r="E1203" s="186"/>
      <c r="F1203" s="187"/>
    </row>
    <row r="1204" spans="1:6" x14ac:dyDescent="0.2">
      <c r="A1204" s="275"/>
      <c r="B1204" s="78"/>
      <c r="C1204" s="189"/>
      <c r="D1204" s="185"/>
      <c r="E1204" s="186"/>
      <c r="F1204" s="187"/>
    </row>
    <row r="1205" spans="1:6" x14ac:dyDescent="0.2">
      <c r="A1205" s="275"/>
      <c r="B1205" s="78"/>
      <c r="C1205" s="189"/>
      <c r="D1205" s="185"/>
      <c r="E1205" s="186"/>
      <c r="F1205" s="187"/>
    </row>
    <row r="1206" spans="1:6" x14ac:dyDescent="0.2">
      <c r="A1206" s="275"/>
      <c r="B1206" s="78"/>
      <c r="C1206" s="189"/>
      <c r="D1206" s="185"/>
      <c r="E1206" s="186"/>
      <c r="F1206" s="187"/>
    </row>
    <row r="1207" spans="1:6" x14ac:dyDescent="0.2">
      <c r="A1207" s="275"/>
      <c r="B1207" s="78"/>
      <c r="C1207" s="189"/>
      <c r="D1207" s="185"/>
      <c r="E1207" s="186"/>
      <c r="F1207" s="187"/>
    </row>
    <row r="1208" spans="1:6" x14ac:dyDescent="0.2">
      <c r="A1208" s="275"/>
      <c r="B1208" s="78"/>
      <c r="C1208" s="189"/>
      <c r="D1208" s="185"/>
      <c r="E1208" s="186"/>
      <c r="F1208" s="187"/>
    </row>
    <row r="1209" spans="1:6" x14ac:dyDescent="0.2">
      <c r="A1209" s="275"/>
      <c r="B1209" s="78"/>
      <c r="C1209" s="189"/>
      <c r="D1209" s="185"/>
      <c r="E1209" s="186"/>
      <c r="F1209" s="187"/>
    </row>
    <row r="1210" spans="1:6" x14ac:dyDescent="0.2">
      <c r="A1210" s="275"/>
      <c r="B1210" s="78"/>
      <c r="C1210" s="189"/>
      <c r="D1210" s="185"/>
      <c r="E1210" s="186"/>
      <c r="F1210" s="187"/>
    </row>
    <row r="1211" spans="1:6" x14ac:dyDescent="0.2">
      <c r="A1211" s="275"/>
      <c r="B1211" s="78"/>
      <c r="C1211" s="189"/>
      <c r="D1211" s="185"/>
      <c r="E1211" s="186"/>
      <c r="F1211" s="187"/>
    </row>
    <row r="1212" spans="1:6" x14ac:dyDescent="0.2">
      <c r="A1212" s="275"/>
      <c r="B1212" s="78"/>
      <c r="C1212" s="189"/>
      <c r="D1212" s="185"/>
      <c r="E1212" s="186"/>
      <c r="F1212" s="187"/>
    </row>
    <row r="1213" spans="1:6" x14ac:dyDescent="0.2">
      <c r="A1213" s="275"/>
      <c r="B1213" s="78"/>
      <c r="C1213" s="189"/>
      <c r="D1213" s="185"/>
      <c r="E1213" s="186"/>
      <c r="F1213" s="187"/>
    </row>
    <row r="1214" spans="1:6" x14ac:dyDescent="0.2">
      <c r="A1214" s="275"/>
      <c r="B1214" s="78"/>
      <c r="C1214" s="189"/>
      <c r="D1214" s="185"/>
      <c r="E1214" s="186"/>
      <c r="F1214" s="187"/>
    </row>
    <row r="1215" spans="1:6" x14ac:dyDescent="0.2">
      <c r="A1215" s="275"/>
      <c r="B1215" s="78"/>
      <c r="C1215" s="189"/>
      <c r="D1215" s="185"/>
      <c r="E1215" s="186"/>
      <c r="F1215" s="187"/>
    </row>
    <row r="1216" spans="1:6" x14ac:dyDescent="0.2">
      <c r="A1216" s="275"/>
      <c r="B1216" s="78"/>
      <c r="C1216" s="189"/>
      <c r="D1216" s="185"/>
      <c r="E1216" s="186"/>
      <c r="F1216" s="187"/>
    </row>
    <row r="1217" spans="1:6" x14ac:dyDescent="0.2">
      <c r="A1217" s="275"/>
      <c r="B1217" s="78"/>
      <c r="C1217" s="189"/>
      <c r="D1217" s="185"/>
      <c r="E1217" s="186"/>
      <c r="F1217" s="187"/>
    </row>
    <row r="1218" spans="1:6" x14ac:dyDescent="0.2">
      <c r="A1218" s="275"/>
      <c r="B1218" s="78"/>
      <c r="C1218" s="189"/>
      <c r="D1218" s="185"/>
      <c r="E1218" s="186"/>
      <c r="F1218" s="187"/>
    </row>
    <row r="1219" spans="1:6" x14ac:dyDescent="0.2">
      <c r="A1219" s="275"/>
      <c r="B1219" s="78"/>
      <c r="C1219" s="189"/>
      <c r="D1219" s="185"/>
      <c r="E1219" s="186"/>
      <c r="F1219" s="187"/>
    </row>
    <row r="1220" spans="1:6" x14ac:dyDescent="0.2">
      <c r="A1220" s="275"/>
      <c r="B1220" s="78"/>
      <c r="C1220" s="189"/>
      <c r="D1220" s="185"/>
      <c r="E1220" s="186"/>
      <c r="F1220" s="187"/>
    </row>
    <row r="1221" spans="1:6" x14ac:dyDescent="0.2">
      <c r="A1221" s="275"/>
      <c r="B1221" s="78"/>
      <c r="C1221" s="189"/>
      <c r="D1221" s="185"/>
      <c r="E1221" s="186"/>
      <c r="F1221" s="187"/>
    </row>
    <row r="1222" spans="1:6" x14ac:dyDescent="0.2">
      <c r="A1222" s="275"/>
      <c r="B1222" s="78"/>
      <c r="C1222" s="189"/>
      <c r="D1222" s="185"/>
      <c r="E1222" s="186"/>
      <c r="F1222" s="187"/>
    </row>
    <row r="1223" spans="1:6" x14ac:dyDescent="0.2">
      <c r="A1223" s="275"/>
      <c r="B1223" s="78"/>
      <c r="C1223" s="189"/>
      <c r="D1223" s="185"/>
      <c r="E1223" s="186"/>
      <c r="F1223" s="187"/>
    </row>
    <row r="1224" spans="1:6" x14ac:dyDescent="0.2">
      <c r="A1224" s="275"/>
      <c r="B1224" s="78"/>
      <c r="C1224" s="189"/>
      <c r="D1224" s="185"/>
      <c r="E1224" s="186"/>
      <c r="F1224" s="187"/>
    </row>
    <row r="1225" spans="1:6" x14ac:dyDescent="0.2">
      <c r="A1225" s="275"/>
      <c r="B1225" s="78"/>
      <c r="C1225" s="189"/>
      <c r="D1225" s="185"/>
      <c r="E1225" s="186"/>
      <c r="F1225" s="187"/>
    </row>
    <row r="1226" spans="1:6" x14ac:dyDescent="0.2">
      <c r="A1226" s="275"/>
      <c r="B1226" s="78"/>
      <c r="C1226" s="189"/>
      <c r="D1226" s="185"/>
      <c r="E1226" s="186"/>
      <c r="F1226" s="187"/>
    </row>
    <row r="1227" spans="1:6" x14ac:dyDescent="0.2">
      <c r="A1227" s="275"/>
      <c r="B1227" s="78"/>
      <c r="C1227" s="189"/>
      <c r="D1227" s="185"/>
      <c r="E1227" s="186"/>
      <c r="F1227" s="187"/>
    </row>
    <row r="1228" spans="1:6" x14ac:dyDescent="0.2">
      <c r="A1228" s="275"/>
      <c r="B1228" s="78"/>
      <c r="C1228" s="189"/>
      <c r="D1228" s="185"/>
      <c r="E1228" s="186"/>
      <c r="F1228" s="187"/>
    </row>
    <row r="1229" spans="1:6" x14ac:dyDescent="0.2">
      <c r="A1229" s="275"/>
      <c r="B1229" s="78"/>
      <c r="C1229" s="189"/>
      <c r="D1229" s="185"/>
      <c r="E1229" s="186"/>
      <c r="F1229" s="187"/>
    </row>
    <row r="1230" spans="1:6" x14ac:dyDescent="0.2">
      <c r="A1230" s="275"/>
      <c r="B1230" s="78"/>
      <c r="C1230" s="189"/>
      <c r="D1230" s="185"/>
      <c r="E1230" s="186"/>
      <c r="F1230" s="187"/>
    </row>
    <row r="1231" spans="1:6" x14ac:dyDescent="0.2">
      <c r="A1231" s="275"/>
      <c r="B1231" s="78"/>
      <c r="C1231" s="189"/>
      <c r="D1231" s="185"/>
      <c r="E1231" s="186"/>
      <c r="F1231" s="187"/>
    </row>
    <row r="1232" spans="1:6" x14ac:dyDescent="0.2">
      <c r="A1232" s="275"/>
      <c r="B1232" s="78"/>
      <c r="C1232" s="189"/>
      <c r="D1232" s="185"/>
      <c r="E1232" s="186"/>
      <c r="F1232" s="187"/>
    </row>
    <row r="1233" spans="1:6" x14ac:dyDescent="0.2">
      <c r="A1233" s="275"/>
      <c r="B1233" s="78"/>
      <c r="C1233" s="189"/>
      <c r="D1233" s="185"/>
      <c r="E1233" s="186"/>
      <c r="F1233" s="187"/>
    </row>
    <row r="1234" spans="1:6" x14ac:dyDescent="0.2">
      <c r="A1234" s="275"/>
      <c r="B1234" s="78"/>
      <c r="C1234" s="189"/>
      <c r="D1234" s="185"/>
      <c r="E1234" s="186"/>
      <c r="F1234" s="187"/>
    </row>
    <row r="1235" spans="1:6" x14ac:dyDescent="0.2">
      <c r="A1235" s="275"/>
      <c r="B1235" s="78"/>
      <c r="C1235" s="189"/>
      <c r="D1235" s="185"/>
      <c r="E1235" s="186"/>
      <c r="F1235" s="187"/>
    </row>
    <row r="1236" spans="1:6" x14ac:dyDescent="0.2">
      <c r="A1236" s="275"/>
      <c r="B1236" s="78"/>
      <c r="C1236" s="189"/>
      <c r="D1236" s="185"/>
      <c r="E1236" s="186"/>
      <c r="F1236" s="187"/>
    </row>
    <row r="1237" spans="1:6" x14ac:dyDescent="0.2">
      <c r="A1237" s="275"/>
      <c r="B1237" s="78"/>
      <c r="C1237" s="189"/>
      <c r="D1237" s="185"/>
      <c r="E1237" s="186"/>
      <c r="F1237" s="187"/>
    </row>
    <row r="1238" spans="1:6" x14ac:dyDescent="0.2">
      <c r="A1238" s="275"/>
      <c r="B1238" s="78"/>
      <c r="C1238" s="189"/>
      <c r="D1238" s="185"/>
      <c r="E1238" s="186"/>
      <c r="F1238" s="187"/>
    </row>
    <row r="1239" spans="1:6" x14ac:dyDescent="0.2">
      <c r="A1239" s="275"/>
      <c r="B1239" s="78"/>
      <c r="C1239" s="189"/>
      <c r="D1239" s="185"/>
      <c r="E1239" s="186"/>
      <c r="F1239" s="187"/>
    </row>
    <row r="1240" spans="1:6" x14ac:dyDescent="0.2">
      <c r="A1240" s="275"/>
      <c r="B1240" s="78"/>
      <c r="C1240" s="189"/>
      <c r="D1240" s="185"/>
      <c r="E1240" s="186"/>
      <c r="F1240" s="187"/>
    </row>
    <row r="1241" spans="1:6" x14ac:dyDescent="0.2">
      <c r="A1241" s="275"/>
      <c r="B1241" s="78"/>
      <c r="C1241" s="189"/>
      <c r="D1241" s="185"/>
      <c r="E1241" s="186"/>
      <c r="F1241" s="187"/>
    </row>
    <row r="1242" spans="1:6" x14ac:dyDescent="0.2">
      <c r="A1242" s="275"/>
      <c r="B1242" s="78"/>
      <c r="C1242" s="189"/>
      <c r="D1242" s="185"/>
      <c r="E1242" s="186"/>
      <c r="F1242" s="187"/>
    </row>
    <row r="1243" spans="1:6" x14ac:dyDescent="0.2">
      <c r="A1243" s="275"/>
      <c r="B1243" s="78"/>
      <c r="C1243" s="189"/>
      <c r="D1243" s="185"/>
      <c r="E1243" s="186"/>
      <c r="F1243" s="187"/>
    </row>
    <row r="1244" spans="1:6" x14ac:dyDescent="0.2">
      <c r="A1244" s="275"/>
      <c r="B1244" s="78"/>
      <c r="C1244" s="189"/>
      <c r="D1244" s="185"/>
      <c r="E1244" s="186"/>
      <c r="F1244" s="187"/>
    </row>
    <row r="1245" spans="1:6" x14ac:dyDescent="0.2">
      <c r="A1245" s="275"/>
      <c r="B1245" s="78"/>
      <c r="C1245" s="189"/>
      <c r="D1245" s="185"/>
      <c r="E1245" s="186"/>
      <c r="F1245" s="187"/>
    </row>
    <row r="1246" spans="1:6" x14ac:dyDescent="0.2">
      <c r="A1246" s="275"/>
      <c r="B1246" s="78"/>
      <c r="C1246" s="189"/>
      <c r="D1246" s="185"/>
      <c r="E1246" s="186"/>
      <c r="F1246" s="187"/>
    </row>
    <row r="1247" spans="1:6" x14ac:dyDescent="0.2">
      <c r="A1247" s="275"/>
      <c r="B1247" s="78"/>
      <c r="C1247" s="189"/>
      <c r="D1247" s="185"/>
      <c r="E1247" s="186"/>
      <c r="F1247" s="187"/>
    </row>
    <row r="1248" spans="1:6" x14ac:dyDescent="0.2">
      <c r="A1248" s="275"/>
      <c r="B1248" s="78"/>
      <c r="C1248" s="189"/>
      <c r="D1248" s="185"/>
      <c r="E1248" s="186"/>
      <c r="F1248" s="187"/>
    </row>
    <row r="1249" spans="1:6" x14ac:dyDescent="0.2">
      <c r="A1249" s="275"/>
      <c r="B1249" s="78"/>
      <c r="C1249" s="189"/>
      <c r="D1249" s="185"/>
      <c r="E1249" s="186"/>
      <c r="F1249" s="187"/>
    </row>
    <row r="1250" spans="1:6" x14ac:dyDescent="0.2">
      <c r="A1250" s="275"/>
      <c r="B1250" s="78"/>
      <c r="C1250" s="189"/>
      <c r="D1250" s="185"/>
      <c r="E1250" s="186"/>
      <c r="F1250" s="187"/>
    </row>
    <row r="1251" spans="1:6" x14ac:dyDescent="0.2">
      <c r="A1251" s="275"/>
      <c r="B1251" s="78"/>
      <c r="C1251" s="189"/>
      <c r="D1251" s="185"/>
      <c r="E1251" s="186"/>
      <c r="F1251" s="187"/>
    </row>
    <row r="1252" spans="1:6" x14ac:dyDescent="0.2">
      <c r="A1252" s="275"/>
      <c r="B1252" s="78"/>
      <c r="C1252" s="189"/>
      <c r="D1252" s="185"/>
      <c r="E1252" s="186"/>
      <c r="F1252" s="187"/>
    </row>
    <row r="1253" spans="1:6" x14ac:dyDescent="0.2">
      <c r="A1253" s="275"/>
      <c r="B1253" s="78"/>
      <c r="C1253" s="189"/>
      <c r="D1253" s="185"/>
      <c r="E1253" s="186"/>
      <c r="F1253" s="187"/>
    </row>
    <row r="1254" spans="1:6" x14ac:dyDescent="0.2">
      <c r="A1254" s="275"/>
      <c r="B1254" s="78"/>
      <c r="C1254" s="189"/>
      <c r="D1254" s="185"/>
      <c r="E1254" s="186"/>
      <c r="F1254" s="187"/>
    </row>
    <row r="1255" spans="1:6" x14ac:dyDescent="0.2">
      <c r="A1255" s="275"/>
      <c r="B1255" s="78"/>
      <c r="C1255" s="189"/>
      <c r="D1255" s="185"/>
      <c r="E1255" s="186"/>
      <c r="F1255" s="187"/>
    </row>
    <row r="1256" spans="1:6" x14ac:dyDescent="0.2">
      <c r="A1256" s="275"/>
      <c r="B1256" s="78"/>
      <c r="C1256" s="189"/>
      <c r="D1256" s="185"/>
      <c r="E1256" s="186"/>
      <c r="F1256" s="187"/>
    </row>
    <row r="1257" spans="1:6" x14ac:dyDescent="0.2">
      <c r="A1257" s="275"/>
      <c r="B1257" s="78"/>
      <c r="C1257" s="189"/>
      <c r="D1257" s="185"/>
      <c r="E1257" s="186"/>
      <c r="F1257" s="187"/>
    </row>
    <row r="1258" spans="1:6" x14ac:dyDescent="0.2">
      <c r="A1258" s="275"/>
      <c r="B1258" s="78"/>
      <c r="C1258" s="189"/>
      <c r="D1258" s="185"/>
      <c r="E1258" s="186"/>
      <c r="F1258" s="187"/>
    </row>
    <row r="1259" spans="1:6" x14ac:dyDescent="0.2">
      <c r="A1259" s="275"/>
      <c r="B1259" s="78"/>
      <c r="C1259" s="189"/>
      <c r="D1259" s="185"/>
      <c r="E1259" s="186"/>
      <c r="F1259" s="187"/>
    </row>
    <row r="1260" spans="1:6" x14ac:dyDescent="0.2">
      <c r="A1260" s="275"/>
      <c r="B1260" s="78"/>
      <c r="C1260" s="189"/>
      <c r="D1260" s="185"/>
      <c r="E1260" s="186"/>
      <c r="F1260" s="187"/>
    </row>
    <row r="1261" spans="1:6" x14ac:dyDescent="0.2">
      <c r="A1261" s="275"/>
      <c r="B1261" s="78"/>
      <c r="C1261" s="189"/>
      <c r="D1261" s="185"/>
      <c r="E1261" s="186"/>
      <c r="F1261" s="187"/>
    </row>
    <row r="1262" spans="1:6" x14ac:dyDescent="0.2">
      <c r="A1262" s="275"/>
      <c r="B1262" s="78"/>
      <c r="C1262" s="189"/>
      <c r="D1262" s="185"/>
      <c r="E1262" s="186"/>
      <c r="F1262" s="187"/>
    </row>
    <row r="1263" spans="1:6" x14ac:dyDescent="0.2">
      <c r="A1263" s="275"/>
      <c r="B1263" s="78"/>
      <c r="C1263" s="189"/>
      <c r="D1263" s="185"/>
      <c r="E1263" s="186"/>
      <c r="F1263" s="187"/>
    </row>
    <row r="1264" spans="1:6" x14ac:dyDescent="0.2">
      <c r="A1264" s="275"/>
      <c r="B1264" s="78"/>
      <c r="C1264" s="189"/>
      <c r="D1264" s="185"/>
      <c r="E1264" s="186"/>
      <c r="F1264" s="187"/>
    </row>
    <row r="1265" spans="1:6" x14ac:dyDescent="0.2">
      <c r="A1265" s="275"/>
      <c r="B1265" s="78"/>
      <c r="C1265" s="189"/>
      <c r="D1265" s="185"/>
      <c r="E1265" s="186"/>
      <c r="F1265" s="187"/>
    </row>
    <row r="1266" spans="1:6" x14ac:dyDescent="0.2">
      <c r="A1266" s="275"/>
      <c r="B1266" s="78"/>
      <c r="C1266" s="189"/>
      <c r="D1266" s="185"/>
      <c r="E1266" s="186"/>
      <c r="F1266" s="187"/>
    </row>
    <row r="1267" spans="1:6" x14ac:dyDescent="0.2">
      <c r="A1267" s="275"/>
      <c r="B1267" s="78"/>
      <c r="C1267" s="189"/>
      <c r="D1267" s="185"/>
      <c r="E1267" s="186"/>
      <c r="F1267" s="187"/>
    </row>
    <row r="1268" spans="1:6" x14ac:dyDescent="0.2">
      <c r="A1268" s="275"/>
      <c r="B1268" s="78"/>
      <c r="C1268" s="189"/>
      <c r="D1268" s="185"/>
      <c r="E1268" s="186"/>
      <c r="F1268" s="187"/>
    </row>
    <row r="1269" spans="1:6" x14ac:dyDescent="0.2">
      <c r="A1269" s="275"/>
      <c r="B1269" s="78"/>
      <c r="C1269" s="189"/>
      <c r="D1269" s="185"/>
      <c r="E1269" s="186"/>
      <c r="F1269" s="187"/>
    </row>
    <row r="1270" spans="1:6" x14ac:dyDescent="0.2">
      <c r="A1270" s="275"/>
      <c r="B1270" s="78"/>
      <c r="C1270" s="189"/>
      <c r="D1270" s="185"/>
      <c r="E1270" s="186"/>
      <c r="F1270" s="187"/>
    </row>
    <row r="1271" spans="1:6" x14ac:dyDescent="0.2">
      <c r="A1271" s="275"/>
      <c r="B1271" s="78"/>
      <c r="C1271" s="189"/>
      <c r="D1271" s="185"/>
      <c r="E1271" s="186"/>
      <c r="F1271" s="187"/>
    </row>
    <row r="1272" spans="1:6" x14ac:dyDescent="0.2">
      <c r="A1272" s="275"/>
      <c r="B1272" s="78"/>
      <c r="C1272" s="189"/>
      <c r="D1272" s="185"/>
      <c r="E1272" s="186"/>
      <c r="F1272" s="187"/>
    </row>
    <row r="1273" spans="1:6" x14ac:dyDescent="0.2">
      <c r="A1273" s="275"/>
      <c r="B1273" s="78"/>
      <c r="C1273" s="189"/>
      <c r="D1273" s="185"/>
      <c r="E1273" s="186"/>
      <c r="F1273" s="187"/>
    </row>
    <row r="1274" spans="1:6" x14ac:dyDescent="0.2">
      <c r="A1274" s="275"/>
      <c r="B1274" s="78"/>
      <c r="C1274" s="189"/>
      <c r="D1274" s="185"/>
      <c r="E1274" s="186"/>
      <c r="F1274" s="187"/>
    </row>
    <row r="1275" spans="1:6" x14ac:dyDescent="0.2">
      <c r="A1275" s="275"/>
      <c r="B1275" s="78"/>
      <c r="C1275" s="189"/>
      <c r="D1275" s="185"/>
      <c r="E1275" s="186"/>
      <c r="F1275" s="187"/>
    </row>
    <row r="1276" spans="1:6" x14ac:dyDescent="0.2">
      <c r="A1276" s="275"/>
      <c r="B1276" s="78"/>
      <c r="C1276" s="189"/>
      <c r="D1276" s="185"/>
      <c r="E1276" s="186"/>
      <c r="F1276" s="187"/>
    </row>
    <row r="1277" spans="1:6" x14ac:dyDescent="0.2">
      <c r="A1277" s="275"/>
      <c r="B1277" s="78"/>
      <c r="C1277" s="189"/>
      <c r="D1277" s="185"/>
      <c r="E1277" s="186"/>
      <c r="F1277" s="187"/>
    </row>
    <row r="1278" spans="1:6" x14ac:dyDescent="0.2">
      <c r="A1278" s="275"/>
      <c r="B1278" s="78"/>
      <c r="C1278" s="189"/>
      <c r="D1278" s="185"/>
      <c r="E1278" s="186"/>
      <c r="F1278" s="187"/>
    </row>
    <row r="1279" spans="1:6" x14ac:dyDescent="0.2">
      <c r="A1279" s="275"/>
      <c r="B1279" s="78"/>
      <c r="C1279" s="189"/>
      <c r="D1279" s="185"/>
      <c r="E1279" s="186"/>
      <c r="F1279" s="187"/>
    </row>
    <row r="1280" spans="1:6" x14ac:dyDescent="0.2">
      <c r="A1280" s="275"/>
      <c r="B1280" s="78"/>
      <c r="C1280" s="189"/>
      <c r="D1280" s="185"/>
      <c r="E1280" s="186"/>
      <c r="F1280" s="187"/>
    </row>
    <row r="1281" spans="1:6" x14ac:dyDescent="0.2">
      <c r="A1281" s="275"/>
      <c r="B1281" s="78"/>
      <c r="C1281" s="189"/>
      <c r="D1281" s="185"/>
      <c r="E1281" s="186"/>
      <c r="F1281" s="187"/>
    </row>
    <row r="1282" spans="1:6" x14ac:dyDescent="0.2">
      <c r="A1282" s="275"/>
      <c r="B1282" s="78"/>
      <c r="C1282" s="189"/>
      <c r="D1282" s="185"/>
      <c r="E1282" s="186"/>
      <c r="F1282" s="187"/>
    </row>
    <row r="1283" spans="1:6" x14ac:dyDescent="0.2">
      <c r="A1283" s="275"/>
      <c r="B1283" s="78"/>
      <c r="C1283" s="189"/>
      <c r="D1283" s="185"/>
      <c r="E1283" s="186"/>
      <c r="F1283" s="187"/>
    </row>
    <row r="1284" spans="1:6" x14ac:dyDescent="0.2">
      <c r="A1284" s="275"/>
      <c r="B1284" s="78"/>
      <c r="C1284" s="189"/>
      <c r="D1284" s="185"/>
      <c r="E1284" s="186"/>
      <c r="F1284" s="187"/>
    </row>
    <row r="1285" spans="1:6" x14ac:dyDescent="0.2">
      <c r="A1285" s="275"/>
      <c r="B1285" s="78"/>
      <c r="C1285" s="189"/>
      <c r="D1285" s="185"/>
      <c r="E1285" s="186"/>
      <c r="F1285" s="187"/>
    </row>
    <row r="1286" spans="1:6" x14ac:dyDescent="0.2">
      <c r="A1286" s="275"/>
      <c r="B1286" s="78"/>
      <c r="C1286" s="189"/>
      <c r="D1286" s="185"/>
      <c r="E1286" s="186"/>
      <c r="F1286" s="187"/>
    </row>
    <row r="1287" spans="1:6" x14ac:dyDescent="0.2">
      <c r="A1287" s="275"/>
      <c r="B1287" s="78"/>
      <c r="C1287" s="189"/>
      <c r="D1287" s="185"/>
      <c r="E1287" s="186"/>
      <c r="F1287" s="187"/>
    </row>
    <row r="1288" spans="1:6" x14ac:dyDescent="0.2">
      <c r="A1288" s="275"/>
      <c r="B1288" s="78"/>
      <c r="C1288" s="189"/>
      <c r="D1288" s="185"/>
      <c r="E1288" s="186"/>
      <c r="F1288" s="187"/>
    </row>
    <row r="1289" spans="1:6" x14ac:dyDescent="0.2">
      <c r="A1289" s="275"/>
      <c r="B1289" s="78"/>
      <c r="C1289" s="189"/>
      <c r="D1289" s="185"/>
      <c r="E1289" s="186"/>
      <c r="F1289" s="187"/>
    </row>
    <row r="1290" spans="1:6" x14ac:dyDescent="0.2">
      <c r="A1290" s="275"/>
      <c r="B1290" s="78"/>
      <c r="C1290" s="189"/>
      <c r="D1290" s="185"/>
      <c r="E1290" s="186"/>
      <c r="F1290" s="187"/>
    </row>
    <row r="1291" spans="1:6" x14ac:dyDescent="0.2">
      <c r="A1291" s="275"/>
      <c r="B1291" s="78"/>
      <c r="C1291" s="189"/>
      <c r="D1291" s="185"/>
      <c r="E1291" s="186"/>
      <c r="F1291" s="187"/>
    </row>
    <row r="1292" spans="1:6" x14ac:dyDescent="0.2">
      <c r="A1292" s="275"/>
      <c r="B1292" s="78"/>
      <c r="C1292" s="189"/>
      <c r="D1292" s="185"/>
      <c r="E1292" s="186"/>
      <c r="F1292" s="187"/>
    </row>
    <row r="1293" spans="1:6" x14ac:dyDescent="0.2">
      <c r="A1293" s="275"/>
      <c r="B1293" s="78"/>
      <c r="C1293" s="189"/>
      <c r="D1293" s="185"/>
      <c r="E1293" s="186"/>
      <c r="F1293" s="187"/>
    </row>
    <row r="1294" spans="1:6" x14ac:dyDescent="0.2">
      <c r="A1294" s="275"/>
      <c r="B1294" s="78"/>
      <c r="C1294" s="189"/>
      <c r="D1294" s="185"/>
      <c r="E1294" s="186"/>
      <c r="F1294" s="187"/>
    </row>
    <row r="1295" spans="1:6" x14ac:dyDescent="0.2">
      <c r="A1295" s="275"/>
      <c r="B1295" s="78"/>
      <c r="C1295" s="189"/>
      <c r="D1295" s="185"/>
      <c r="E1295" s="186"/>
      <c r="F1295" s="187"/>
    </row>
    <row r="1296" spans="1:6" x14ac:dyDescent="0.2">
      <c r="A1296" s="275"/>
      <c r="B1296" s="78"/>
      <c r="C1296" s="189"/>
      <c r="D1296" s="185"/>
      <c r="E1296" s="186"/>
      <c r="F1296" s="187"/>
    </row>
    <row r="1297" spans="1:6" x14ac:dyDescent="0.2">
      <c r="A1297" s="275"/>
      <c r="B1297" s="78"/>
      <c r="C1297" s="189"/>
      <c r="D1297" s="185"/>
      <c r="E1297" s="186"/>
      <c r="F1297" s="187"/>
    </row>
    <row r="1298" spans="1:6" x14ac:dyDescent="0.2">
      <c r="A1298" s="275"/>
      <c r="B1298" s="78"/>
      <c r="C1298" s="189"/>
      <c r="D1298" s="185"/>
      <c r="E1298" s="186"/>
      <c r="F1298" s="187"/>
    </row>
    <row r="1299" spans="1:6" x14ac:dyDescent="0.2">
      <c r="A1299" s="275"/>
      <c r="B1299" s="78"/>
      <c r="C1299" s="189"/>
      <c r="D1299" s="185"/>
      <c r="E1299" s="186"/>
      <c r="F1299" s="187"/>
    </row>
    <row r="1300" spans="1:6" x14ac:dyDescent="0.2">
      <c r="A1300" s="275"/>
      <c r="B1300" s="78"/>
      <c r="C1300" s="189"/>
      <c r="D1300" s="185"/>
      <c r="E1300" s="186"/>
      <c r="F1300" s="187"/>
    </row>
    <row r="1301" spans="1:6" x14ac:dyDescent="0.2">
      <c r="A1301" s="275"/>
      <c r="B1301" s="78"/>
      <c r="C1301" s="189"/>
      <c r="D1301" s="185"/>
      <c r="E1301" s="186"/>
      <c r="F1301" s="187"/>
    </row>
    <row r="1302" spans="1:6" x14ac:dyDescent="0.2">
      <c r="A1302" s="275"/>
      <c r="B1302" s="78"/>
      <c r="C1302" s="189"/>
      <c r="D1302" s="185"/>
      <c r="E1302" s="186"/>
      <c r="F1302" s="187"/>
    </row>
    <row r="1303" spans="1:6" x14ac:dyDescent="0.2">
      <c r="A1303" s="275"/>
      <c r="B1303" s="78"/>
      <c r="C1303" s="189"/>
      <c r="D1303" s="185"/>
      <c r="E1303" s="186"/>
      <c r="F1303" s="187"/>
    </row>
    <row r="1304" spans="1:6" x14ac:dyDescent="0.2">
      <c r="A1304" s="275"/>
      <c r="B1304" s="78"/>
      <c r="C1304" s="189"/>
      <c r="D1304" s="185"/>
      <c r="E1304" s="186"/>
      <c r="F1304" s="187"/>
    </row>
    <row r="1305" spans="1:6" x14ac:dyDescent="0.2">
      <c r="A1305" s="275"/>
      <c r="B1305" s="78"/>
      <c r="C1305" s="189"/>
      <c r="D1305" s="185"/>
      <c r="E1305" s="186"/>
      <c r="F1305" s="187"/>
    </row>
    <row r="1306" spans="1:6" x14ac:dyDescent="0.2">
      <c r="A1306" s="275"/>
      <c r="B1306" s="78"/>
      <c r="C1306" s="189"/>
      <c r="D1306" s="185"/>
      <c r="E1306" s="186"/>
      <c r="F1306" s="187"/>
    </row>
    <row r="1307" spans="1:6" x14ac:dyDescent="0.2">
      <c r="A1307" s="275"/>
      <c r="B1307" s="78"/>
      <c r="C1307" s="189"/>
      <c r="D1307" s="185"/>
      <c r="E1307" s="186"/>
      <c r="F1307" s="187"/>
    </row>
    <row r="1308" spans="1:6" x14ac:dyDescent="0.2">
      <c r="A1308" s="275"/>
      <c r="B1308" s="78"/>
      <c r="C1308" s="189"/>
      <c r="D1308" s="185"/>
      <c r="E1308" s="186"/>
      <c r="F1308" s="187"/>
    </row>
    <row r="1309" spans="1:6" x14ac:dyDescent="0.2">
      <c r="A1309" s="275"/>
      <c r="B1309" s="78"/>
      <c r="C1309" s="189"/>
      <c r="D1309" s="185"/>
      <c r="E1309" s="186"/>
      <c r="F1309" s="187"/>
    </row>
    <row r="1310" spans="1:6" x14ac:dyDescent="0.2">
      <c r="A1310" s="275"/>
      <c r="B1310" s="78"/>
      <c r="C1310" s="189"/>
      <c r="D1310" s="185"/>
      <c r="E1310" s="186"/>
      <c r="F1310" s="187"/>
    </row>
    <row r="1311" spans="1:6" x14ac:dyDescent="0.2">
      <c r="A1311" s="275"/>
      <c r="B1311" s="78"/>
      <c r="C1311" s="189"/>
      <c r="D1311" s="185"/>
      <c r="E1311" s="186"/>
      <c r="F1311" s="187"/>
    </row>
    <row r="1312" spans="1:6" x14ac:dyDescent="0.2">
      <c r="A1312" s="275"/>
      <c r="B1312" s="78"/>
      <c r="C1312" s="189"/>
      <c r="D1312" s="185"/>
      <c r="E1312" s="186"/>
      <c r="F1312" s="187"/>
    </row>
    <row r="1313" spans="1:6" x14ac:dyDescent="0.2">
      <c r="A1313" s="275"/>
      <c r="B1313" s="78"/>
      <c r="C1313" s="189"/>
      <c r="D1313" s="185"/>
      <c r="E1313" s="186"/>
      <c r="F1313" s="187"/>
    </row>
    <row r="1314" spans="1:6" x14ac:dyDescent="0.2">
      <c r="A1314" s="275"/>
      <c r="B1314" s="78"/>
      <c r="C1314" s="189"/>
      <c r="D1314" s="185"/>
      <c r="E1314" s="186"/>
      <c r="F1314" s="187"/>
    </row>
    <row r="1315" spans="1:6" x14ac:dyDescent="0.2">
      <c r="A1315" s="275"/>
      <c r="B1315" s="78"/>
      <c r="C1315" s="189"/>
      <c r="D1315" s="185"/>
      <c r="E1315" s="186"/>
      <c r="F1315" s="187"/>
    </row>
    <row r="1316" spans="1:6" x14ac:dyDescent="0.2">
      <c r="A1316" s="275"/>
      <c r="B1316" s="78"/>
      <c r="C1316" s="189"/>
      <c r="D1316" s="185"/>
      <c r="E1316" s="186"/>
      <c r="F1316" s="187"/>
    </row>
    <row r="1317" spans="1:6" x14ac:dyDescent="0.2">
      <c r="A1317" s="275"/>
      <c r="B1317" s="78"/>
      <c r="C1317" s="189"/>
      <c r="D1317" s="185"/>
      <c r="E1317" s="186"/>
      <c r="F1317" s="187"/>
    </row>
    <row r="1318" spans="1:6" x14ac:dyDescent="0.2">
      <c r="A1318" s="275"/>
      <c r="B1318" s="78"/>
      <c r="C1318" s="189"/>
      <c r="D1318" s="185"/>
      <c r="E1318" s="186"/>
      <c r="F1318" s="187"/>
    </row>
    <row r="1319" spans="1:6" x14ac:dyDescent="0.2">
      <c r="A1319" s="275"/>
      <c r="B1319" s="78"/>
      <c r="C1319" s="189"/>
      <c r="D1319" s="185"/>
      <c r="E1319" s="186"/>
      <c r="F1319" s="187"/>
    </row>
    <row r="1320" spans="1:6" x14ac:dyDescent="0.2">
      <c r="A1320" s="275"/>
      <c r="B1320" s="78"/>
      <c r="C1320" s="189"/>
      <c r="D1320" s="185"/>
      <c r="E1320" s="186"/>
      <c r="F1320" s="187"/>
    </row>
    <row r="1321" spans="1:6" x14ac:dyDescent="0.2">
      <c r="A1321" s="275"/>
      <c r="B1321" s="78"/>
      <c r="C1321" s="189"/>
      <c r="D1321" s="185"/>
      <c r="E1321" s="186"/>
      <c r="F1321" s="187"/>
    </row>
    <row r="1322" spans="1:6" x14ac:dyDescent="0.2">
      <c r="A1322" s="275"/>
      <c r="B1322" s="78"/>
      <c r="C1322" s="189"/>
      <c r="D1322" s="185"/>
      <c r="E1322" s="186"/>
      <c r="F1322" s="187"/>
    </row>
    <row r="1323" spans="1:6" x14ac:dyDescent="0.2">
      <c r="A1323" s="275"/>
      <c r="B1323" s="78"/>
      <c r="C1323" s="189"/>
      <c r="D1323" s="185"/>
      <c r="E1323" s="186"/>
      <c r="F1323" s="187"/>
    </row>
    <row r="1324" spans="1:6" x14ac:dyDescent="0.2">
      <c r="A1324" s="275"/>
      <c r="B1324" s="78"/>
      <c r="C1324" s="189"/>
      <c r="D1324" s="185"/>
      <c r="E1324" s="186"/>
      <c r="F1324" s="187"/>
    </row>
    <row r="1325" spans="1:6" x14ac:dyDescent="0.2">
      <c r="A1325" s="275"/>
      <c r="B1325" s="78"/>
      <c r="C1325" s="189"/>
      <c r="D1325" s="185"/>
      <c r="E1325" s="186"/>
      <c r="F1325" s="187"/>
    </row>
    <row r="1326" spans="1:6" x14ac:dyDescent="0.2">
      <c r="A1326" s="275"/>
      <c r="B1326" s="78"/>
      <c r="C1326" s="189"/>
      <c r="D1326" s="185"/>
      <c r="E1326" s="186"/>
      <c r="F1326" s="187"/>
    </row>
    <row r="1327" spans="1:6" x14ac:dyDescent="0.2">
      <c r="A1327" s="275"/>
      <c r="B1327" s="78"/>
      <c r="C1327" s="189"/>
      <c r="D1327" s="185"/>
      <c r="E1327" s="186"/>
      <c r="F1327" s="187"/>
    </row>
    <row r="1328" spans="1:6" x14ac:dyDescent="0.2">
      <c r="A1328" s="275"/>
      <c r="B1328" s="78"/>
      <c r="C1328" s="189"/>
      <c r="D1328" s="185"/>
      <c r="E1328" s="186"/>
      <c r="F1328" s="187"/>
    </row>
    <row r="1329" spans="1:6" x14ac:dyDescent="0.2">
      <c r="A1329" s="275"/>
      <c r="B1329" s="78"/>
      <c r="C1329" s="189"/>
      <c r="D1329" s="185"/>
      <c r="E1329" s="186"/>
      <c r="F1329" s="187"/>
    </row>
    <row r="1330" spans="1:6" x14ac:dyDescent="0.2">
      <c r="A1330" s="275"/>
      <c r="B1330" s="78"/>
      <c r="C1330" s="189"/>
      <c r="D1330" s="185"/>
      <c r="E1330" s="186"/>
      <c r="F1330" s="187"/>
    </row>
    <row r="1331" spans="1:6" x14ac:dyDescent="0.2">
      <c r="A1331" s="275"/>
      <c r="B1331" s="78"/>
      <c r="C1331" s="189"/>
      <c r="D1331" s="185"/>
      <c r="E1331" s="186"/>
      <c r="F1331" s="187"/>
    </row>
    <row r="1332" spans="1:6" x14ac:dyDescent="0.2">
      <c r="A1332" s="275"/>
      <c r="B1332" s="78"/>
      <c r="C1332" s="189"/>
      <c r="D1332" s="185"/>
      <c r="E1332" s="186"/>
      <c r="F1332" s="187"/>
    </row>
    <row r="1333" spans="1:6" x14ac:dyDescent="0.2">
      <c r="A1333" s="275"/>
      <c r="B1333" s="78"/>
      <c r="C1333" s="189"/>
      <c r="D1333" s="185"/>
      <c r="E1333" s="186"/>
      <c r="F1333" s="187"/>
    </row>
    <row r="1334" spans="1:6" x14ac:dyDescent="0.2">
      <c r="A1334" s="275"/>
      <c r="B1334" s="78"/>
      <c r="C1334" s="189"/>
      <c r="D1334" s="185"/>
      <c r="E1334" s="186"/>
      <c r="F1334" s="187"/>
    </row>
    <row r="1335" spans="1:6" x14ac:dyDescent="0.2">
      <c r="A1335" s="275"/>
      <c r="B1335" s="78"/>
      <c r="C1335" s="189"/>
      <c r="D1335" s="185"/>
      <c r="E1335" s="186"/>
      <c r="F1335" s="187"/>
    </row>
    <row r="1336" spans="1:6" x14ac:dyDescent="0.2">
      <c r="A1336" s="275"/>
      <c r="B1336" s="78"/>
      <c r="C1336" s="189"/>
      <c r="D1336" s="185"/>
      <c r="E1336" s="186"/>
      <c r="F1336" s="187"/>
    </row>
    <row r="1337" spans="1:6" x14ac:dyDescent="0.2">
      <c r="A1337" s="275"/>
      <c r="B1337" s="78"/>
      <c r="C1337" s="189"/>
      <c r="D1337" s="185"/>
      <c r="E1337" s="186"/>
      <c r="F1337" s="187"/>
    </row>
    <row r="1338" spans="1:6" x14ac:dyDescent="0.2">
      <c r="A1338" s="275"/>
      <c r="B1338" s="78"/>
      <c r="C1338" s="189"/>
      <c r="D1338" s="185"/>
      <c r="E1338" s="186"/>
      <c r="F1338" s="187"/>
    </row>
    <row r="1339" spans="1:6" x14ac:dyDescent="0.2">
      <c r="A1339" s="275"/>
      <c r="B1339" s="78"/>
      <c r="C1339" s="189"/>
      <c r="D1339" s="185"/>
      <c r="E1339" s="186"/>
      <c r="F1339" s="187"/>
    </row>
    <row r="1340" spans="1:6" x14ac:dyDescent="0.2">
      <c r="A1340" s="275"/>
      <c r="B1340" s="78"/>
      <c r="C1340" s="189"/>
      <c r="D1340" s="185"/>
      <c r="E1340" s="186"/>
      <c r="F1340" s="187"/>
    </row>
    <row r="1341" spans="1:6" x14ac:dyDescent="0.2">
      <c r="A1341" s="275"/>
      <c r="B1341" s="78"/>
      <c r="C1341" s="189"/>
      <c r="D1341" s="185"/>
      <c r="E1341" s="186"/>
      <c r="F1341" s="187"/>
    </row>
    <row r="1342" spans="1:6" x14ac:dyDescent="0.2">
      <c r="A1342" s="275"/>
      <c r="B1342" s="78"/>
      <c r="C1342" s="189"/>
      <c r="D1342" s="185"/>
      <c r="E1342" s="186"/>
      <c r="F1342" s="187"/>
    </row>
    <row r="1343" spans="1:6" x14ac:dyDescent="0.2">
      <c r="A1343" s="275"/>
      <c r="B1343" s="78"/>
      <c r="C1343" s="189"/>
      <c r="D1343" s="185"/>
      <c r="E1343" s="186"/>
      <c r="F1343" s="187"/>
    </row>
    <row r="1344" spans="1:6" x14ac:dyDescent="0.2">
      <c r="A1344" s="275"/>
      <c r="B1344" s="78"/>
      <c r="C1344" s="189"/>
      <c r="D1344" s="185"/>
      <c r="E1344" s="186"/>
      <c r="F1344" s="187"/>
    </row>
    <row r="1345" spans="1:6" x14ac:dyDescent="0.2">
      <c r="A1345" s="275"/>
      <c r="B1345" s="78"/>
      <c r="C1345" s="189"/>
      <c r="D1345" s="185"/>
      <c r="E1345" s="186"/>
      <c r="F1345" s="187"/>
    </row>
    <row r="1346" spans="1:6" x14ac:dyDescent="0.2">
      <c r="A1346" s="275"/>
      <c r="B1346" s="78"/>
      <c r="C1346" s="189"/>
      <c r="D1346" s="185"/>
      <c r="E1346" s="186"/>
      <c r="F1346" s="187"/>
    </row>
    <row r="1347" spans="1:6" x14ac:dyDescent="0.2">
      <c r="A1347" s="275"/>
      <c r="B1347" s="78"/>
      <c r="C1347" s="189"/>
      <c r="D1347" s="185"/>
      <c r="E1347" s="186"/>
      <c r="F1347" s="187"/>
    </row>
    <row r="1348" spans="1:6" x14ac:dyDescent="0.2">
      <c r="A1348" s="275"/>
      <c r="B1348" s="78"/>
      <c r="C1348" s="189"/>
      <c r="D1348" s="185"/>
      <c r="E1348" s="186"/>
      <c r="F1348" s="187"/>
    </row>
    <row r="1349" spans="1:6" x14ac:dyDescent="0.2">
      <c r="A1349" s="275"/>
      <c r="B1349" s="78"/>
      <c r="C1349" s="189"/>
      <c r="D1349" s="185"/>
      <c r="E1349" s="186"/>
      <c r="F1349" s="187"/>
    </row>
    <row r="1350" spans="1:6" x14ac:dyDescent="0.2">
      <c r="A1350" s="275"/>
      <c r="B1350" s="78"/>
      <c r="C1350" s="189"/>
      <c r="D1350" s="185"/>
      <c r="E1350" s="186"/>
      <c r="F1350" s="187"/>
    </row>
    <row r="1351" spans="1:6" x14ac:dyDescent="0.2">
      <c r="A1351" s="275"/>
      <c r="B1351" s="78"/>
      <c r="C1351" s="189"/>
      <c r="D1351" s="185"/>
      <c r="E1351" s="186"/>
      <c r="F1351" s="187"/>
    </row>
    <row r="1352" spans="1:6" x14ac:dyDescent="0.2">
      <c r="A1352" s="275"/>
      <c r="B1352" s="78"/>
      <c r="C1352" s="189"/>
      <c r="D1352" s="185"/>
      <c r="E1352" s="186"/>
      <c r="F1352" s="187"/>
    </row>
    <row r="1353" spans="1:6" x14ac:dyDescent="0.2">
      <c r="A1353" s="275"/>
      <c r="B1353" s="78"/>
      <c r="C1353" s="189"/>
      <c r="D1353" s="185"/>
      <c r="E1353" s="186"/>
      <c r="F1353" s="187"/>
    </row>
    <row r="1354" spans="1:6" x14ac:dyDescent="0.2">
      <c r="A1354" s="275"/>
      <c r="B1354" s="78"/>
      <c r="C1354" s="189"/>
      <c r="D1354" s="185"/>
      <c r="E1354" s="186"/>
      <c r="F1354" s="187"/>
    </row>
    <row r="1355" spans="1:6" x14ac:dyDescent="0.2">
      <c r="A1355" s="275"/>
      <c r="B1355" s="78"/>
      <c r="C1355" s="189"/>
      <c r="D1355" s="185"/>
      <c r="E1355" s="186"/>
      <c r="F1355" s="187"/>
    </row>
    <row r="1356" spans="1:6" x14ac:dyDescent="0.2">
      <c r="A1356" s="275"/>
      <c r="B1356" s="78"/>
      <c r="C1356" s="189"/>
      <c r="D1356" s="185"/>
      <c r="E1356" s="186"/>
      <c r="F1356" s="187"/>
    </row>
    <row r="1357" spans="1:6" x14ac:dyDescent="0.2">
      <c r="A1357" s="275"/>
      <c r="B1357" s="78"/>
      <c r="C1357" s="189"/>
      <c r="D1357" s="185"/>
      <c r="E1357" s="186"/>
      <c r="F1357" s="187"/>
    </row>
    <row r="1358" spans="1:6" x14ac:dyDescent="0.2">
      <c r="A1358" s="275"/>
      <c r="B1358" s="78"/>
      <c r="C1358" s="189"/>
      <c r="D1358" s="185"/>
      <c r="E1358" s="186"/>
      <c r="F1358" s="187"/>
    </row>
    <row r="1359" spans="1:6" x14ac:dyDescent="0.2">
      <c r="A1359" s="275"/>
      <c r="B1359" s="78"/>
      <c r="C1359" s="189"/>
      <c r="D1359" s="185"/>
      <c r="E1359" s="186"/>
      <c r="F1359" s="187"/>
    </row>
    <row r="1360" spans="1:6" x14ac:dyDescent="0.2">
      <c r="A1360" s="275"/>
      <c r="B1360" s="78"/>
      <c r="C1360" s="189"/>
      <c r="D1360" s="185"/>
      <c r="E1360" s="186"/>
      <c r="F1360" s="187"/>
    </row>
    <row r="1361" spans="1:6" x14ac:dyDescent="0.2">
      <c r="A1361" s="275"/>
      <c r="B1361" s="78"/>
      <c r="C1361" s="189"/>
      <c r="D1361" s="185"/>
      <c r="E1361" s="186"/>
      <c r="F1361" s="187"/>
    </row>
    <row r="1362" spans="1:6" x14ac:dyDescent="0.2">
      <c r="A1362" s="275"/>
      <c r="B1362" s="78"/>
      <c r="C1362" s="189"/>
      <c r="D1362" s="185"/>
      <c r="E1362" s="186"/>
      <c r="F1362" s="187"/>
    </row>
    <row r="1363" spans="1:6" x14ac:dyDescent="0.2">
      <c r="A1363" s="275"/>
      <c r="B1363" s="78"/>
      <c r="C1363" s="189"/>
      <c r="D1363" s="185"/>
      <c r="E1363" s="186"/>
      <c r="F1363" s="187"/>
    </row>
    <row r="1364" spans="1:6" x14ac:dyDescent="0.2">
      <c r="A1364" s="275"/>
      <c r="B1364" s="78"/>
      <c r="C1364" s="189"/>
      <c r="D1364" s="185"/>
      <c r="E1364" s="186"/>
      <c r="F1364" s="187"/>
    </row>
    <row r="1365" spans="1:6" x14ac:dyDescent="0.2">
      <c r="A1365" s="275"/>
      <c r="B1365" s="78"/>
      <c r="C1365" s="189"/>
      <c r="D1365" s="185"/>
      <c r="E1365" s="186"/>
      <c r="F1365" s="187"/>
    </row>
    <row r="1366" spans="1:6" x14ac:dyDescent="0.2">
      <c r="A1366" s="275"/>
      <c r="B1366" s="78"/>
      <c r="C1366" s="189"/>
      <c r="D1366" s="185"/>
      <c r="E1366" s="186"/>
      <c r="F1366" s="187"/>
    </row>
    <row r="1367" spans="1:6" x14ac:dyDescent="0.2">
      <c r="A1367" s="275"/>
      <c r="B1367" s="78"/>
      <c r="C1367" s="189"/>
      <c r="D1367" s="185"/>
      <c r="E1367" s="186"/>
      <c r="F1367" s="187"/>
    </row>
    <row r="1368" spans="1:6" x14ac:dyDescent="0.2">
      <c r="A1368" s="275"/>
      <c r="B1368" s="78"/>
      <c r="C1368" s="189"/>
      <c r="D1368" s="185"/>
      <c r="E1368" s="186"/>
      <c r="F1368" s="187"/>
    </row>
    <row r="1369" spans="1:6" x14ac:dyDescent="0.2">
      <c r="A1369" s="275"/>
      <c r="B1369" s="78"/>
      <c r="C1369" s="189"/>
      <c r="D1369" s="185"/>
      <c r="E1369" s="186"/>
      <c r="F1369" s="187"/>
    </row>
    <row r="1370" spans="1:6" x14ac:dyDescent="0.2">
      <c r="A1370" s="275"/>
      <c r="B1370" s="78"/>
      <c r="C1370" s="189"/>
      <c r="D1370" s="185"/>
      <c r="E1370" s="186"/>
      <c r="F1370" s="187"/>
    </row>
    <row r="1371" spans="1:6" x14ac:dyDescent="0.2">
      <c r="A1371" s="275"/>
      <c r="B1371" s="78"/>
      <c r="C1371" s="189"/>
      <c r="D1371" s="185"/>
      <c r="E1371" s="186"/>
      <c r="F1371" s="187"/>
    </row>
    <row r="1372" spans="1:6" x14ac:dyDescent="0.2">
      <c r="A1372" s="275"/>
      <c r="B1372" s="78"/>
      <c r="C1372" s="189"/>
      <c r="D1372" s="185"/>
      <c r="E1372" s="186"/>
      <c r="F1372" s="187"/>
    </row>
    <row r="1373" spans="1:6" x14ac:dyDescent="0.2">
      <c r="A1373" s="275"/>
      <c r="B1373" s="78"/>
      <c r="C1373" s="189"/>
      <c r="D1373" s="185"/>
      <c r="E1373" s="186"/>
      <c r="F1373" s="187"/>
    </row>
    <row r="1374" spans="1:6" x14ac:dyDescent="0.2">
      <c r="A1374" s="275"/>
      <c r="B1374" s="78"/>
      <c r="C1374" s="189"/>
      <c r="D1374" s="185"/>
      <c r="E1374" s="186"/>
      <c r="F1374" s="187"/>
    </row>
    <row r="1375" spans="1:6" x14ac:dyDescent="0.2">
      <c r="A1375" s="275"/>
      <c r="B1375" s="78"/>
      <c r="C1375" s="189"/>
      <c r="D1375" s="185"/>
      <c r="E1375" s="186"/>
      <c r="F1375" s="187"/>
    </row>
    <row r="1376" spans="1:6" x14ac:dyDescent="0.2">
      <c r="A1376" s="275"/>
      <c r="B1376" s="78"/>
      <c r="C1376" s="189"/>
      <c r="D1376" s="185"/>
      <c r="E1376" s="186"/>
      <c r="F1376" s="187"/>
    </row>
    <row r="1377" spans="1:6" x14ac:dyDescent="0.2">
      <c r="A1377" s="275"/>
      <c r="B1377" s="78"/>
      <c r="C1377" s="189"/>
      <c r="D1377" s="185"/>
      <c r="E1377" s="186"/>
      <c r="F1377" s="187"/>
    </row>
    <row r="1378" spans="1:6" x14ac:dyDescent="0.2">
      <c r="A1378" s="275"/>
      <c r="B1378" s="78"/>
      <c r="C1378" s="189"/>
      <c r="D1378" s="185"/>
      <c r="E1378" s="186"/>
      <c r="F1378" s="187"/>
    </row>
    <row r="1379" spans="1:6" x14ac:dyDescent="0.2">
      <c r="A1379" s="275"/>
      <c r="B1379" s="78"/>
      <c r="C1379" s="189"/>
      <c r="D1379" s="185"/>
      <c r="E1379" s="186"/>
      <c r="F1379" s="187"/>
    </row>
    <row r="1380" spans="1:6" x14ac:dyDescent="0.2">
      <c r="A1380" s="275"/>
      <c r="B1380" s="78"/>
      <c r="C1380" s="189"/>
      <c r="D1380" s="185"/>
      <c r="E1380" s="186"/>
      <c r="F1380" s="187"/>
    </row>
    <row r="1381" spans="1:6" x14ac:dyDescent="0.2">
      <c r="A1381" s="275"/>
      <c r="B1381" s="78"/>
      <c r="C1381" s="189"/>
      <c r="D1381" s="185"/>
      <c r="E1381" s="186"/>
      <c r="F1381" s="187"/>
    </row>
    <row r="1382" spans="1:6" x14ac:dyDescent="0.2">
      <c r="A1382" s="275"/>
      <c r="B1382" s="78"/>
      <c r="C1382" s="189"/>
      <c r="D1382" s="185"/>
      <c r="E1382" s="186"/>
      <c r="F1382" s="187"/>
    </row>
    <row r="1383" spans="1:6" x14ac:dyDescent="0.2">
      <c r="A1383" s="275"/>
      <c r="B1383" s="78"/>
      <c r="C1383" s="189"/>
      <c r="D1383" s="185"/>
      <c r="E1383" s="186"/>
      <c r="F1383" s="187"/>
    </row>
    <row r="1384" spans="1:6" x14ac:dyDescent="0.2">
      <c r="A1384" s="275"/>
      <c r="B1384" s="78"/>
      <c r="C1384" s="189"/>
      <c r="D1384" s="185"/>
      <c r="E1384" s="186"/>
      <c r="F1384" s="187"/>
    </row>
    <row r="1385" spans="1:6" x14ac:dyDescent="0.2">
      <c r="A1385" s="275"/>
      <c r="B1385" s="78"/>
      <c r="C1385" s="189"/>
      <c r="D1385" s="185"/>
      <c r="E1385" s="186"/>
      <c r="F1385" s="187"/>
    </row>
    <row r="1386" spans="1:6" x14ac:dyDescent="0.2">
      <c r="A1386" s="275"/>
      <c r="B1386" s="78"/>
      <c r="C1386" s="189"/>
      <c r="D1386" s="185"/>
      <c r="E1386" s="186"/>
      <c r="F1386" s="187"/>
    </row>
    <row r="1387" spans="1:6" x14ac:dyDescent="0.2">
      <c r="A1387" s="275"/>
      <c r="B1387" s="78"/>
      <c r="C1387" s="189"/>
      <c r="D1387" s="185"/>
      <c r="E1387" s="186"/>
      <c r="F1387" s="187"/>
    </row>
    <row r="1388" spans="1:6" x14ac:dyDescent="0.2">
      <c r="A1388" s="275"/>
      <c r="B1388" s="78"/>
      <c r="C1388" s="189"/>
      <c r="D1388" s="185"/>
      <c r="E1388" s="186"/>
      <c r="F1388" s="187"/>
    </row>
    <row r="1389" spans="1:6" x14ac:dyDescent="0.2">
      <c r="A1389" s="275"/>
      <c r="B1389" s="78"/>
      <c r="C1389" s="189"/>
      <c r="D1389" s="185"/>
      <c r="E1389" s="186"/>
      <c r="F1389" s="187"/>
    </row>
    <row r="1390" spans="1:6" x14ac:dyDescent="0.2">
      <c r="A1390" s="275"/>
      <c r="B1390" s="78"/>
      <c r="C1390" s="189"/>
      <c r="D1390" s="185"/>
      <c r="E1390" s="186"/>
      <c r="F1390" s="187"/>
    </row>
    <row r="1391" spans="1:6" x14ac:dyDescent="0.2">
      <c r="A1391" s="275"/>
      <c r="B1391" s="78"/>
      <c r="C1391" s="189"/>
      <c r="D1391" s="185"/>
      <c r="E1391" s="186"/>
      <c r="F1391" s="187"/>
    </row>
    <row r="1392" spans="1:6" x14ac:dyDescent="0.2">
      <c r="A1392" s="275"/>
      <c r="B1392" s="78"/>
      <c r="C1392" s="189"/>
      <c r="D1392" s="185"/>
      <c r="E1392" s="186"/>
      <c r="F1392" s="187"/>
    </row>
    <row r="1393" spans="1:6" x14ac:dyDescent="0.2">
      <c r="A1393" s="275"/>
      <c r="B1393" s="78"/>
      <c r="C1393" s="189"/>
      <c r="D1393" s="185"/>
      <c r="E1393" s="186"/>
      <c r="F1393" s="187"/>
    </row>
    <row r="1394" spans="1:6" x14ac:dyDescent="0.2">
      <c r="A1394" s="275"/>
      <c r="B1394" s="78"/>
      <c r="C1394" s="189"/>
      <c r="D1394" s="185"/>
      <c r="E1394" s="186"/>
      <c r="F1394" s="187"/>
    </row>
    <row r="1395" spans="1:6" x14ac:dyDescent="0.2">
      <c r="A1395" s="275"/>
      <c r="B1395" s="78"/>
      <c r="C1395" s="189"/>
      <c r="D1395" s="185"/>
      <c r="E1395" s="186"/>
      <c r="F1395" s="187"/>
    </row>
    <row r="1396" spans="1:6" x14ac:dyDescent="0.2">
      <c r="A1396" s="275"/>
      <c r="B1396" s="78"/>
      <c r="C1396" s="189"/>
      <c r="D1396" s="185"/>
      <c r="E1396" s="186"/>
      <c r="F1396" s="187"/>
    </row>
    <row r="1397" spans="1:6" x14ac:dyDescent="0.2">
      <c r="A1397" s="275"/>
      <c r="B1397" s="78"/>
      <c r="C1397" s="189"/>
      <c r="D1397" s="185"/>
      <c r="E1397" s="186"/>
      <c r="F1397" s="187"/>
    </row>
    <row r="1398" spans="1:6" x14ac:dyDescent="0.2">
      <c r="A1398" s="275"/>
      <c r="B1398" s="78"/>
      <c r="C1398" s="189"/>
      <c r="D1398" s="185"/>
      <c r="E1398" s="186"/>
      <c r="F1398" s="187"/>
    </row>
    <row r="1399" spans="1:6" x14ac:dyDescent="0.2">
      <c r="A1399" s="275"/>
      <c r="B1399" s="78"/>
      <c r="C1399" s="189"/>
      <c r="D1399" s="185"/>
      <c r="E1399" s="186"/>
      <c r="F1399" s="187"/>
    </row>
    <row r="1400" spans="1:6" x14ac:dyDescent="0.2">
      <c r="A1400" s="275"/>
      <c r="B1400" s="78"/>
      <c r="C1400" s="189"/>
      <c r="D1400" s="185"/>
      <c r="E1400" s="186"/>
      <c r="F1400" s="187"/>
    </row>
    <row r="1401" spans="1:6" x14ac:dyDescent="0.2">
      <c r="A1401" s="275"/>
      <c r="B1401" s="78"/>
      <c r="C1401" s="189"/>
      <c r="D1401" s="185"/>
      <c r="E1401" s="186"/>
      <c r="F1401" s="187"/>
    </row>
    <row r="1402" spans="1:6" x14ac:dyDescent="0.2">
      <c r="A1402" s="275"/>
      <c r="B1402" s="78"/>
      <c r="C1402" s="189"/>
      <c r="D1402" s="185"/>
      <c r="E1402" s="186"/>
      <c r="F1402" s="187"/>
    </row>
    <row r="1403" spans="1:6" x14ac:dyDescent="0.2">
      <c r="A1403" s="275"/>
      <c r="B1403" s="78"/>
      <c r="C1403" s="189"/>
      <c r="D1403" s="185"/>
      <c r="E1403" s="186"/>
      <c r="F1403" s="187"/>
    </row>
    <row r="1404" spans="1:6" x14ac:dyDescent="0.2">
      <c r="A1404" s="275"/>
      <c r="B1404" s="78"/>
      <c r="C1404" s="189"/>
      <c r="D1404" s="185"/>
      <c r="E1404" s="186"/>
      <c r="F1404" s="187"/>
    </row>
    <row r="1405" spans="1:6" x14ac:dyDescent="0.2">
      <c r="A1405" s="275"/>
      <c r="B1405" s="78"/>
      <c r="C1405" s="189"/>
      <c r="D1405" s="185"/>
      <c r="E1405" s="186"/>
      <c r="F1405" s="187"/>
    </row>
    <row r="1406" spans="1:6" x14ac:dyDescent="0.2">
      <c r="A1406" s="275"/>
      <c r="B1406" s="78"/>
      <c r="C1406" s="189"/>
      <c r="D1406" s="185"/>
      <c r="E1406" s="186"/>
      <c r="F1406" s="187"/>
    </row>
    <row r="1407" spans="1:6" x14ac:dyDescent="0.2">
      <c r="A1407" s="275"/>
      <c r="B1407" s="78"/>
      <c r="C1407" s="189"/>
      <c r="D1407" s="185"/>
      <c r="E1407" s="186"/>
      <c r="F1407" s="187"/>
    </row>
    <row r="1408" spans="1:6" x14ac:dyDescent="0.2">
      <c r="A1408" s="275"/>
      <c r="B1408" s="78"/>
      <c r="C1408" s="189"/>
      <c r="D1408" s="185"/>
      <c r="E1408" s="186"/>
      <c r="F1408" s="187"/>
    </row>
    <row r="1409" spans="1:6" x14ac:dyDescent="0.2">
      <c r="A1409" s="275"/>
      <c r="B1409" s="78"/>
      <c r="C1409" s="189"/>
      <c r="D1409" s="185"/>
      <c r="E1409" s="186"/>
      <c r="F1409" s="187"/>
    </row>
    <row r="1410" spans="1:6" x14ac:dyDescent="0.2">
      <c r="A1410" s="275"/>
      <c r="B1410" s="78"/>
      <c r="C1410" s="189"/>
      <c r="D1410" s="185"/>
      <c r="E1410" s="186"/>
      <c r="F1410" s="187"/>
    </row>
    <row r="1411" spans="1:6" x14ac:dyDescent="0.2">
      <c r="A1411" s="275"/>
      <c r="B1411" s="78"/>
      <c r="C1411" s="189"/>
      <c r="D1411" s="185"/>
      <c r="E1411" s="186"/>
      <c r="F1411" s="187"/>
    </row>
    <row r="1412" spans="1:6" x14ac:dyDescent="0.2">
      <c r="A1412" s="275"/>
      <c r="B1412" s="78"/>
      <c r="C1412" s="189"/>
      <c r="D1412" s="185"/>
      <c r="E1412" s="186"/>
      <c r="F1412" s="187"/>
    </row>
    <row r="1413" spans="1:6" x14ac:dyDescent="0.2">
      <c r="A1413" s="275"/>
      <c r="B1413" s="78"/>
      <c r="C1413" s="189"/>
      <c r="D1413" s="185"/>
      <c r="E1413" s="186"/>
      <c r="F1413" s="187"/>
    </row>
    <row r="1414" spans="1:6" x14ac:dyDescent="0.2">
      <c r="A1414" s="275"/>
      <c r="B1414" s="78"/>
      <c r="C1414" s="189"/>
      <c r="D1414" s="185"/>
      <c r="E1414" s="186"/>
      <c r="F1414" s="187"/>
    </row>
    <row r="1415" spans="1:6" x14ac:dyDescent="0.2">
      <c r="A1415" s="275"/>
      <c r="B1415" s="78"/>
      <c r="C1415" s="189"/>
      <c r="D1415" s="185"/>
      <c r="E1415" s="186"/>
      <c r="F1415" s="187"/>
    </row>
    <row r="1416" spans="1:6" x14ac:dyDescent="0.2">
      <c r="A1416" s="275"/>
      <c r="B1416" s="78"/>
      <c r="C1416" s="189"/>
      <c r="D1416" s="185"/>
      <c r="E1416" s="186"/>
      <c r="F1416" s="187"/>
    </row>
    <row r="1417" spans="1:6" x14ac:dyDescent="0.2">
      <c r="A1417" s="275"/>
      <c r="B1417" s="78"/>
      <c r="C1417" s="189"/>
      <c r="D1417" s="185"/>
      <c r="E1417" s="186"/>
      <c r="F1417" s="187"/>
    </row>
    <row r="1418" spans="1:6" x14ac:dyDescent="0.2">
      <c r="A1418" s="275"/>
      <c r="B1418" s="78"/>
      <c r="C1418" s="189"/>
      <c r="D1418" s="185"/>
      <c r="E1418" s="186"/>
      <c r="F1418" s="187"/>
    </row>
    <row r="1419" spans="1:6" x14ac:dyDescent="0.2">
      <c r="A1419" s="275"/>
      <c r="B1419" s="78"/>
      <c r="C1419" s="189"/>
      <c r="D1419" s="185"/>
      <c r="E1419" s="186"/>
      <c r="F1419" s="187"/>
    </row>
    <row r="1420" spans="1:6" x14ac:dyDescent="0.2">
      <c r="A1420" s="275"/>
      <c r="B1420" s="78"/>
      <c r="C1420" s="189"/>
      <c r="D1420" s="185"/>
      <c r="E1420" s="186"/>
      <c r="F1420" s="187"/>
    </row>
    <row r="1421" spans="1:6" x14ac:dyDescent="0.2">
      <c r="A1421" s="275"/>
      <c r="B1421" s="78"/>
      <c r="C1421" s="189"/>
      <c r="D1421" s="185"/>
      <c r="E1421" s="186"/>
      <c r="F1421" s="187"/>
    </row>
    <row r="1422" spans="1:6" x14ac:dyDescent="0.2">
      <c r="A1422" s="275"/>
      <c r="B1422" s="78"/>
      <c r="C1422" s="189"/>
      <c r="D1422" s="185"/>
      <c r="E1422" s="186"/>
      <c r="F1422" s="187"/>
    </row>
    <row r="1423" spans="1:6" x14ac:dyDescent="0.2">
      <c r="A1423" s="275"/>
      <c r="B1423" s="78"/>
      <c r="C1423" s="189"/>
      <c r="D1423" s="185"/>
      <c r="E1423" s="186"/>
      <c r="F1423" s="187"/>
    </row>
    <row r="1424" spans="1:6" x14ac:dyDescent="0.2">
      <c r="A1424" s="275"/>
      <c r="B1424" s="78"/>
      <c r="C1424" s="189"/>
      <c r="D1424" s="185"/>
      <c r="E1424" s="186"/>
      <c r="F1424" s="187"/>
    </row>
    <row r="1425" spans="1:6" x14ac:dyDescent="0.2">
      <c r="A1425" s="275"/>
      <c r="B1425" s="78"/>
      <c r="C1425" s="189"/>
      <c r="D1425" s="185"/>
      <c r="E1425" s="186"/>
      <c r="F1425" s="187"/>
    </row>
    <row r="1426" spans="1:6" x14ac:dyDescent="0.2">
      <c r="A1426" s="275"/>
      <c r="B1426" s="78"/>
      <c r="C1426" s="189"/>
      <c r="D1426" s="185"/>
      <c r="E1426" s="186"/>
      <c r="F1426" s="187"/>
    </row>
    <row r="1427" spans="1:6" x14ac:dyDescent="0.2">
      <c r="A1427" s="275"/>
      <c r="B1427" s="78"/>
      <c r="C1427" s="189"/>
      <c r="D1427" s="185"/>
      <c r="E1427" s="186"/>
      <c r="F1427" s="187"/>
    </row>
    <row r="1428" spans="1:6" x14ac:dyDescent="0.2">
      <c r="A1428" s="275"/>
      <c r="B1428" s="78"/>
      <c r="C1428" s="189"/>
      <c r="D1428" s="185"/>
      <c r="E1428" s="186"/>
      <c r="F1428" s="187"/>
    </row>
    <row r="1429" spans="1:6" x14ac:dyDescent="0.2">
      <c r="A1429" s="275"/>
      <c r="B1429" s="78"/>
      <c r="C1429" s="189"/>
      <c r="D1429" s="185"/>
      <c r="E1429" s="186"/>
      <c r="F1429" s="187"/>
    </row>
    <row r="1430" spans="1:6" x14ac:dyDescent="0.2">
      <c r="A1430" s="275"/>
      <c r="B1430" s="78"/>
      <c r="C1430" s="189"/>
      <c r="D1430" s="185"/>
      <c r="E1430" s="186"/>
      <c r="F1430" s="187"/>
    </row>
    <row r="1431" spans="1:6" x14ac:dyDescent="0.2">
      <c r="A1431" s="275"/>
      <c r="B1431" s="78"/>
      <c r="C1431" s="189"/>
      <c r="D1431" s="185"/>
      <c r="E1431" s="186"/>
      <c r="F1431" s="187"/>
    </row>
    <row r="1432" spans="1:6" x14ac:dyDescent="0.2">
      <c r="A1432" s="275"/>
      <c r="B1432" s="78"/>
      <c r="C1432" s="189"/>
      <c r="D1432" s="185"/>
      <c r="E1432" s="186"/>
      <c r="F1432" s="187"/>
    </row>
    <row r="1433" spans="1:6" x14ac:dyDescent="0.2">
      <c r="A1433" s="275"/>
      <c r="B1433" s="78"/>
      <c r="C1433" s="189"/>
      <c r="D1433" s="185"/>
      <c r="E1433" s="186"/>
      <c r="F1433" s="187"/>
    </row>
    <row r="1434" spans="1:6" x14ac:dyDescent="0.2">
      <c r="A1434" s="275"/>
      <c r="B1434" s="78"/>
      <c r="C1434" s="189"/>
      <c r="D1434" s="185"/>
      <c r="E1434" s="186"/>
      <c r="F1434" s="187"/>
    </row>
    <row r="1435" spans="1:6" x14ac:dyDescent="0.2">
      <c r="A1435" s="275"/>
      <c r="B1435" s="78"/>
      <c r="C1435" s="189"/>
      <c r="D1435" s="185"/>
      <c r="E1435" s="186"/>
      <c r="F1435" s="187"/>
    </row>
    <row r="1436" spans="1:6" x14ac:dyDescent="0.2">
      <c r="A1436" s="275"/>
      <c r="B1436" s="78"/>
      <c r="C1436" s="189"/>
      <c r="D1436" s="185"/>
      <c r="E1436" s="186"/>
      <c r="F1436" s="187"/>
    </row>
    <row r="1437" spans="1:6" x14ac:dyDescent="0.2">
      <c r="A1437" s="275"/>
      <c r="B1437" s="78"/>
      <c r="C1437" s="189"/>
      <c r="D1437" s="185"/>
      <c r="E1437" s="186"/>
      <c r="F1437" s="187"/>
    </row>
    <row r="1438" spans="1:6" x14ac:dyDescent="0.2">
      <c r="A1438" s="275"/>
      <c r="B1438" s="78"/>
      <c r="C1438" s="189"/>
      <c r="D1438" s="185"/>
      <c r="E1438" s="186"/>
      <c r="F1438" s="187"/>
    </row>
    <row r="1439" spans="1:6" x14ac:dyDescent="0.2">
      <c r="A1439" s="275"/>
      <c r="B1439" s="78"/>
      <c r="C1439" s="189"/>
      <c r="D1439" s="185"/>
      <c r="E1439" s="186"/>
      <c r="F1439" s="187"/>
    </row>
    <row r="1440" spans="1:6" x14ac:dyDescent="0.2">
      <c r="A1440" s="275"/>
      <c r="B1440" s="78"/>
      <c r="C1440" s="189"/>
      <c r="D1440" s="185"/>
      <c r="E1440" s="186"/>
      <c r="F1440" s="187"/>
    </row>
    <row r="1441" spans="1:6" x14ac:dyDescent="0.2">
      <c r="A1441" s="275"/>
      <c r="B1441" s="78"/>
      <c r="C1441" s="189"/>
      <c r="D1441" s="185"/>
      <c r="E1441" s="186"/>
      <c r="F1441" s="187"/>
    </row>
    <row r="1442" spans="1:6" x14ac:dyDescent="0.2">
      <c r="A1442" s="275"/>
      <c r="B1442" s="78"/>
      <c r="C1442" s="189"/>
      <c r="D1442" s="185"/>
      <c r="E1442" s="186"/>
      <c r="F1442" s="187"/>
    </row>
    <row r="1443" spans="1:6" x14ac:dyDescent="0.2">
      <c r="A1443" s="275"/>
      <c r="B1443" s="78"/>
      <c r="C1443" s="189"/>
      <c r="D1443" s="185"/>
      <c r="E1443" s="186"/>
      <c r="F1443" s="187"/>
    </row>
    <row r="1444" spans="1:6" x14ac:dyDescent="0.2">
      <c r="A1444" s="275"/>
      <c r="B1444" s="78"/>
      <c r="C1444" s="189"/>
      <c r="D1444" s="185"/>
      <c r="E1444" s="186"/>
      <c r="F1444" s="187"/>
    </row>
    <row r="1445" spans="1:6" x14ac:dyDescent="0.2">
      <c r="A1445" s="275"/>
      <c r="B1445" s="78"/>
      <c r="C1445" s="189"/>
      <c r="D1445" s="185"/>
      <c r="E1445" s="186"/>
      <c r="F1445" s="187"/>
    </row>
    <row r="1446" spans="1:6" x14ac:dyDescent="0.2">
      <c r="A1446" s="275"/>
      <c r="B1446" s="78"/>
      <c r="C1446" s="189"/>
      <c r="D1446" s="185"/>
      <c r="E1446" s="186"/>
      <c r="F1446" s="187"/>
    </row>
    <row r="1447" spans="1:6" x14ac:dyDescent="0.2">
      <c r="A1447" s="275"/>
      <c r="B1447" s="78"/>
      <c r="C1447" s="189"/>
      <c r="D1447" s="185"/>
      <c r="E1447" s="186"/>
      <c r="F1447" s="187"/>
    </row>
    <row r="1448" spans="1:6" x14ac:dyDescent="0.2">
      <c r="A1448" s="275"/>
      <c r="B1448" s="78"/>
      <c r="C1448" s="189"/>
      <c r="D1448" s="185"/>
      <c r="E1448" s="186"/>
      <c r="F1448" s="187"/>
    </row>
    <row r="1449" spans="1:6" x14ac:dyDescent="0.2">
      <c r="A1449" s="275"/>
      <c r="B1449" s="78"/>
      <c r="C1449" s="189"/>
      <c r="D1449" s="185"/>
      <c r="E1449" s="186"/>
      <c r="F1449" s="187"/>
    </row>
    <row r="1450" spans="1:6" x14ac:dyDescent="0.2">
      <c r="A1450" s="275"/>
      <c r="B1450" s="78"/>
      <c r="C1450" s="189"/>
      <c r="D1450" s="185"/>
      <c r="E1450" s="186"/>
      <c r="F1450" s="187"/>
    </row>
    <row r="1451" spans="1:6" x14ac:dyDescent="0.2">
      <c r="A1451" s="275"/>
      <c r="B1451" s="78"/>
      <c r="C1451" s="189"/>
      <c r="D1451" s="185"/>
      <c r="E1451" s="186"/>
      <c r="F1451" s="187"/>
    </row>
    <row r="1452" spans="1:6" x14ac:dyDescent="0.2">
      <c r="A1452" s="275"/>
      <c r="B1452" s="78"/>
      <c r="C1452" s="189"/>
      <c r="D1452" s="185"/>
      <c r="E1452" s="186"/>
      <c r="F1452" s="187"/>
    </row>
    <row r="1453" spans="1:6" x14ac:dyDescent="0.2">
      <c r="A1453" s="275"/>
      <c r="B1453" s="78"/>
      <c r="C1453" s="189"/>
      <c r="D1453" s="185"/>
      <c r="E1453" s="186"/>
      <c r="F1453" s="187"/>
    </row>
    <row r="1454" spans="1:6" x14ac:dyDescent="0.2">
      <c r="A1454" s="275"/>
      <c r="B1454" s="78"/>
      <c r="C1454" s="189"/>
      <c r="D1454" s="185"/>
      <c r="E1454" s="186"/>
      <c r="F1454" s="187"/>
    </row>
    <row r="1455" spans="1:6" x14ac:dyDescent="0.2">
      <c r="A1455" s="275"/>
      <c r="B1455" s="78"/>
      <c r="C1455" s="189"/>
      <c r="D1455" s="185"/>
      <c r="E1455" s="186"/>
      <c r="F1455" s="187"/>
    </row>
    <row r="1456" spans="1:6" x14ac:dyDescent="0.2">
      <c r="A1456" s="275"/>
      <c r="B1456" s="78"/>
      <c r="C1456" s="189"/>
      <c r="D1456" s="185"/>
      <c r="E1456" s="186"/>
      <c r="F1456" s="187"/>
    </row>
    <row r="1457" spans="1:6" x14ac:dyDescent="0.2">
      <c r="A1457" s="275"/>
      <c r="B1457" s="78"/>
      <c r="C1457" s="189"/>
      <c r="D1457" s="185"/>
      <c r="E1457" s="186"/>
      <c r="F1457" s="187"/>
    </row>
    <row r="1458" spans="1:6" x14ac:dyDescent="0.2">
      <c r="A1458" s="275"/>
      <c r="B1458" s="78"/>
      <c r="C1458" s="189"/>
      <c r="D1458" s="185"/>
      <c r="E1458" s="186"/>
      <c r="F1458" s="187"/>
    </row>
    <row r="1459" spans="1:6" x14ac:dyDescent="0.2">
      <c r="A1459" s="275"/>
      <c r="B1459" s="78"/>
      <c r="C1459" s="189"/>
      <c r="D1459" s="185"/>
      <c r="E1459" s="186"/>
      <c r="F1459" s="187"/>
    </row>
    <row r="1460" spans="1:6" x14ac:dyDescent="0.2">
      <c r="A1460" s="275"/>
      <c r="B1460" s="78"/>
      <c r="C1460" s="189"/>
      <c r="D1460" s="185"/>
      <c r="E1460" s="186"/>
      <c r="F1460" s="187"/>
    </row>
    <row r="1461" spans="1:6" x14ac:dyDescent="0.2">
      <c r="A1461" s="275"/>
      <c r="B1461" s="78"/>
      <c r="C1461" s="189"/>
      <c r="D1461" s="185"/>
      <c r="E1461" s="186"/>
      <c r="F1461" s="187"/>
    </row>
    <row r="1462" spans="1:6" x14ac:dyDescent="0.2">
      <c r="A1462" s="275"/>
      <c r="B1462" s="78"/>
      <c r="C1462" s="189"/>
      <c r="D1462" s="185"/>
      <c r="E1462" s="186"/>
      <c r="F1462" s="187"/>
    </row>
    <row r="1463" spans="1:6" x14ac:dyDescent="0.2">
      <c r="A1463" s="275"/>
      <c r="B1463" s="78"/>
      <c r="C1463" s="189"/>
      <c r="D1463" s="185"/>
      <c r="E1463" s="186"/>
      <c r="F1463" s="187"/>
    </row>
    <row r="1464" spans="1:6" x14ac:dyDescent="0.2">
      <c r="A1464" s="275"/>
      <c r="B1464" s="78"/>
      <c r="C1464" s="189"/>
      <c r="D1464" s="185"/>
      <c r="E1464" s="186"/>
      <c r="F1464" s="187"/>
    </row>
    <row r="1465" spans="1:6" x14ac:dyDescent="0.2">
      <c r="A1465" s="275"/>
      <c r="B1465" s="78"/>
      <c r="C1465" s="189"/>
      <c r="D1465" s="185"/>
      <c r="E1465" s="186"/>
      <c r="F1465" s="187"/>
    </row>
    <row r="1466" spans="1:6" x14ac:dyDescent="0.2">
      <c r="A1466" s="275"/>
      <c r="B1466" s="78"/>
      <c r="C1466" s="189"/>
      <c r="D1466" s="185"/>
      <c r="E1466" s="186"/>
      <c r="F1466" s="187"/>
    </row>
    <row r="1467" spans="1:6" x14ac:dyDescent="0.2">
      <c r="A1467" s="275"/>
      <c r="B1467" s="78"/>
      <c r="C1467" s="189"/>
      <c r="D1467" s="185"/>
      <c r="E1467" s="186"/>
      <c r="F1467" s="187"/>
    </row>
    <row r="1468" spans="1:6" x14ac:dyDescent="0.2">
      <c r="A1468" s="275"/>
      <c r="B1468" s="78"/>
      <c r="C1468" s="189"/>
      <c r="D1468" s="185"/>
      <c r="E1468" s="186"/>
      <c r="F1468" s="187"/>
    </row>
    <row r="1469" spans="1:6" x14ac:dyDescent="0.2">
      <c r="A1469" s="275"/>
      <c r="B1469" s="78"/>
      <c r="C1469" s="189"/>
      <c r="D1469" s="185"/>
      <c r="E1469" s="186"/>
      <c r="F1469" s="187"/>
    </row>
    <row r="1470" spans="1:6" x14ac:dyDescent="0.2">
      <c r="A1470" s="275"/>
      <c r="B1470" s="78"/>
      <c r="C1470" s="189"/>
      <c r="D1470" s="185"/>
      <c r="E1470" s="186"/>
      <c r="F1470" s="187"/>
    </row>
    <row r="1471" spans="1:6" x14ac:dyDescent="0.2">
      <c r="A1471" s="275"/>
      <c r="B1471" s="78"/>
      <c r="C1471" s="189"/>
      <c r="D1471" s="185"/>
      <c r="E1471" s="186"/>
      <c r="F1471" s="187"/>
    </row>
    <row r="1472" spans="1:6" x14ac:dyDescent="0.2">
      <c r="A1472" s="275"/>
      <c r="B1472" s="78"/>
      <c r="C1472" s="189"/>
      <c r="D1472" s="185"/>
      <c r="E1472" s="186"/>
      <c r="F1472" s="187"/>
    </row>
    <row r="1473" spans="1:6" x14ac:dyDescent="0.2">
      <c r="A1473" s="275"/>
      <c r="B1473" s="78"/>
      <c r="C1473" s="189"/>
      <c r="D1473" s="185"/>
      <c r="E1473" s="186"/>
      <c r="F1473" s="187"/>
    </row>
    <row r="1474" spans="1:6" x14ac:dyDescent="0.2">
      <c r="A1474" s="275"/>
      <c r="B1474" s="78"/>
      <c r="C1474" s="189"/>
      <c r="D1474" s="185"/>
      <c r="E1474" s="186"/>
      <c r="F1474" s="187"/>
    </row>
    <row r="1475" spans="1:6" x14ac:dyDescent="0.2">
      <c r="A1475" s="275"/>
      <c r="B1475" s="78"/>
      <c r="C1475" s="189"/>
      <c r="D1475" s="185"/>
      <c r="E1475" s="186"/>
      <c r="F1475" s="187"/>
    </row>
    <row r="1476" spans="1:6" x14ac:dyDescent="0.2">
      <c r="A1476" s="275"/>
      <c r="B1476" s="78"/>
      <c r="C1476" s="189"/>
      <c r="D1476" s="185"/>
      <c r="E1476" s="186"/>
      <c r="F1476" s="187"/>
    </row>
    <row r="1477" spans="1:6" x14ac:dyDescent="0.2">
      <c r="A1477" s="275"/>
      <c r="B1477" s="78"/>
      <c r="C1477" s="189"/>
      <c r="D1477" s="185"/>
      <c r="E1477" s="186"/>
      <c r="F1477" s="187"/>
    </row>
    <row r="1478" spans="1:6" x14ac:dyDescent="0.2">
      <c r="A1478" s="275"/>
      <c r="B1478" s="78"/>
      <c r="C1478" s="189"/>
      <c r="D1478" s="185"/>
      <c r="E1478" s="186"/>
      <c r="F1478" s="187"/>
    </row>
    <row r="1479" spans="1:6" x14ac:dyDescent="0.2">
      <c r="A1479" s="275"/>
      <c r="B1479" s="78"/>
      <c r="C1479" s="189"/>
      <c r="D1479" s="185"/>
      <c r="E1479" s="186"/>
      <c r="F1479" s="187"/>
    </row>
    <row r="1480" spans="1:6" x14ac:dyDescent="0.2">
      <c r="A1480" s="275"/>
      <c r="B1480" s="78"/>
      <c r="C1480" s="189"/>
      <c r="D1480" s="185"/>
      <c r="E1480" s="186"/>
      <c r="F1480" s="187"/>
    </row>
    <row r="1481" spans="1:6" x14ac:dyDescent="0.2">
      <c r="A1481" s="275"/>
      <c r="B1481" s="78"/>
      <c r="C1481" s="189"/>
      <c r="D1481" s="185"/>
      <c r="E1481" s="186"/>
      <c r="F1481" s="187"/>
    </row>
    <row r="1482" spans="1:6" x14ac:dyDescent="0.2">
      <c r="A1482" s="275"/>
      <c r="B1482" s="78"/>
      <c r="C1482" s="189"/>
      <c r="D1482" s="185"/>
      <c r="E1482" s="186"/>
      <c r="F1482" s="187"/>
    </row>
    <row r="1483" spans="1:6" x14ac:dyDescent="0.2">
      <c r="A1483" s="275"/>
      <c r="B1483" s="78"/>
      <c r="C1483" s="189"/>
      <c r="D1483" s="185"/>
      <c r="E1483" s="186"/>
      <c r="F1483" s="187"/>
    </row>
    <row r="1484" spans="1:6" x14ac:dyDescent="0.2">
      <c r="A1484" s="275"/>
      <c r="B1484" s="78"/>
      <c r="C1484" s="189"/>
      <c r="D1484" s="185"/>
      <c r="E1484" s="186"/>
      <c r="F1484" s="187"/>
    </row>
    <row r="1485" spans="1:6" x14ac:dyDescent="0.2">
      <c r="A1485" s="275"/>
      <c r="B1485" s="78"/>
      <c r="C1485" s="189"/>
      <c r="D1485" s="185"/>
      <c r="E1485" s="186"/>
      <c r="F1485" s="187"/>
    </row>
    <row r="1486" spans="1:6" x14ac:dyDescent="0.2">
      <c r="A1486" s="275"/>
      <c r="B1486" s="78"/>
      <c r="C1486" s="189"/>
      <c r="D1486" s="185"/>
      <c r="E1486" s="186"/>
      <c r="F1486" s="187"/>
    </row>
    <row r="1487" spans="1:6" x14ac:dyDescent="0.2">
      <c r="A1487" s="275"/>
      <c r="B1487" s="78"/>
      <c r="C1487" s="189"/>
      <c r="D1487" s="185"/>
      <c r="E1487" s="186"/>
      <c r="F1487" s="187"/>
    </row>
    <row r="1488" spans="1:6" x14ac:dyDescent="0.2">
      <c r="A1488" s="275"/>
      <c r="B1488" s="78"/>
      <c r="C1488" s="189"/>
      <c r="D1488" s="185"/>
      <c r="E1488" s="186"/>
      <c r="F1488" s="187"/>
    </row>
    <row r="1489" spans="1:6" x14ac:dyDescent="0.2">
      <c r="A1489" s="275"/>
      <c r="B1489" s="78"/>
      <c r="C1489" s="189"/>
      <c r="D1489" s="185"/>
      <c r="E1489" s="186"/>
      <c r="F1489" s="187"/>
    </row>
    <row r="1490" spans="1:6" x14ac:dyDescent="0.2">
      <c r="A1490" s="275"/>
      <c r="B1490" s="78"/>
      <c r="C1490" s="189"/>
      <c r="D1490" s="185"/>
      <c r="E1490" s="186"/>
      <c r="F1490" s="187"/>
    </row>
    <row r="1491" spans="1:6" x14ac:dyDescent="0.2">
      <c r="A1491" s="275"/>
      <c r="B1491" s="78"/>
      <c r="C1491" s="189"/>
      <c r="D1491" s="185"/>
      <c r="E1491" s="186"/>
      <c r="F1491" s="187"/>
    </row>
    <row r="1492" spans="1:6" x14ac:dyDescent="0.2">
      <c r="A1492" s="275"/>
      <c r="B1492" s="78"/>
      <c r="C1492" s="189"/>
      <c r="D1492" s="185"/>
      <c r="E1492" s="186"/>
      <c r="F1492" s="187"/>
    </row>
    <row r="1493" spans="1:6" x14ac:dyDescent="0.2">
      <c r="A1493" s="275"/>
      <c r="B1493" s="78"/>
      <c r="C1493" s="189"/>
      <c r="D1493" s="185"/>
      <c r="E1493" s="186"/>
      <c r="F1493" s="187"/>
    </row>
    <row r="1494" spans="1:6" x14ac:dyDescent="0.2">
      <c r="A1494" s="275"/>
      <c r="B1494" s="78"/>
      <c r="C1494" s="189"/>
      <c r="D1494" s="185"/>
      <c r="E1494" s="186"/>
      <c r="F1494" s="187"/>
    </row>
    <row r="1495" spans="1:6" x14ac:dyDescent="0.2">
      <c r="A1495" s="275"/>
      <c r="B1495" s="78"/>
      <c r="C1495" s="189"/>
      <c r="D1495" s="185"/>
      <c r="E1495" s="186"/>
      <c r="F1495" s="187"/>
    </row>
    <row r="1496" spans="1:6" x14ac:dyDescent="0.2">
      <c r="A1496" s="275"/>
      <c r="B1496" s="78"/>
      <c r="C1496" s="189"/>
      <c r="D1496" s="185"/>
      <c r="E1496" s="186"/>
      <c r="F1496" s="187"/>
    </row>
    <row r="1497" spans="1:6" x14ac:dyDescent="0.2">
      <c r="A1497" s="275"/>
      <c r="B1497" s="78"/>
      <c r="C1497" s="189"/>
      <c r="D1497" s="185"/>
      <c r="E1497" s="186"/>
      <c r="F1497" s="187"/>
    </row>
    <row r="1498" spans="1:6" x14ac:dyDescent="0.2">
      <c r="A1498" s="275"/>
      <c r="B1498" s="78"/>
      <c r="C1498" s="189"/>
      <c r="D1498" s="185"/>
      <c r="E1498" s="186"/>
      <c r="F1498" s="187"/>
    </row>
    <row r="1499" spans="1:6" x14ac:dyDescent="0.2">
      <c r="A1499" s="275"/>
      <c r="B1499" s="78"/>
      <c r="C1499" s="189"/>
      <c r="D1499" s="185"/>
      <c r="E1499" s="186"/>
      <c r="F1499" s="187"/>
    </row>
    <row r="1500" spans="1:6" x14ac:dyDescent="0.2">
      <c r="A1500" s="275"/>
      <c r="B1500" s="78"/>
      <c r="C1500" s="189"/>
      <c r="D1500" s="185"/>
      <c r="E1500" s="186"/>
      <c r="F1500" s="187"/>
    </row>
    <row r="1501" spans="1:6" x14ac:dyDescent="0.2">
      <c r="A1501" s="275"/>
      <c r="B1501" s="78"/>
      <c r="C1501" s="189"/>
      <c r="D1501" s="185"/>
      <c r="E1501" s="186"/>
      <c r="F1501" s="187"/>
    </row>
    <row r="1502" spans="1:6" x14ac:dyDescent="0.2">
      <c r="A1502" s="275"/>
      <c r="B1502" s="78"/>
      <c r="C1502" s="189"/>
      <c r="D1502" s="185"/>
      <c r="E1502" s="186"/>
      <c r="F1502" s="187"/>
    </row>
    <row r="1503" spans="1:6" x14ac:dyDescent="0.2">
      <c r="A1503" s="275"/>
      <c r="B1503" s="78"/>
      <c r="C1503" s="189"/>
      <c r="D1503" s="185"/>
      <c r="E1503" s="186"/>
      <c r="F1503" s="187"/>
    </row>
    <row r="1504" spans="1:6" x14ac:dyDescent="0.2">
      <c r="A1504" s="275"/>
      <c r="B1504" s="78"/>
      <c r="C1504" s="189"/>
      <c r="D1504" s="185"/>
      <c r="E1504" s="186"/>
      <c r="F1504" s="187"/>
    </row>
    <row r="1505" spans="1:6" x14ac:dyDescent="0.2">
      <c r="A1505" s="275"/>
      <c r="B1505" s="78"/>
      <c r="C1505" s="189"/>
      <c r="D1505" s="185"/>
      <c r="E1505" s="186"/>
      <c r="F1505" s="187"/>
    </row>
    <row r="1506" spans="1:6" x14ac:dyDescent="0.2">
      <c r="A1506" s="275"/>
      <c r="B1506" s="78"/>
      <c r="C1506" s="189"/>
      <c r="D1506" s="185"/>
      <c r="E1506" s="186"/>
      <c r="F1506" s="187"/>
    </row>
    <row r="1507" spans="1:6" x14ac:dyDescent="0.2">
      <c r="A1507" s="275"/>
      <c r="B1507" s="78"/>
      <c r="C1507" s="189"/>
      <c r="D1507" s="185"/>
      <c r="E1507" s="186"/>
      <c r="F1507" s="187"/>
    </row>
    <row r="1508" spans="1:6" x14ac:dyDescent="0.2">
      <c r="A1508" s="275"/>
      <c r="B1508" s="78"/>
      <c r="C1508" s="189"/>
      <c r="D1508" s="185"/>
      <c r="E1508" s="186"/>
      <c r="F1508" s="187"/>
    </row>
    <row r="1509" spans="1:6" x14ac:dyDescent="0.2">
      <c r="A1509" s="275"/>
      <c r="B1509" s="78"/>
      <c r="C1509" s="189"/>
      <c r="D1509" s="185"/>
      <c r="E1509" s="186"/>
      <c r="F1509" s="187"/>
    </row>
    <row r="1510" spans="1:6" x14ac:dyDescent="0.2">
      <c r="A1510" s="275"/>
      <c r="B1510" s="78"/>
      <c r="C1510" s="189"/>
      <c r="D1510" s="185"/>
      <c r="E1510" s="186"/>
      <c r="F1510" s="187"/>
    </row>
    <row r="1511" spans="1:6" x14ac:dyDescent="0.2">
      <c r="A1511" s="275"/>
      <c r="B1511" s="78"/>
      <c r="C1511" s="189"/>
      <c r="D1511" s="185"/>
      <c r="E1511" s="186"/>
      <c r="F1511" s="187"/>
    </row>
    <row r="1512" spans="1:6" x14ac:dyDescent="0.2">
      <c r="A1512" s="275"/>
      <c r="B1512" s="78"/>
      <c r="C1512" s="189"/>
      <c r="D1512" s="185"/>
      <c r="E1512" s="186"/>
      <c r="F1512" s="187"/>
    </row>
    <row r="1513" spans="1:6" x14ac:dyDescent="0.2">
      <c r="A1513" s="275"/>
      <c r="B1513" s="78"/>
      <c r="C1513" s="189"/>
      <c r="D1513" s="185"/>
      <c r="E1513" s="186"/>
      <c r="F1513" s="187"/>
    </row>
    <row r="1514" spans="1:6" x14ac:dyDescent="0.2">
      <c r="A1514" s="275"/>
      <c r="B1514" s="78"/>
      <c r="C1514" s="189"/>
      <c r="D1514" s="185"/>
      <c r="E1514" s="186"/>
      <c r="F1514" s="187"/>
    </row>
    <row r="1515" spans="1:6" x14ac:dyDescent="0.2">
      <c r="A1515" s="275"/>
      <c r="B1515" s="78"/>
      <c r="C1515" s="189"/>
      <c r="D1515" s="185"/>
      <c r="E1515" s="186"/>
      <c r="F1515" s="187"/>
    </row>
    <row r="1516" spans="1:6" x14ac:dyDescent="0.2">
      <c r="A1516" s="275"/>
      <c r="B1516" s="78"/>
      <c r="C1516" s="189"/>
      <c r="D1516" s="185"/>
      <c r="E1516" s="186"/>
      <c r="F1516" s="187"/>
    </row>
    <row r="1517" spans="1:6" x14ac:dyDescent="0.2">
      <c r="A1517" s="275"/>
      <c r="B1517" s="78"/>
      <c r="C1517" s="189"/>
      <c r="D1517" s="185"/>
      <c r="E1517" s="186"/>
      <c r="F1517" s="187"/>
    </row>
    <row r="1518" spans="1:6" x14ac:dyDescent="0.2">
      <c r="A1518" s="275"/>
      <c r="B1518" s="78"/>
      <c r="C1518" s="189"/>
      <c r="D1518" s="185"/>
      <c r="E1518" s="186"/>
      <c r="F1518" s="187"/>
    </row>
    <row r="1519" spans="1:6" x14ac:dyDescent="0.2">
      <c r="A1519" s="275"/>
      <c r="B1519" s="78"/>
      <c r="C1519" s="189"/>
      <c r="D1519" s="185"/>
      <c r="E1519" s="186"/>
      <c r="F1519" s="187"/>
    </row>
    <row r="1520" spans="1:6" x14ac:dyDescent="0.2">
      <c r="A1520" s="275"/>
      <c r="B1520" s="78"/>
      <c r="C1520" s="189"/>
      <c r="D1520" s="185"/>
      <c r="E1520" s="186"/>
      <c r="F1520" s="187"/>
    </row>
    <row r="1521" spans="1:6" x14ac:dyDescent="0.2">
      <c r="A1521" s="275"/>
      <c r="B1521" s="78"/>
      <c r="C1521" s="189"/>
      <c r="D1521" s="185"/>
      <c r="E1521" s="186"/>
      <c r="F1521" s="187"/>
    </row>
    <row r="1522" spans="1:6" x14ac:dyDescent="0.2">
      <c r="A1522" s="275"/>
      <c r="B1522" s="78"/>
      <c r="C1522" s="189"/>
      <c r="D1522" s="185"/>
      <c r="E1522" s="186"/>
      <c r="F1522" s="187"/>
    </row>
    <row r="1523" spans="1:6" x14ac:dyDescent="0.2">
      <c r="A1523" s="275"/>
      <c r="B1523" s="78"/>
      <c r="C1523" s="189"/>
      <c r="D1523" s="185"/>
      <c r="E1523" s="186"/>
      <c r="F1523" s="187"/>
    </row>
    <row r="1524" spans="1:6" x14ac:dyDescent="0.2">
      <c r="A1524" s="275"/>
      <c r="B1524" s="78"/>
      <c r="C1524" s="189"/>
      <c r="D1524" s="185"/>
      <c r="E1524" s="186"/>
      <c r="F1524" s="187"/>
    </row>
    <row r="1525" spans="1:6" x14ac:dyDescent="0.2">
      <c r="A1525" s="275"/>
      <c r="B1525" s="78"/>
      <c r="C1525" s="189"/>
      <c r="D1525" s="185"/>
      <c r="E1525" s="186"/>
      <c r="F1525" s="187"/>
    </row>
    <row r="1526" spans="1:6" x14ac:dyDescent="0.2">
      <c r="A1526" s="275"/>
      <c r="B1526" s="78"/>
      <c r="C1526" s="189"/>
      <c r="D1526" s="185"/>
      <c r="E1526" s="186"/>
      <c r="F1526" s="187"/>
    </row>
    <row r="1527" spans="1:6" x14ac:dyDescent="0.2">
      <c r="A1527" s="275"/>
      <c r="B1527" s="78"/>
      <c r="C1527" s="189"/>
      <c r="D1527" s="185"/>
      <c r="E1527" s="186"/>
      <c r="F1527" s="187"/>
    </row>
    <row r="1528" spans="1:6" x14ac:dyDescent="0.2">
      <c r="A1528" s="275"/>
      <c r="B1528" s="78"/>
      <c r="C1528" s="189"/>
      <c r="D1528" s="185"/>
      <c r="E1528" s="186"/>
      <c r="F1528" s="187"/>
    </row>
    <row r="1529" spans="1:6" x14ac:dyDescent="0.2">
      <c r="A1529" s="275"/>
      <c r="B1529" s="78"/>
      <c r="C1529" s="189"/>
      <c r="D1529" s="185"/>
      <c r="E1529" s="186"/>
      <c r="F1529" s="187"/>
    </row>
    <row r="1530" spans="1:6" x14ac:dyDescent="0.2">
      <c r="A1530" s="275"/>
      <c r="B1530" s="78"/>
      <c r="C1530" s="189"/>
      <c r="D1530" s="185"/>
      <c r="E1530" s="186"/>
      <c r="F1530" s="187"/>
    </row>
    <row r="1531" spans="1:6" x14ac:dyDescent="0.2">
      <c r="A1531" s="275"/>
      <c r="B1531" s="78"/>
      <c r="C1531" s="189"/>
      <c r="D1531" s="185"/>
      <c r="E1531" s="186"/>
      <c r="F1531" s="187"/>
    </row>
    <row r="1532" spans="1:6" x14ac:dyDescent="0.2">
      <c r="A1532" s="275"/>
      <c r="B1532" s="78"/>
      <c r="C1532" s="189"/>
      <c r="D1532" s="185"/>
      <c r="E1532" s="186"/>
      <c r="F1532" s="187"/>
    </row>
    <row r="1533" spans="1:6" x14ac:dyDescent="0.2">
      <c r="A1533" s="275"/>
      <c r="B1533" s="78"/>
      <c r="C1533" s="189"/>
      <c r="D1533" s="185"/>
      <c r="E1533" s="186"/>
      <c r="F1533" s="187"/>
    </row>
    <row r="1534" spans="1:6" x14ac:dyDescent="0.2">
      <c r="A1534" s="275"/>
      <c r="B1534" s="78"/>
      <c r="C1534" s="189"/>
      <c r="D1534" s="185"/>
      <c r="E1534" s="186"/>
      <c r="F1534" s="187"/>
    </row>
    <row r="1535" spans="1:6" x14ac:dyDescent="0.2">
      <c r="A1535" s="275"/>
      <c r="B1535" s="78"/>
      <c r="C1535" s="189"/>
      <c r="D1535" s="185"/>
      <c r="E1535" s="186"/>
      <c r="F1535" s="187"/>
    </row>
    <row r="1536" spans="1:6" x14ac:dyDescent="0.2">
      <c r="A1536" s="275"/>
      <c r="B1536" s="78"/>
      <c r="C1536" s="189"/>
      <c r="D1536" s="185"/>
      <c r="E1536" s="186"/>
      <c r="F1536" s="187"/>
    </row>
    <row r="1537" spans="1:6" x14ac:dyDescent="0.2">
      <c r="A1537" s="275"/>
      <c r="B1537" s="78"/>
      <c r="C1537" s="189"/>
      <c r="D1537" s="185"/>
      <c r="E1537" s="186"/>
      <c r="F1537" s="187"/>
    </row>
    <row r="1538" spans="1:6" x14ac:dyDescent="0.2">
      <c r="A1538" s="275"/>
      <c r="B1538" s="78"/>
      <c r="C1538" s="189"/>
      <c r="D1538" s="185"/>
      <c r="E1538" s="186"/>
      <c r="F1538" s="187"/>
    </row>
    <row r="1539" spans="1:6" x14ac:dyDescent="0.2">
      <c r="A1539" s="275"/>
      <c r="B1539" s="78"/>
      <c r="C1539" s="189"/>
      <c r="D1539" s="185"/>
      <c r="E1539" s="186"/>
      <c r="F1539" s="187"/>
    </row>
    <row r="1540" spans="1:6" x14ac:dyDescent="0.2">
      <c r="A1540" s="275"/>
      <c r="B1540" s="78"/>
      <c r="C1540" s="189"/>
      <c r="D1540" s="185"/>
      <c r="E1540" s="186"/>
      <c r="F1540" s="187"/>
    </row>
    <row r="1541" spans="1:6" x14ac:dyDescent="0.2">
      <c r="A1541" s="275"/>
      <c r="B1541" s="78"/>
      <c r="C1541" s="189"/>
      <c r="D1541" s="185"/>
      <c r="E1541" s="186"/>
      <c r="F1541" s="187"/>
    </row>
    <row r="1542" spans="1:6" x14ac:dyDescent="0.2">
      <c r="A1542" s="275"/>
      <c r="B1542" s="78"/>
      <c r="C1542" s="189"/>
      <c r="D1542" s="185"/>
      <c r="E1542" s="186"/>
      <c r="F1542" s="187"/>
    </row>
    <row r="1543" spans="1:6" x14ac:dyDescent="0.2">
      <c r="A1543" s="275"/>
      <c r="B1543" s="78"/>
      <c r="C1543" s="189"/>
      <c r="D1543" s="185"/>
      <c r="E1543" s="186"/>
      <c r="F1543" s="187"/>
    </row>
    <row r="1544" spans="1:6" x14ac:dyDescent="0.2">
      <c r="A1544" s="275"/>
      <c r="B1544" s="78"/>
      <c r="C1544" s="189"/>
      <c r="D1544" s="185"/>
      <c r="E1544" s="186"/>
      <c r="F1544" s="187"/>
    </row>
    <row r="1545" spans="1:6" x14ac:dyDescent="0.2">
      <c r="A1545" s="275"/>
      <c r="B1545" s="78"/>
      <c r="C1545" s="189"/>
      <c r="D1545" s="185"/>
      <c r="E1545" s="186"/>
      <c r="F1545" s="187"/>
    </row>
    <row r="1546" spans="1:6" x14ac:dyDescent="0.2">
      <c r="A1546" s="275"/>
      <c r="B1546" s="78"/>
      <c r="C1546" s="189"/>
      <c r="D1546" s="185"/>
      <c r="E1546" s="186"/>
      <c r="F1546" s="187"/>
    </row>
    <row r="1547" spans="1:6" x14ac:dyDescent="0.2">
      <c r="A1547" s="275"/>
      <c r="B1547" s="78"/>
      <c r="C1547" s="189"/>
      <c r="D1547" s="185"/>
      <c r="E1547" s="186"/>
      <c r="F1547" s="187"/>
    </row>
    <row r="1548" spans="1:6" x14ac:dyDescent="0.2">
      <c r="A1548" s="275"/>
      <c r="B1548" s="78"/>
      <c r="C1548" s="189"/>
      <c r="D1548" s="185"/>
      <c r="E1548" s="186"/>
      <c r="F1548" s="187"/>
    </row>
    <row r="1549" spans="1:6" x14ac:dyDescent="0.2">
      <c r="A1549" s="275"/>
      <c r="B1549" s="78"/>
      <c r="C1549" s="189"/>
      <c r="D1549" s="185"/>
      <c r="E1549" s="186"/>
      <c r="F1549" s="187"/>
    </row>
    <row r="1550" spans="1:6" x14ac:dyDescent="0.2">
      <c r="A1550" s="275"/>
      <c r="B1550" s="78"/>
      <c r="C1550" s="189"/>
      <c r="D1550" s="185"/>
      <c r="E1550" s="186"/>
      <c r="F1550" s="187"/>
    </row>
    <row r="1551" spans="1:6" x14ac:dyDescent="0.2">
      <c r="A1551" s="275"/>
      <c r="B1551" s="78"/>
      <c r="C1551" s="189"/>
      <c r="D1551" s="185"/>
      <c r="E1551" s="186"/>
      <c r="F1551" s="187"/>
    </row>
    <row r="1552" spans="1:6" x14ac:dyDescent="0.2">
      <c r="A1552" s="275"/>
      <c r="B1552" s="78"/>
      <c r="C1552" s="189"/>
      <c r="D1552" s="185"/>
      <c r="E1552" s="186"/>
      <c r="F1552" s="187"/>
    </row>
    <row r="1553" spans="1:6" x14ac:dyDescent="0.2">
      <c r="A1553" s="275"/>
      <c r="B1553" s="78"/>
      <c r="C1553" s="189"/>
      <c r="D1553" s="185"/>
      <c r="E1553" s="186"/>
      <c r="F1553" s="187"/>
    </row>
    <row r="1554" spans="1:6" x14ac:dyDescent="0.2">
      <c r="A1554" s="275"/>
      <c r="B1554" s="78"/>
      <c r="C1554" s="189"/>
      <c r="D1554" s="185"/>
      <c r="E1554" s="186"/>
      <c r="F1554" s="187"/>
    </row>
    <row r="1555" spans="1:6" x14ac:dyDescent="0.2">
      <c r="A1555" s="275"/>
      <c r="B1555" s="78"/>
      <c r="C1555" s="189"/>
      <c r="D1555" s="185"/>
      <c r="E1555" s="186"/>
      <c r="F1555" s="187"/>
    </row>
    <row r="1556" spans="1:6" x14ac:dyDescent="0.2">
      <c r="A1556" s="275"/>
      <c r="B1556" s="78"/>
      <c r="C1556" s="189"/>
      <c r="D1556" s="185"/>
      <c r="E1556" s="186"/>
      <c r="F1556" s="187"/>
    </row>
    <row r="1557" spans="1:6" x14ac:dyDescent="0.2">
      <c r="A1557" s="275"/>
      <c r="B1557" s="78"/>
      <c r="C1557" s="189"/>
      <c r="D1557" s="185"/>
      <c r="E1557" s="186"/>
      <c r="F1557" s="187"/>
    </row>
    <row r="1558" spans="1:6" x14ac:dyDescent="0.2">
      <c r="A1558" s="275"/>
      <c r="B1558" s="78"/>
      <c r="C1558" s="189"/>
      <c r="D1558" s="185"/>
      <c r="E1558" s="186"/>
      <c r="F1558" s="187"/>
    </row>
    <row r="1559" spans="1:6" x14ac:dyDescent="0.2">
      <c r="A1559" s="275"/>
      <c r="B1559" s="78"/>
      <c r="C1559" s="189"/>
      <c r="D1559" s="185"/>
      <c r="E1559" s="186"/>
      <c r="F1559" s="187"/>
    </row>
    <row r="1560" spans="1:6" x14ac:dyDescent="0.2">
      <c r="A1560" s="275"/>
      <c r="B1560" s="78"/>
      <c r="C1560" s="189"/>
      <c r="D1560" s="185"/>
      <c r="E1560" s="186"/>
      <c r="F1560" s="187"/>
    </row>
    <row r="1561" spans="1:6" x14ac:dyDescent="0.2">
      <c r="A1561" s="275"/>
      <c r="B1561" s="78"/>
      <c r="C1561" s="189"/>
      <c r="D1561" s="185"/>
      <c r="E1561" s="186"/>
      <c r="F1561" s="187"/>
    </row>
    <row r="1562" spans="1:6" x14ac:dyDescent="0.2">
      <c r="A1562" s="275"/>
      <c r="B1562" s="78"/>
      <c r="C1562" s="189"/>
      <c r="D1562" s="185"/>
      <c r="E1562" s="186"/>
      <c r="F1562" s="187"/>
    </row>
    <row r="1563" spans="1:6" x14ac:dyDescent="0.2">
      <c r="A1563" s="275"/>
      <c r="B1563" s="78"/>
      <c r="C1563" s="189"/>
      <c r="D1563" s="185"/>
      <c r="E1563" s="186"/>
      <c r="F1563" s="187"/>
    </row>
    <row r="1564" spans="1:6" x14ac:dyDescent="0.2">
      <c r="A1564" s="275"/>
      <c r="B1564" s="78"/>
      <c r="C1564" s="189"/>
      <c r="D1564" s="185"/>
      <c r="E1564" s="186"/>
      <c r="F1564" s="187"/>
    </row>
    <row r="1565" spans="1:6" x14ac:dyDescent="0.2">
      <c r="A1565" s="275"/>
      <c r="B1565" s="78"/>
      <c r="C1565" s="189"/>
      <c r="D1565" s="185"/>
      <c r="E1565" s="186"/>
      <c r="F1565" s="187"/>
    </row>
    <row r="1566" spans="1:6" x14ac:dyDescent="0.2">
      <c r="A1566" s="275"/>
      <c r="B1566" s="78"/>
      <c r="C1566" s="189"/>
      <c r="D1566" s="185"/>
      <c r="E1566" s="186"/>
      <c r="F1566" s="187"/>
    </row>
    <row r="1567" spans="1:6" x14ac:dyDescent="0.2">
      <c r="A1567" s="275"/>
      <c r="B1567" s="78"/>
      <c r="C1567" s="189"/>
      <c r="D1567" s="185"/>
      <c r="E1567" s="186"/>
      <c r="F1567" s="187"/>
    </row>
    <row r="1568" spans="1:6" x14ac:dyDescent="0.2">
      <c r="A1568" s="275"/>
      <c r="B1568" s="78"/>
      <c r="C1568" s="189"/>
      <c r="D1568" s="185"/>
      <c r="E1568" s="186"/>
      <c r="F1568" s="187"/>
    </row>
    <row r="1569" spans="1:6" x14ac:dyDescent="0.2">
      <c r="A1569" s="275"/>
      <c r="B1569" s="78"/>
      <c r="C1569" s="189"/>
      <c r="D1569" s="185"/>
      <c r="E1569" s="186"/>
      <c r="F1569" s="187"/>
    </row>
    <row r="1570" spans="1:6" x14ac:dyDescent="0.2">
      <c r="A1570" s="275"/>
      <c r="B1570" s="78"/>
      <c r="C1570" s="189"/>
      <c r="D1570" s="185"/>
      <c r="E1570" s="186"/>
      <c r="F1570" s="187"/>
    </row>
    <row r="1571" spans="1:6" x14ac:dyDescent="0.2">
      <c r="A1571" s="275"/>
      <c r="B1571" s="78"/>
      <c r="C1571" s="189"/>
      <c r="D1571" s="185"/>
      <c r="E1571" s="186"/>
      <c r="F1571" s="187"/>
    </row>
    <row r="1572" spans="1:6" x14ac:dyDescent="0.2">
      <c r="A1572" s="275"/>
      <c r="B1572" s="78"/>
      <c r="C1572" s="189"/>
      <c r="D1572" s="185"/>
      <c r="E1572" s="186"/>
      <c r="F1572" s="187"/>
    </row>
    <row r="1573" spans="1:6" x14ac:dyDescent="0.2">
      <c r="A1573" s="275"/>
      <c r="B1573" s="78"/>
      <c r="C1573" s="189"/>
      <c r="D1573" s="185"/>
      <c r="E1573" s="186"/>
      <c r="F1573" s="187"/>
    </row>
    <row r="1574" spans="1:6" x14ac:dyDescent="0.2">
      <c r="A1574" s="275"/>
      <c r="B1574" s="78"/>
      <c r="C1574" s="189"/>
      <c r="D1574" s="185"/>
      <c r="E1574" s="186"/>
      <c r="F1574" s="187"/>
    </row>
    <row r="1575" spans="1:6" x14ac:dyDescent="0.2">
      <c r="A1575" s="275"/>
      <c r="B1575" s="78"/>
      <c r="C1575" s="189"/>
      <c r="D1575" s="185"/>
      <c r="E1575" s="186"/>
      <c r="F1575" s="187"/>
    </row>
    <row r="1576" spans="1:6" x14ac:dyDescent="0.2">
      <c r="A1576" s="275"/>
      <c r="B1576" s="78"/>
      <c r="C1576" s="189"/>
      <c r="D1576" s="185"/>
      <c r="E1576" s="186"/>
      <c r="F1576" s="187"/>
    </row>
    <row r="1577" spans="1:6" x14ac:dyDescent="0.2">
      <c r="A1577" s="275"/>
      <c r="B1577" s="78"/>
      <c r="C1577" s="189"/>
      <c r="D1577" s="185"/>
      <c r="E1577" s="186"/>
      <c r="F1577" s="187"/>
    </row>
    <row r="1578" spans="1:6" x14ac:dyDescent="0.2">
      <c r="A1578" s="275"/>
      <c r="B1578" s="78"/>
      <c r="C1578" s="189"/>
      <c r="D1578" s="185"/>
      <c r="E1578" s="186"/>
      <c r="F1578" s="187"/>
    </row>
    <row r="1579" spans="1:6" x14ac:dyDescent="0.2">
      <c r="A1579" s="275"/>
      <c r="B1579" s="78"/>
      <c r="C1579" s="189"/>
      <c r="D1579" s="185"/>
      <c r="E1579" s="186"/>
      <c r="F1579" s="187"/>
    </row>
    <row r="1580" spans="1:6" x14ac:dyDescent="0.2">
      <c r="A1580" s="275"/>
      <c r="B1580" s="78"/>
      <c r="C1580" s="189"/>
      <c r="D1580" s="185"/>
      <c r="E1580" s="186"/>
      <c r="F1580" s="187"/>
    </row>
    <row r="1581" spans="1:6" x14ac:dyDescent="0.2">
      <c r="A1581" s="275"/>
      <c r="B1581" s="78"/>
      <c r="C1581" s="189"/>
      <c r="D1581" s="185"/>
      <c r="E1581" s="186"/>
      <c r="F1581" s="187"/>
    </row>
    <row r="1582" spans="1:6" x14ac:dyDescent="0.2">
      <c r="A1582" s="275"/>
      <c r="B1582" s="78"/>
      <c r="C1582" s="189"/>
      <c r="D1582" s="185"/>
      <c r="E1582" s="186"/>
      <c r="F1582" s="187"/>
    </row>
    <row r="1583" spans="1:6" x14ac:dyDescent="0.2">
      <c r="A1583" s="275"/>
      <c r="B1583" s="78"/>
      <c r="C1583" s="189"/>
      <c r="D1583" s="185"/>
      <c r="E1583" s="186"/>
      <c r="F1583" s="187"/>
    </row>
    <row r="1584" spans="1:6" x14ac:dyDescent="0.2">
      <c r="A1584" s="275"/>
      <c r="B1584" s="78"/>
      <c r="C1584" s="189"/>
      <c r="D1584" s="185"/>
      <c r="E1584" s="186"/>
      <c r="F1584" s="187"/>
    </row>
    <row r="1585" spans="1:6" x14ac:dyDescent="0.2">
      <c r="A1585" s="275"/>
      <c r="B1585" s="78"/>
      <c r="C1585" s="189"/>
      <c r="D1585" s="185"/>
      <c r="E1585" s="186"/>
      <c r="F1585" s="187"/>
    </row>
    <row r="1586" spans="1:6" x14ac:dyDescent="0.2">
      <c r="A1586" s="275"/>
      <c r="B1586" s="78"/>
      <c r="C1586" s="189"/>
      <c r="D1586" s="185"/>
      <c r="E1586" s="186"/>
      <c r="F1586" s="187"/>
    </row>
    <row r="1587" spans="1:6" x14ac:dyDescent="0.2">
      <c r="A1587" s="275"/>
      <c r="B1587" s="78"/>
      <c r="C1587" s="189"/>
      <c r="D1587" s="185"/>
      <c r="E1587" s="186"/>
      <c r="F1587" s="187"/>
    </row>
    <row r="1588" spans="1:6" x14ac:dyDescent="0.2">
      <c r="A1588" s="275"/>
      <c r="B1588" s="78"/>
      <c r="C1588" s="189"/>
      <c r="D1588" s="185"/>
      <c r="E1588" s="186"/>
      <c r="F1588" s="187"/>
    </row>
    <row r="1589" spans="1:6" x14ac:dyDescent="0.2">
      <c r="A1589" s="275"/>
      <c r="B1589" s="78"/>
      <c r="C1589" s="189"/>
      <c r="D1589" s="185"/>
      <c r="E1589" s="186"/>
      <c r="F1589" s="187"/>
    </row>
    <row r="1590" spans="1:6" x14ac:dyDescent="0.2">
      <c r="A1590" s="275"/>
      <c r="B1590" s="78"/>
      <c r="C1590" s="189"/>
      <c r="D1590" s="185"/>
      <c r="E1590" s="186"/>
      <c r="F1590" s="187"/>
    </row>
    <row r="1591" spans="1:6" x14ac:dyDescent="0.2">
      <c r="A1591" s="275"/>
      <c r="B1591" s="78"/>
      <c r="C1591" s="189"/>
      <c r="D1591" s="185"/>
      <c r="E1591" s="186"/>
      <c r="F1591" s="187"/>
    </row>
    <row r="1592" spans="1:6" x14ac:dyDescent="0.2">
      <c r="A1592" s="275"/>
      <c r="B1592" s="78"/>
      <c r="C1592" s="189"/>
      <c r="D1592" s="185"/>
      <c r="E1592" s="186"/>
      <c r="F1592" s="187"/>
    </row>
    <row r="1593" spans="1:6" x14ac:dyDescent="0.2">
      <c r="A1593" s="275"/>
      <c r="B1593" s="78"/>
      <c r="C1593" s="189"/>
      <c r="D1593" s="185"/>
      <c r="E1593" s="186"/>
      <c r="F1593" s="187"/>
    </row>
    <row r="1594" spans="1:6" x14ac:dyDescent="0.2">
      <c r="A1594" s="275"/>
      <c r="B1594" s="78"/>
      <c r="C1594" s="189"/>
      <c r="D1594" s="185"/>
      <c r="E1594" s="186"/>
      <c r="F1594" s="187"/>
    </row>
    <row r="1595" spans="1:6" x14ac:dyDescent="0.2">
      <c r="A1595" s="275"/>
      <c r="B1595" s="78"/>
      <c r="C1595" s="189"/>
      <c r="D1595" s="185"/>
      <c r="E1595" s="186"/>
      <c r="F1595" s="187"/>
    </row>
    <row r="1596" spans="1:6" x14ac:dyDescent="0.2">
      <c r="A1596" s="275"/>
      <c r="B1596" s="78"/>
      <c r="C1596" s="189"/>
      <c r="D1596" s="185"/>
      <c r="E1596" s="186"/>
      <c r="F1596" s="187"/>
    </row>
    <row r="1597" spans="1:6" x14ac:dyDescent="0.2">
      <c r="A1597" s="275"/>
      <c r="B1597" s="78"/>
      <c r="C1597" s="189"/>
      <c r="D1597" s="185"/>
      <c r="E1597" s="186"/>
      <c r="F1597" s="187"/>
    </row>
    <row r="1598" spans="1:6" x14ac:dyDescent="0.2">
      <c r="A1598" s="275"/>
      <c r="B1598" s="78"/>
      <c r="C1598" s="189"/>
      <c r="D1598" s="185"/>
      <c r="E1598" s="186"/>
      <c r="F1598" s="187"/>
    </row>
    <row r="1599" spans="1:6" x14ac:dyDescent="0.2">
      <c r="A1599" s="275"/>
      <c r="B1599" s="78"/>
      <c r="C1599" s="189"/>
      <c r="D1599" s="185"/>
      <c r="E1599" s="186"/>
      <c r="F1599" s="187"/>
    </row>
    <row r="1600" spans="1:6" x14ac:dyDescent="0.2">
      <c r="A1600" s="275"/>
      <c r="B1600" s="78"/>
      <c r="C1600" s="189"/>
      <c r="D1600" s="185"/>
      <c r="E1600" s="186"/>
      <c r="F1600" s="187"/>
    </row>
    <row r="1601" spans="1:6" x14ac:dyDescent="0.2">
      <c r="A1601" s="275"/>
      <c r="B1601" s="78"/>
      <c r="C1601" s="189"/>
      <c r="D1601" s="185"/>
      <c r="E1601" s="186"/>
      <c r="F1601" s="187"/>
    </row>
    <row r="1602" spans="1:6" x14ac:dyDescent="0.2">
      <c r="A1602" s="275"/>
      <c r="B1602" s="78"/>
      <c r="C1602" s="189"/>
      <c r="D1602" s="185"/>
      <c r="E1602" s="186"/>
      <c r="F1602" s="187"/>
    </row>
    <row r="1603" spans="1:6" x14ac:dyDescent="0.2">
      <c r="A1603" s="275"/>
      <c r="B1603" s="78"/>
      <c r="C1603" s="189"/>
      <c r="D1603" s="185"/>
      <c r="E1603" s="186"/>
      <c r="F1603" s="187"/>
    </row>
    <row r="1604" spans="1:6" x14ac:dyDescent="0.2">
      <c r="A1604" s="275"/>
      <c r="B1604" s="78"/>
      <c r="C1604" s="189"/>
      <c r="D1604" s="185"/>
      <c r="E1604" s="186"/>
      <c r="F1604" s="187"/>
    </row>
    <row r="1605" spans="1:6" x14ac:dyDescent="0.2">
      <c r="A1605" s="275"/>
      <c r="B1605" s="78"/>
      <c r="C1605" s="189"/>
      <c r="D1605" s="185"/>
      <c r="E1605" s="186"/>
      <c r="F1605" s="187"/>
    </row>
    <row r="1606" spans="1:6" x14ac:dyDescent="0.2">
      <c r="A1606" s="275"/>
      <c r="B1606" s="78"/>
      <c r="C1606" s="189"/>
      <c r="D1606" s="185"/>
      <c r="E1606" s="186"/>
      <c r="F1606" s="187"/>
    </row>
    <row r="1607" spans="1:6" x14ac:dyDescent="0.2">
      <c r="A1607" s="275"/>
      <c r="B1607" s="78"/>
      <c r="C1607" s="189"/>
      <c r="D1607" s="185"/>
      <c r="E1607" s="186"/>
      <c r="F1607" s="187"/>
    </row>
    <row r="1608" spans="1:6" x14ac:dyDescent="0.2">
      <c r="A1608" s="275"/>
      <c r="B1608" s="78"/>
      <c r="C1608" s="189"/>
      <c r="D1608" s="185"/>
      <c r="E1608" s="186"/>
      <c r="F1608" s="187"/>
    </row>
    <row r="1609" spans="1:6" x14ac:dyDescent="0.2">
      <c r="A1609" s="275"/>
      <c r="B1609" s="78"/>
      <c r="C1609" s="189"/>
      <c r="D1609" s="185"/>
      <c r="E1609" s="186"/>
      <c r="F1609" s="187"/>
    </row>
    <row r="1610" spans="1:6" x14ac:dyDescent="0.2">
      <c r="A1610" s="275"/>
      <c r="B1610" s="78"/>
      <c r="C1610" s="189"/>
      <c r="D1610" s="185"/>
      <c r="E1610" s="186"/>
      <c r="F1610" s="187"/>
    </row>
    <row r="1611" spans="1:6" x14ac:dyDescent="0.2">
      <c r="A1611" s="275"/>
      <c r="B1611" s="78"/>
      <c r="C1611" s="189"/>
      <c r="D1611" s="185"/>
      <c r="E1611" s="186"/>
      <c r="F1611" s="187"/>
    </row>
    <row r="1612" spans="1:6" x14ac:dyDescent="0.2">
      <c r="A1612" s="275"/>
      <c r="B1612" s="78"/>
      <c r="C1612" s="189"/>
      <c r="D1612" s="185"/>
      <c r="E1612" s="186"/>
      <c r="F1612" s="187"/>
    </row>
    <row r="1613" spans="1:6" x14ac:dyDescent="0.2">
      <c r="A1613" s="275"/>
      <c r="B1613" s="78"/>
      <c r="C1613" s="189"/>
      <c r="D1613" s="185"/>
      <c r="E1613" s="186"/>
      <c r="F1613" s="187"/>
    </row>
    <row r="1614" spans="1:6" x14ac:dyDescent="0.2">
      <c r="A1614" s="275"/>
      <c r="B1614" s="78"/>
      <c r="C1614" s="189"/>
      <c r="D1614" s="185"/>
      <c r="E1614" s="186"/>
      <c r="F1614" s="187"/>
    </row>
    <row r="1615" spans="1:6" x14ac:dyDescent="0.2">
      <c r="A1615" s="275"/>
      <c r="B1615" s="78"/>
      <c r="C1615" s="189"/>
      <c r="D1615" s="185"/>
      <c r="E1615" s="186"/>
      <c r="F1615" s="187"/>
    </row>
    <row r="1616" spans="1:6" x14ac:dyDescent="0.2">
      <c r="A1616" s="275"/>
      <c r="B1616" s="78"/>
      <c r="C1616" s="189"/>
      <c r="D1616" s="185"/>
      <c r="E1616" s="186"/>
      <c r="F1616" s="187"/>
    </row>
    <row r="1617" spans="1:6" x14ac:dyDescent="0.2">
      <c r="A1617" s="275"/>
      <c r="B1617" s="78"/>
      <c r="C1617" s="189"/>
      <c r="D1617" s="185"/>
      <c r="E1617" s="186"/>
      <c r="F1617" s="187"/>
    </row>
    <row r="1618" spans="1:6" x14ac:dyDescent="0.2">
      <c r="A1618" s="275"/>
      <c r="B1618" s="78"/>
      <c r="C1618" s="189"/>
      <c r="D1618" s="185"/>
      <c r="E1618" s="186"/>
      <c r="F1618" s="187"/>
    </row>
    <row r="1619" spans="1:6" x14ac:dyDescent="0.2">
      <c r="A1619" s="275"/>
      <c r="B1619" s="78"/>
      <c r="C1619" s="189"/>
      <c r="D1619" s="185"/>
      <c r="E1619" s="186"/>
      <c r="F1619" s="187"/>
    </row>
    <row r="1620" spans="1:6" x14ac:dyDescent="0.2">
      <c r="A1620" s="275"/>
      <c r="B1620" s="78"/>
      <c r="C1620" s="189"/>
      <c r="D1620" s="185"/>
      <c r="E1620" s="186"/>
      <c r="F1620" s="187"/>
    </row>
    <row r="1621" spans="1:6" x14ac:dyDescent="0.2">
      <c r="A1621" s="275"/>
      <c r="B1621" s="78"/>
      <c r="C1621" s="189"/>
      <c r="D1621" s="185"/>
      <c r="E1621" s="186"/>
      <c r="F1621" s="187"/>
    </row>
    <row r="1622" spans="1:6" x14ac:dyDescent="0.2">
      <c r="A1622" s="275"/>
      <c r="B1622" s="78"/>
      <c r="C1622" s="189"/>
      <c r="D1622" s="185"/>
      <c r="E1622" s="186"/>
      <c r="F1622" s="187"/>
    </row>
    <row r="1623" spans="1:6" x14ac:dyDescent="0.2">
      <c r="A1623" s="275"/>
      <c r="B1623" s="78"/>
      <c r="C1623" s="189"/>
      <c r="D1623" s="185"/>
      <c r="E1623" s="186"/>
      <c r="F1623" s="187"/>
    </row>
    <row r="1624" spans="1:6" x14ac:dyDescent="0.2">
      <c r="A1624" s="275"/>
      <c r="B1624" s="78"/>
      <c r="C1624" s="189"/>
      <c r="D1624" s="185"/>
      <c r="E1624" s="186"/>
      <c r="F1624" s="187"/>
    </row>
    <row r="1625" spans="1:6" x14ac:dyDescent="0.2">
      <c r="A1625" s="275"/>
      <c r="B1625" s="78"/>
      <c r="C1625" s="189"/>
      <c r="D1625" s="185"/>
      <c r="E1625" s="186"/>
      <c r="F1625" s="187"/>
    </row>
    <row r="1626" spans="1:6" x14ac:dyDescent="0.2">
      <c r="A1626" s="275"/>
      <c r="B1626" s="78"/>
      <c r="C1626" s="189"/>
      <c r="D1626" s="185"/>
      <c r="E1626" s="186"/>
      <c r="F1626" s="187"/>
    </row>
    <row r="1627" spans="1:6" x14ac:dyDescent="0.2">
      <c r="A1627" s="275"/>
      <c r="B1627" s="78"/>
      <c r="C1627" s="189"/>
      <c r="D1627" s="185"/>
      <c r="E1627" s="186"/>
      <c r="F1627" s="187"/>
    </row>
    <row r="1628" spans="1:6" x14ac:dyDescent="0.2">
      <c r="A1628" s="275"/>
      <c r="B1628" s="78"/>
      <c r="C1628" s="189"/>
      <c r="D1628" s="185"/>
      <c r="E1628" s="186"/>
      <c r="F1628" s="187"/>
    </row>
    <row r="1629" spans="1:6" x14ac:dyDescent="0.2">
      <c r="A1629" s="275"/>
      <c r="B1629" s="78"/>
      <c r="C1629" s="189"/>
      <c r="D1629" s="185"/>
      <c r="E1629" s="186"/>
      <c r="F1629" s="187"/>
    </row>
    <row r="1630" spans="1:6" x14ac:dyDescent="0.2">
      <c r="A1630" s="275"/>
      <c r="B1630" s="78"/>
      <c r="C1630" s="189"/>
      <c r="D1630" s="185"/>
      <c r="E1630" s="186"/>
      <c r="F1630" s="187"/>
    </row>
    <row r="1631" spans="1:6" x14ac:dyDescent="0.2">
      <c r="A1631" s="275"/>
      <c r="B1631" s="78"/>
      <c r="C1631" s="189"/>
      <c r="D1631" s="185"/>
      <c r="E1631" s="186"/>
      <c r="F1631" s="187"/>
    </row>
    <row r="1632" spans="1:6" x14ac:dyDescent="0.2">
      <c r="A1632" s="275"/>
      <c r="B1632" s="78"/>
      <c r="C1632" s="189"/>
      <c r="D1632" s="185"/>
      <c r="E1632" s="186"/>
      <c r="F1632" s="187"/>
    </row>
    <row r="1633" spans="1:6" x14ac:dyDescent="0.2">
      <c r="A1633" s="275"/>
      <c r="B1633" s="78"/>
      <c r="C1633" s="189"/>
      <c r="D1633" s="185"/>
      <c r="E1633" s="186"/>
      <c r="F1633" s="187"/>
    </row>
    <row r="1634" spans="1:6" x14ac:dyDescent="0.2">
      <c r="A1634" s="275"/>
      <c r="B1634" s="78"/>
      <c r="C1634" s="189"/>
      <c r="D1634" s="185"/>
      <c r="E1634" s="186"/>
      <c r="F1634" s="187"/>
    </row>
    <row r="1635" spans="1:6" x14ac:dyDescent="0.2">
      <c r="A1635" s="275"/>
      <c r="B1635" s="78"/>
      <c r="C1635" s="189"/>
      <c r="D1635" s="185"/>
      <c r="E1635" s="186"/>
      <c r="F1635" s="187"/>
    </row>
    <row r="1636" spans="1:6" x14ac:dyDescent="0.2">
      <c r="A1636" s="275"/>
      <c r="B1636" s="78"/>
      <c r="C1636" s="189"/>
      <c r="D1636" s="185"/>
      <c r="E1636" s="186"/>
      <c r="F1636" s="187"/>
    </row>
    <row r="1637" spans="1:6" x14ac:dyDescent="0.2">
      <c r="A1637" s="275"/>
      <c r="B1637" s="78"/>
      <c r="C1637" s="189"/>
      <c r="D1637" s="185"/>
      <c r="E1637" s="186"/>
      <c r="F1637" s="187"/>
    </row>
    <row r="1638" spans="1:6" x14ac:dyDescent="0.2">
      <c r="A1638" s="275"/>
      <c r="B1638" s="78"/>
      <c r="C1638" s="189"/>
      <c r="D1638" s="185"/>
      <c r="E1638" s="186"/>
      <c r="F1638" s="187"/>
    </row>
    <row r="1639" spans="1:6" x14ac:dyDescent="0.2">
      <c r="A1639" s="275"/>
      <c r="B1639" s="78"/>
      <c r="C1639" s="189"/>
      <c r="D1639" s="185"/>
      <c r="E1639" s="186"/>
      <c r="F1639" s="187"/>
    </row>
    <row r="1640" spans="1:6" x14ac:dyDescent="0.2">
      <c r="A1640" s="275"/>
      <c r="B1640" s="78"/>
      <c r="C1640" s="189"/>
      <c r="D1640" s="185"/>
      <c r="E1640" s="186"/>
      <c r="F1640" s="187"/>
    </row>
    <row r="1641" spans="1:6" x14ac:dyDescent="0.2">
      <c r="A1641" s="275"/>
      <c r="B1641" s="78"/>
      <c r="C1641" s="189"/>
      <c r="D1641" s="185"/>
      <c r="E1641" s="186"/>
      <c r="F1641" s="187"/>
    </row>
    <row r="1642" spans="1:6" x14ac:dyDescent="0.2">
      <c r="A1642" s="275"/>
      <c r="B1642" s="78"/>
      <c r="C1642" s="189"/>
      <c r="D1642" s="185"/>
      <c r="E1642" s="186"/>
      <c r="F1642" s="187"/>
    </row>
    <row r="1643" spans="1:6" x14ac:dyDescent="0.2">
      <c r="A1643" s="275"/>
      <c r="B1643" s="78"/>
      <c r="C1643" s="189"/>
      <c r="D1643" s="185"/>
      <c r="E1643" s="186"/>
      <c r="F1643" s="187"/>
    </row>
    <row r="1644" spans="1:6" x14ac:dyDescent="0.2">
      <c r="A1644" s="275"/>
      <c r="B1644" s="78"/>
      <c r="C1644" s="189"/>
      <c r="D1644" s="185"/>
      <c r="E1644" s="186"/>
      <c r="F1644" s="187"/>
    </row>
    <row r="1645" spans="1:6" x14ac:dyDescent="0.2">
      <c r="A1645" s="275"/>
      <c r="B1645" s="78"/>
      <c r="C1645" s="189"/>
      <c r="D1645" s="185"/>
      <c r="E1645" s="186"/>
      <c r="F1645" s="187"/>
    </row>
    <row r="1646" spans="1:6" x14ac:dyDescent="0.2">
      <c r="A1646" s="275"/>
      <c r="B1646" s="78"/>
      <c r="C1646" s="189"/>
      <c r="D1646" s="185"/>
      <c r="E1646" s="186"/>
      <c r="F1646" s="187"/>
    </row>
    <row r="1647" spans="1:6" x14ac:dyDescent="0.2">
      <c r="A1647" s="275"/>
      <c r="B1647" s="78"/>
      <c r="C1647" s="189"/>
      <c r="D1647" s="185"/>
      <c r="E1647" s="186"/>
      <c r="F1647" s="187"/>
    </row>
    <row r="1648" spans="1:6" x14ac:dyDescent="0.2">
      <c r="A1648" s="275"/>
      <c r="B1648" s="78"/>
      <c r="C1648" s="189"/>
      <c r="D1648" s="185"/>
      <c r="E1648" s="186"/>
      <c r="F1648" s="187"/>
    </row>
    <row r="1649" spans="1:6" x14ac:dyDescent="0.2">
      <c r="A1649" s="275"/>
      <c r="B1649" s="78"/>
      <c r="C1649" s="189"/>
      <c r="D1649" s="185"/>
      <c r="E1649" s="186"/>
      <c r="F1649" s="187"/>
    </row>
    <row r="1650" spans="1:6" x14ac:dyDescent="0.2">
      <c r="A1650" s="275"/>
      <c r="B1650" s="78"/>
      <c r="C1650" s="189"/>
      <c r="D1650" s="185"/>
      <c r="E1650" s="186"/>
      <c r="F1650" s="187"/>
    </row>
    <row r="1651" spans="1:6" x14ac:dyDescent="0.2">
      <c r="A1651" s="275"/>
      <c r="B1651" s="78"/>
      <c r="C1651" s="189"/>
      <c r="D1651" s="185"/>
      <c r="E1651" s="186"/>
      <c r="F1651" s="187"/>
    </row>
    <row r="1652" spans="1:6" x14ac:dyDescent="0.2">
      <c r="A1652" s="275"/>
      <c r="B1652" s="78"/>
      <c r="C1652" s="189"/>
      <c r="D1652" s="185"/>
      <c r="E1652" s="186"/>
      <c r="F1652" s="187"/>
    </row>
    <row r="1653" spans="1:6" x14ac:dyDescent="0.2">
      <c r="A1653" s="275"/>
      <c r="B1653" s="78"/>
      <c r="C1653" s="189"/>
      <c r="D1653" s="185"/>
      <c r="E1653" s="186"/>
      <c r="F1653" s="187"/>
    </row>
    <row r="1654" spans="1:6" x14ac:dyDescent="0.2">
      <c r="A1654" s="275"/>
      <c r="B1654" s="78"/>
      <c r="C1654" s="189"/>
      <c r="D1654" s="185"/>
      <c r="E1654" s="186"/>
      <c r="F1654" s="187"/>
    </row>
    <row r="1655" spans="1:6" x14ac:dyDescent="0.2">
      <c r="A1655" s="275"/>
      <c r="B1655" s="78"/>
      <c r="C1655" s="189"/>
      <c r="D1655" s="185"/>
      <c r="E1655" s="186"/>
      <c r="F1655" s="187"/>
    </row>
    <row r="1656" spans="1:6" x14ac:dyDescent="0.2">
      <c r="A1656" s="275"/>
      <c r="B1656" s="78"/>
      <c r="C1656" s="189"/>
      <c r="D1656" s="185"/>
      <c r="E1656" s="186"/>
      <c r="F1656" s="187"/>
    </row>
    <row r="1657" spans="1:6" x14ac:dyDescent="0.2">
      <c r="A1657" s="275"/>
      <c r="B1657" s="78"/>
      <c r="C1657" s="189"/>
      <c r="D1657" s="185"/>
      <c r="E1657" s="186"/>
      <c r="F1657" s="187"/>
    </row>
    <row r="1658" spans="1:6" x14ac:dyDescent="0.2">
      <c r="A1658" s="275"/>
      <c r="B1658" s="78"/>
      <c r="C1658" s="189"/>
      <c r="D1658" s="185"/>
      <c r="E1658" s="186"/>
      <c r="F1658" s="187"/>
    </row>
    <row r="1659" spans="1:6" x14ac:dyDescent="0.2">
      <c r="A1659" s="275"/>
      <c r="B1659" s="78"/>
      <c r="C1659" s="189"/>
      <c r="D1659" s="185"/>
      <c r="E1659" s="186"/>
      <c r="F1659" s="187"/>
    </row>
    <row r="1660" spans="1:6" x14ac:dyDescent="0.2">
      <c r="A1660" s="275"/>
      <c r="B1660" s="78"/>
      <c r="C1660" s="189"/>
      <c r="D1660" s="185"/>
      <c r="E1660" s="186"/>
      <c r="F1660" s="187"/>
    </row>
    <row r="1661" spans="1:6" x14ac:dyDescent="0.2">
      <c r="A1661" s="275"/>
      <c r="B1661" s="78"/>
      <c r="C1661" s="189"/>
      <c r="D1661" s="185"/>
      <c r="E1661" s="186"/>
      <c r="F1661" s="187"/>
    </row>
    <row r="1662" spans="1:6" x14ac:dyDescent="0.2">
      <c r="A1662" s="275"/>
      <c r="B1662" s="78"/>
      <c r="C1662" s="189"/>
      <c r="D1662" s="185"/>
      <c r="E1662" s="186"/>
      <c r="F1662" s="187"/>
    </row>
    <row r="1663" spans="1:6" x14ac:dyDescent="0.2">
      <c r="A1663" s="275"/>
      <c r="B1663" s="78"/>
      <c r="C1663" s="189"/>
      <c r="D1663" s="185"/>
      <c r="E1663" s="186"/>
      <c r="F1663" s="187"/>
    </row>
    <row r="1664" spans="1:6" x14ac:dyDescent="0.2">
      <c r="A1664" s="275"/>
      <c r="B1664" s="78"/>
      <c r="C1664" s="189"/>
      <c r="D1664" s="185"/>
      <c r="E1664" s="186"/>
      <c r="F1664" s="187"/>
    </row>
    <row r="1665" spans="1:6" x14ac:dyDescent="0.2">
      <c r="A1665" s="275"/>
      <c r="B1665" s="78"/>
      <c r="C1665" s="189"/>
      <c r="D1665" s="185"/>
      <c r="E1665" s="186"/>
      <c r="F1665" s="187"/>
    </row>
    <row r="1666" spans="1:6" x14ac:dyDescent="0.2">
      <c r="A1666" s="275"/>
      <c r="B1666" s="78"/>
      <c r="C1666" s="189"/>
      <c r="D1666" s="185"/>
      <c r="E1666" s="186"/>
      <c r="F1666" s="187"/>
    </row>
    <row r="1667" spans="1:6" x14ac:dyDescent="0.2">
      <c r="A1667" s="275"/>
      <c r="B1667" s="78"/>
      <c r="C1667" s="189"/>
      <c r="D1667" s="185"/>
      <c r="E1667" s="186"/>
      <c r="F1667" s="187"/>
    </row>
    <row r="1668" spans="1:6" x14ac:dyDescent="0.2">
      <c r="A1668" s="275"/>
      <c r="B1668" s="78"/>
      <c r="C1668" s="189"/>
      <c r="D1668" s="185"/>
      <c r="E1668" s="186"/>
      <c r="F1668" s="187"/>
    </row>
    <row r="1669" spans="1:6" x14ac:dyDescent="0.2">
      <c r="A1669" s="275"/>
      <c r="B1669" s="78"/>
      <c r="C1669" s="189"/>
      <c r="D1669" s="185"/>
      <c r="E1669" s="186"/>
      <c r="F1669" s="187"/>
    </row>
    <row r="1670" spans="1:6" x14ac:dyDescent="0.2">
      <c r="A1670" s="275"/>
      <c r="B1670" s="78"/>
      <c r="C1670" s="189"/>
      <c r="D1670" s="185"/>
      <c r="E1670" s="186"/>
      <c r="F1670" s="187"/>
    </row>
    <row r="1671" spans="1:6" x14ac:dyDescent="0.2">
      <c r="A1671" s="275"/>
      <c r="B1671" s="78"/>
      <c r="C1671" s="189"/>
      <c r="D1671" s="185"/>
      <c r="E1671" s="186"/>
      <c r="F1671" s="187"/>
    </row>
    <row r="1672" spans="1:6" x14ac:dyDescent="0.2">
      <c r="A1672" s="275"/>
      <c r="B1672" s="78"/>
      <c r="C1672" s="189"/>
      <c r="D1672" s="185"/>
      <c r="E1672" s="186"/>
      <c r="F1672" s="187"/>
    </row>
    <row r="1673" spans="1:6" x14ac:dyDescent="0.2">
      <c r="A1673" s="275"/>
      <c r="B1673" s="78"/>
      <c r="C1673" s="189"/>
      <c r="D1673" s="185"/>
      <c r="E1673" s="186"/>
      <c r="F1673" s="187"/>
    </row>
    <row r="1674" spans="1:6" x14ac:dyDescent="0.2">
      <c r="A1674" s="275"/>
      <c r="B1674" s="78"/>
      <c r="C1674" s="189"/>
      <c r="D1674" s="185"/>
      <c r="E1674" s="186"/>
      <c r="F1674" s="187"/>
    </row>
    <row r="1675" spans="1:6" x14ac:dyDescent="0.2">
      <c r="A1675" s="275"/>
      <c r="B1675" s="78"/>
      <c r="C1675" s="189"/>
      <c r="D1675" s="185"/>
      <c r="E1675" s="186"/>
      <c r="F1675" s="187"/>
    </row>
    <row r="1676" spans="1:6" x14ac:dyDescent="0.2">
      <c r="A1676" s="275"/>
      <c r="B1676" s="78"/>
      <c r="C1676" s="189"/>
      <c r="D1676" s="185"/>
      <c r="E1676" s="186"/>
      <c r="F1676" s="187"/>
    </row>
    <row r="1677" spans="1:6" x14ac:dyDescent="0.2">
      <c r="A1677" s="275"/>
      <c r="B1677" s="78"/>
      <c r="C1677" s="189"/>
      <c r="D1677" s="185"/>
      <c r="E1677" s="186"/>
      <c r="F1677" s="187"/>
    </row>
    <row r="1678" spans="1:6" x14ac:dyDescent="0.2">
      <c r="A1678" s="275"/>
      <c r="B1678" s="78"/>
      <c r="C1678" s="189"/>
      <c r="D1678" s="185"/>
      <c r="E1678" s="186"/>
      <c r="F1678" s="187"/>
    </row>
    <row r="1679" spans="1:6" x14ac:dyDescent="0.2">
      <c r="A1679" s="275"/>
      <c r="B1679" s="78"/>
      <c r="C1679" s="189"/>
      <c r="D1679" s="185"/>
      <c r="E1679" s="186"/>
      <c r="F1679" s="187"/>
    </row>
    <row r="1680" spans="1:6" x14ac:dyDescent="0.2">
      <c r="A1680" s="275"/>
      <c r="B1680" s="78"/>
      <c r="C1680" s="189"/>
      <c r="D1680" s="185"/>
      <c r="E1680" s="186"/>
      <c r="F1680" s="187"/>
    </row>
    <row r="1681" spans="1:6" x14ac:dyDescent="0.2">
      <c r="A1681" s="275"/>
      <c r="B1681" s="78"/>
      <c r="C1681" s="189"/>
      <c r="D1681" s="185"/>
      <c r="E1681" s="186"/>
      <c r="F1681" s="187"/>
    </row>
    <row r="1682" spans="1:6" x14ac:dyDescent="0.2">
      <c r="A1682" s="275"/>
      <c r="B1682" s="78"/>
      <c r="C1682" s="189"/>
      <c r="D1682" s="185"/>
      <c r="E1682" s="186"/>
      <c r="F1682" s="187"/>
    </row>
    <row r="1683" spans="1:6" x14ac:dyDescent="0.2">
      <c r="A1683" s="275"/>
      <c r="B1683" s="78"/>
      <c r="C1683" s="189"/>
      <c r="D1683" s="185"/>
      <c r="E1683" s="186"/>
      <c r="F1683" s="187"/>
    </row>
    <row r="1684" spans="1:6" x14ac:dyDescent="0.2">
      <c r="A1684" s="275"/>
      <c r="B1684" s="78"/>
      <c r="C1684" s="189"/>
      <c r="D1684" s="185"/>
      <c r="E1684" s="186"/>
      <c r="F1684" s="187"/>
    </row>
    <row r="1685" spans="1:6" x14ac:dyDescent="0.2">
      <c r="A1685" s="275"/>
      <c r="B1685" s="78"/>
      <c r="C1685" s="189"/>
      <c r="D1685" s="185"/>
      <c r="E1685" s="186"/>
      <c r="F1685" s="187"/>
    </row>
    <row r="1686" spans="1:6" x14ac:dyDescent="0.2">
      <c r="A1686" s="275"/>
      <c r="B1686" s="78"/>
      <c r="C1686" s="189"/>
      <c r="D1686" s="185"/>
      <c r="E1686" s="186"/>
      <c r="F1686" s="187"/>
    </row>
    <row r="1687" spans="1:6" x14ac:dyDescent="0.2">
      <c r="A1687" s="275"/>
      <c r="B1687" s="78"/>
      <c r="C1687" s="189"/>
      <c r="D1687" s="185"/>
      <c r="E1687" s="186"/>
      <c r="F1687" s="187"/>
    </row>
    <row r="1688" spans="1:6" x14ac:dyDescent="0.2">
      <c r="A1688" s="275"/>
      <c r="B1688" s="78"/>
      <c r="C1688" s="189"/>
      <c r="D1688" s="185"/>
      <c r="E1688" s="186"/>
      <c r="F1688" s="187"/>
    </row>
    <row r="1689" spans="1:6" x14ac:dyDescent="0.2">
      <c r="A1689" s="275"/>
      <c r="B1689" s="78"/>
      <c r="C1689" s="189"/>
      <c r="D1689" s="185"/>
      <c r="E1689" s="186"/>
      <c r="F1689" s="187"/>
    </row>
    <row r="1690" spans="1:6" x14ac:dyDescent="0.2">
      <c r="A1690" s="275"/>
      <c r="B1690" s="78"/>
      <c r="C1690" s="189"/>
      <c r="D1690" s="185"/>
      <c r="E1690" s="186"/>
      <c r="F1690" s="187"/>
    </row>
    <row r="1691" spans="1:6" x14ac:dyDescent="0.2">
      <c r="A1691" s="275"/>
      <c r="B1691" s="78"/>
      <c r="C1691" s="189"/>
      <c r="D1691" s="185"/>
      <c r="E1691" s="186"/>
      <c r="F1691" s="187"/>
    </row>
    <row r="1692" spans="1:6" x14ac:dyDescent="0.2">
      <c r="A1692" s="275"/>
      <c r="B1692" s="78"/>
      <c r="C1692" s="189"/>
      <c r="D1692" s="185"/>
      <c r="E1692" s="186"/>
      <c r="F1692" s="187"/>
    </row>
    <row r="1693" spans="1:6" x14ac:dyDescent="0.2">
      <c r="A1693" s="275"/>
      <c r="B1693" s="78"/>
      <c r="C1693" s="189"/>
      <c r="D1693" s="185"/>
      <c r="E1693" s="186"/>
      <c r="F1693" s="187"/>
    </row>
    <row r="1694" spans="1:6" x14ac:dyDescent="0.2">
      <c r="A1694" s="275"/>
      <c r="B1694" s="78"/>
      <c r="C1694" s="189"/>
      <c r="D1694" s="185"/>
      <c r="E1694" s="186"/>
      <c r="F1694" s="187"/>
    </row>
    <row r="1695" spans="1:6" x14ac:dyDescent="0.2">
      <c r="A1695" s="275"/>
      <c r="B1695" s="78"/>
      <c r="C1695" s="189"/>
      <c r="D1695" s="185"/>
      <c r="E1695" s="186"/>
      <c r="F1695" s="187"/>
    </row>
    <row r="1696" spans="1:6" x14ac:dyDescent="0.2">
      <c r="A1696" s="275"/>
      <c r="B1696" s="78"/>
      <c r="C1696" s="189"/>
      <c r="D1696" s="185"/>
      <c r="E1696" s="186"/>
      <c r="F1696" s="187"/>
    </row>
    <row r="1697" spans="1:6" x14ac:dyDescent="0.2">
      <c r="A1697" s="275"/>
      <c r="B1697" s="78"/>
      <c r="C1697" s="189"/>
      <c r="D1697" s="185"/>
      <c r="E1697" s="186"/>
      <c r="F1697" s="187"/>
    </row>
    <row r="1698" spans="1:6" x14ac:dyDescent="0.2">
      <c r="A1698" s="275"/>
      <c r="B1698" s="78"/>
      <c r="C1698" s="189"/>
      <c r="D1698" s="185"/>
      <c r="E1698" s="186"/>
      <c r="F1698" s="187"/>
    </row>
    <row r="1699" spans="1:6" x14ac:dyDescent="0.2">
      <c r="A1699" s="275"/>
      <c r="B1699" s="78"/>
      <c r="C1699" s="189"/>
      <c r="D1699" s="185"/>
      <c r="E1699" s="186"/>
      <c r="F1699" s="187"/>
    </row>
    <row r="1700" spans="1:6" x14ac:dyDescent="0.2">
      <c r="A1700" s="275"/>
      <c r="B1700" s="78"/>
      <c r="C1700" s="189"/>
      <c r="D1700" s="185"/>
      <c r="E1700" s="186"/>
      <c r="F1700" s="187"/>
    </row>
    <row r="1701" spans="1:6" x14ac:dyDescent="0.2">
      <c r="A1701" s="275"/>
      <c r="B1701" s="78"/>
      <c r="C1701" s="189"/>
      <c r="D1701" s="185"/>
      <c r="E1701" s="186"/>
      <c r="F1701" s="187"/>
    </row>
    <row r="1702" spans="1:6" x14ac:dyDescent="0.2">
      <c r="A1702" s="275"/>
      <c r="B1702" s="78"/>
      <c r="C1702" s="189"/>
      <c r="D1702" s="185"/>
      <c r="E1702" s="186"/>
      <c r="F1702" s="187"/>
    </row>
    <row r="1703" spans="1:6" x14ac:dyDescent="0.2">
      <c r="A1703" s="275"/>
      <c r="B1703" s="78"/>
      <c r="C1703" s="189"/>
      <c r="D1703" s="185"/>
      <c r="E1703" s="186"/>
      <c r="F1703" s="187"/>
    </row>
    <row r="1704" spans="1:6" x14ac:dyDescent="0.2">
      <c r="A1704" s="275"/>
      <c r="B1704" s="78"/>
      <c r="C1704" s="189"/>
      <c r="D1704" s="185"/>
      <c r="E1704" s="186"/>
      <c r="F1704" s="187"/>
    </row>
    <row r="1705" spans="1:6" x14ac:dyDescent="0.2">
      <c r="A1705" s="275"/>
      <c r="B1705" s="78"/>
      <c r="C1705" s="189"/>
      <c r="D1705" s="185"/>
      <c r="E1705" s="186"/>
      <c r="F1705" s="187"/>
    </row>
    <row r="1706" spans="1:6" x14ac:dyDescent="0.2">
      <c r="A1706" s="275"/>
      <c r="B1706" s="78"/>
      <c r="C1706" s="189"/>
      <c r="D1706" s="185"/>
      <c r="E1706" s="186"/>
      <c r="F1706" s="187"/>
    </row>
    <row r="1707" spans="1:6" x14ac:dyDescent="0.2">
      <c r="A1707" s="275"/>
      <c r="B1707" s="78"/>
      <c r="C1707" s="189"/>
      <c r="D1707" s="185"/>
      <c r="E1707" s="186"/>
      <c r="F1707" s="187"/>
    </row>
    <row r="1708" spans="1:6" x14ac:dyDescent="0.2">
      <c r="A1708" s="275"/>
      <c r="B1708" s="78"/>
      <c r="C1708" s="189"/>
      <c r="D1708" s="185"/>
      <c r="E1708" s="186"/>
      <c r="F1708" s="187"/>
    </row>
    <row r="1709" spans="1:6" x14ac:dyDescent="0.2">
      <c r="A1709" s="275"/>
      <c r="B1709" s="78"/>
      <c r="C1709" s="189"/>
      <c r="D1709" s="185"/>
      <c r="E1709" s="186"/>
      <c r="F1709" s="187"/>
    </row>
    <row r="1710" spans="1:6" x14ac:dyDescent="0.2">
      <c r="A1710" s="275"/>
      <c r="B1710" s="78"/>
      <c r="C1710" s="189"/>
      <c r="D1710" s="185"/>
      <c r="E1710" s="186"/>
      <c r="F1710" s="187"/>
    </row>
    <row r="1711" spans="1:6" x14ac:dyDescent="0.2">
      <c r="A1711" s="275"/>
      <c r="B1711" s="78"/>
      <c r="C1711" s="189"/>
      <c r="D1711" s="185"/>
      <c r="E1711" s="186"/>
      <c r="F1711" s="187"/>
    </row>
    <row r="1712" spans="1:6" x14ac:dyDescent="0.2">
      <c r="A1712" s="275"/>
      <c r="B1712" s="78"/>
      <c r="C1712" s="189"/>
      <c r="D1712" s="185"/>
      <c r="E1712" s="186"/>
      <c r="F1712" s="187"/>
    </row>
    <row r="1713" spans="1:6" x14ac:dyDescent="0.2">
      <c r="A1713" s="275"/>
      <c r="B1713" s="78"/>
      <c r="C1713" s="189"/>
      <c r="D1713" s="185"/>
      <c r="E1713" s="186"/>
      <c r="F1713" s="187"/>
    </row>
    <row r="1714" spans="1:6" x14ac:dyDescent="0.2">
      <c r="A1714" s="275"/>
      <c r="B1714" s="78"/>
      <c r="C1714" s="189"/>
      <c r="D1714" s="185"/>
      <c r="E1714" s="186"/>
      <c r="F1714" s="187"/>
    </row>
    <row r="1715" spans="1:6" x14ac:dyDescent="0.2">
      <c r="A1715" s="275"/>
      <c r="B1715" s="78"/>
      <c r="C1715" s="189"/>
      <c r="D1715" s="185"/>
      <c r="E1715" s="186"/>
      <c r="F1715" s="187"/>
    </row>
    <row r="1716" spans="1:6" x14ac:dyDescent="0.2">
      <c r="A1716" s="275"/>
      <c r="B1716" s="78"/>
      <c r="C1716" s="189"/>
      <c r="D1716" s="185"/>
      <c r="E1716" s="186"/>
      <c r="F1716" s="187"/>
    </row>
    <row r="1717" spans="1:6" x14ac:dyDescent="0.2">
      <c r="A1717" s="275"/>
      <c r="B1717" s="78"/>
      <c r="C1717" s="189"/>
      <c r="D1717" s="185"/>
      <c r="E1717" s="186"/>
      <c r="F1717" s="187"/>
    </row>
    <row r="1718" spans="1:6" x14ac:dyDescent="0.2">
      <c r="A1718" s="275"/>
      <c r="B1718" s="78"/>
      <c r="C1718" s="189"/>
      <c r="D1718" s="185"/>
      <c r="E1718" s="186"/>
      <c r="F1718" s="187"/>
    </row>
    <row r="1719" spans="1:6" x14ac:dyDescent="0.2">
      <c r="A1719" s="275"/>
      <c r="B1719" s="78"/>
      <c r="C1719" s="189"/>
      <c r="D1719" s="185"/>
      <c r="E1719" s="186"/>
      <c r="F1719" s="187"/>
    </row>
    <row r="1720" spans="1:6" x14ac:dyDescent="0.2">
      <c r="A1720" s="275"/>
      <c r="B1720" s="78"/>
      <c r="C1720" s="189"/>
      <c r="D1720" s="185"/>
      <c r="E1720" s="186"/>
      <c r="F1720" s="187"/>
    </row>
    <row r="1721" spans="1:6" x14ac:dyDescent="0.2">
      <c r="A1721" s="275"/>
      <c r="B1721" s="78"/>
      <c r="C1721" s="189"/>
      <c r="D1721" s="185"/>
      <c r="E1721" s="186"/>
      <c r="F1721" s="187"/>
    </row>
    <row r="1722" spans="1:6" x14ac:dyDescent="0.2">
      <c r="A1722" s="275"/>
      <c r="B1722" s="78"/>
      <c r="C1722" s="189"/>
      <c r="D1722" s="185"/>
      <c r="E1722" s="186"/>
      <c r="F1722" s="187"/>
    </row>
    <row r="1723" spans="1:6" x14ac:dyDescent="0.2">
      <c r="A1723" s="275"/>
      <c r="B1723" s="78"/>
      <c r="C1723" s="189"/>
      <c r="D1723" s="185"/>
      <c r="E1723" s="186"/>
      <c r="F1723" s="187"/>
    </row>
    <row r="1724" spans="1:6" x14ac:dyDescent="0.2">
      <c r="A1724" s="275"/>
      <c r="B1724" s="78"/>
      <c r="C1724" s="189"/>
      <c r="D1724" s="185"/>
      <c r="E1724" s="186"/>
      <c r="F1724" s="187"/>
    </row>
    <row r="1725" spans="1:6" x14ac:dyDescent="0.2">
      <c r="A1725" s="275"/>
      <c r="B1725" s="78"/>
      <c r="C1725" s="189"/>
      <c r="D1725" s="185"/>
      <c r="E1725" s="186"/>
      <c r="F1725" s="187"/>
    </row>
    <row r="1726" spans="1:6" x14ac:dyDescent="0.2">
      <c r="A1726" s="275"/>
      <c r="B1726" s="78"/>
      <c r="C1726" s="189"/>
      <c r="D1726" s="185"/>
      <c r="E1726" s="186"/>
      <c r="F1726" s="187"/>
    </row>
    <row r="1727" spans="1:6" x14ac:dyDescent="0.2">
      <c r="A1727" s="275"/>
      <c r="B1727" s="78"/>
      <c r="C1727" s="189"/>
      <c r="D1727" s="185"/>
      <c r="E1727" s="186"/>
      <c r="F1727" s="187"/>
    </row>
    <row r="1728" spans="1:6" x14ac:dyDescent="0.2">
      <c r="A1728" s="275"/>
      <c r="B1728" s="78"/>
      <c r="C1728" s="189"/>
      <c r="D1728" s="185"/>
      <c r="E1728" s="186"/>
      <c r="F1728" s="187"/>
    </row>
    <row r="1729" spans="1:6" x14ac:dyDescent="0.2">
      <c r="A1729" s="275"/>
      <c r="B1729" s="78"/>
      <c r="C1729" s="189"/>
      <c r="D1729" s="185"/>
      <c r="E1729" s="186"/>
      <c r="F1729" s="187"/>
    </row>
    <row r="1730" spans="1:6" x14ac:dyDescent="0.2">
      <c r="A1730" s="275"/>
      <c r="B1730" s="78"/>
      <c r="C1730" s="189"/>
      <c r="D1730" s="185"/>
      <c r="E1730" s="186"/>
      <c r="F1730" s="187"/>
    </row>
    <row r="1731" spans="1:6" x14ac:dyDescent="0.2">
      <c r="A1731" s="275"/>
      <c r="B1731" s="78"/>
      <c r="C1731" s="189"/>
      <c r="D1731" s="185"/>
      <c r="E1731" s="186"/>
      <c r="F1731" s="187"/>
    </row>
    <row r="1732" spans="1:6" x14ac:dyDescent="0.2">
      <c r="A1732" s="275"/>
      <c r="B1732" s="78"/>
      <c r="C1732" s="189"/>
      <c r="D1732" s="185"/>
      <c r="E1732" s="186"/>
      <c r="F1732" s="187"/>
    </row>
    <row r="1733" spans="1:6" x14ac:dyDescent="0.2">
      <c r="A1733" s="275"/>
      <c r="B1733" s="78"/>
      <c r="C1733" s="189"/>
      <c r="D1733" s="185"/>
      <c r="E1733" s="186"/>
      <c r="F1733" s="187"/>
    </row>
    <row r="1734" spans="1:6" x14ac:dyDescent="0.2">
      <c r="A1734" s="275"/>
      <c r="B1734" s="78"/>
      <c r="C1734" s="189"/>
      <c r="D1734" s="185"/>
      <c r="E1734" s="186"/>
      <c r="F1734" s="187"/>
    </row>
    <row r="1735" spans="1:6" x14ac:dyDescent="0.2">
      <c r="A1735" s="275"/>
      <c r="B1735" s="78"/>
      <c r="C1735" s="189"/>
      <c r="D1735" s="185"/>
      <c r="E1735" s="186"/>
      <c r="F1735" s="187"/>
    </row>
    <row r="1736" spans="1:6" x14ac:dyDescent="0.2">
      <c r="A1736" s="275"/>
      <c r="B1736" s="78"/>
      <c r="C1736" s="189"/>
      <c r="D1736" s="185"/>
      <c r="E1736" s="186"/>
      <c r="F1736" s="187"/>
    </row>
    <row r="1737" spans="1:6" x14ac:dyDescent="0.2">
      <c r="A1737" s="275"/>
      <c r="B1737" s="78"/>
      <c r="C1737" s="189"/>
      <c r="D1737" s="185"/>
      <c r="E1737" s="186"/>
      <c r="F1737" s="187"/>
    </row>
    <row r="1738" spans="1:6" x14ac:dyDescent="0.2">
      <c r="A1738" s="275"/>
      <c r="B1738" s="78"/>
      <c r="C1738" s="189"/>
      <c r="D1738" s="185"/>
      <c r="E1738" s="186"/>
      <c r="F1738" s="187"/>
    </row>
    <row r="1739" spans="1:6" x14ac:dyDescent="0.2">
      <c r="A1739" s="275"/>
      <c r="B1739" s="78"/>
      <c r="C1739" s="189"/>
      <c r="D1739" s="185"/>
      <c r="E1739" s="186"/>
      <c r="F1739" s="187"/>
    </row>
    <row r="1740" spans="1:6" x14ac:dyDescent="0.2">
      <c r="A1740" s="275"/>
      <c r="B1740" s="78"/>
      <c r="C1740" s="189"/>
      <c r="D1740" s="185"/>
      <c r="E1740" s="186"/>
      <c r="F1740" s="187"/>
    </row>
    <row r="1741" spans="1:6" x14ac:dyDescent="0.2">
      <c r="A1741" s="275"/>
      <c r="B1741" s="78"/>
      <c r="C1741" s="189"/>
      <c r="D1741" s="185"/>
      <c r="E1741" s="186"/>
      <c r="F1741" s="187"/>
    </row>
    <row r="1742" spans="1:6" x14ac:dyDescent="0.2">
      <c r="A1742" s="275"/>
      <c r="B1742" s="78"/>
      <c r="C1742" s="189"/>
      <c r="D1742" s="185"/>
      <c r="E1742" s="186"/>
      <c r="F1742" s="187"/>
    </row>
    <row r="1743" spans="1:6" x14ac:dyDescent="0.2">
      <c r="A1743" s="275"/>
      <c r="B1743" s="78"/>
      <c r="C1743" s="189"/>
      <c r="D1743" s="185"/>
      <c r="E1743" s="186"/>
      <c r="F1743" s="187"/>
    </row>
    <row r="1744" spans="1:6" x14ac:dyDescent="0.2">
      <c r="A1744" s="275"/>
      <c r="B1744" s="78"/>
      <c r="C1744" s="189"/>
      <c r="D1744" s="185"/>
      <c r="E1744" s="186"/>
      <c r="F1744" s="187"/>
    </row>
    <row r="1745" spans="1:6" x14ac:dyDescent="0.2">
      <c r="A1745" s="275"/>
      <c r="B1745" s="78"/>
      <c r="C1745" s="189"/>
      <c r="D1745" s="185"/>
      <c r="E1745" s="186"/>
      <c r="F1745" s="187"/>
    </row>
    <row r="1746" spans="1:6" x14ac:dyDescent="0.2">
      <c r="A1746" s="275"/>
      <c r="B1746" s="78"/>
      <c r="C1746" s="189"/>
      <c r="D1746" s="185"/>
      <c r="E1746" s="186"/>
      <c r="F1746" s="187"/>
    </row>
    <row r="1747" spans="1:6" x14ac:dyDescent="0.2">
      <c r="A1747" s="275"/>
      <c r="B1747" s="78"/>
      <c r="C1747" s="189"/>
      <c r="D1747" s="185"/>
      <c r="E1747" s="186"/>
      <c r="F1747" s="187"/>
    </row>
    <row r="1748" spans="1:6" x14ac:dyDescent="0.2">
      <c r="A1748" s="275"/>
      <c r="B1748" s="78"/>
      <c r="C1748" s="189"/>
      <c r="D1748" s="185"/>
      <c r="E1748" s="186"/>
      <c r="F1748" s="187"/>
    </row>
    <row r="1749" spans="1:6" x14ac:dyDescent="0.2">
      <c r="A1749" s="275"/>
      <c r="B1749" s="78"/>
      <c r="C1749" s="189"/>
      <c r="D1749" s="185"/>
      <c r="E1749" s="186"/>
      <c r="F1749" s="187"/>
    </row>
    <row r="1750" spans="1:6" x14ac:dyDescent="0.2">
      <c r="A1750" s="275"/>
      <c r="B1750" s="78"/>
      <c r="C1750" s="189"/>
      <c r="D1750" s="185"/>
      <c r="E1750" s="186"/>
      <c r="F1750" s="187"/>
    </row>
    <row r="1751" spans="1:6" x14ac:dyDescent="0.2">
      <c r="A1751" s="275"/>
      <c r="B1751" s="78"/>
      <c r="C1751" s="189"/>
      <c r="D1751" s="185"/>
      <c r="E1751" s="186"/>
      <c r="F1751" s="187"/>
    </row>
    <row r="1752" spans="1:6" x14ac:dyDescent="0.2">
      <c r="A1752" s="275"/>
      <c r="B1752" s="78"/>
      <c r="C1752" s="189"/>
      <c r="D1752" s="185"/>
      <c r="E1752" s="186"/>
      <c r="F1752" s="187"/>
    </row>
    <row r="1753" spans="1:6" x14ac:dyDescent="0.2">
      <c r="A1753" s="275"/>
      <c r="B1753" s="78"/>
      <c r="C1753" s="189"/>
      <c r="D1753" s="185"/>
      <c r="E1753" s="186"/>
      <c r="F1753" s="187"/>
    </row>
    <row r="1754" spans="1:6" x14ac:dyDescent="0.2">
      <c r="A1754" s="275"/>
      <c r="B1754" s="78"/>
      <c r="C1754" s="189"/>
      <c r="D1754" s="185"/>
      <c r="E1754" s="186"/>
      <c r="F1754" s="187"/>
    </row>
    <row r="1755" spans="1:6" x14ac:dyDescent="0.2">
      <c r="A1755" s="275"/>
      <c r="B1755" s="78"/>
      <c r="C1755" s="189"/>
      <c r="D1755" s="185"/>
      <c r="E1755" s="186"/>
      <c r="F1755" s="187"/>
    </row>
    <row r="1756" spans="1:6" x14ac:dyDescent="0.2">
      <c r="A1756" s="275"/>
      <c r="B1756" s="78"/>
      <c r="C1756" s="189"/>
      <c r="D1756" s="185"/>
      <c r="E1756" s="186"/>
      <c r="F1756" s="187"/>
    </row>
    <row r="1757" spans="1:6" x14ac:dyDescent="0.2">
      <c r="A1757" s="275"/>
      <c r="B1757" s="78"/>
      <c r="C1757" s="189"/>
      <c r="D1757" s="185"/>
      <c r="E1757" s="186"/>
      <c r="F1757" s="187"/>
    </row>
    <row r="1758" spans="1:6" x14ac:dyDescent="0.2">
      <c r="A1758" s="275"/>
      <c r="B1758" s="78"/>
      <c r="C1758" s="189"/>
      <c r="D1758" s="185"/>
      <c r="E1758" s="186"/>
      <c r="F1758" s="187"/>
    </row>
    <row r="1759" spans="1:6" x14ac:dyDescent="0.2">
      <c r="A1759" s="275"/>
      <c r="B1759" s="78"/>
      <c r="C1759" s="189"/>
      <c r="D1759" s="185"/>
      <c r="E1759" s="186"/>
      <c r="F1759" s="187"/>
    </row>
    <row r="1760" spans="1:6" x14ac:dyDescent="0.2">
      <c r="A1760" s="275"/>
      <c r="B1760" s="78"/>
      <c r="C1760" s="189"/>
      <c r="D1760" s="185"/>
      <c r="E1760" s="186"/>
      <c r="F1760" s="187"/>
    </row>
    <row r="1761" spans="1:6" x14ac:dyDescent="0.2">
      <c r="A1761" s="275"/>
      <c r="B1761" s="78"/>
      <c r="C1761" s="189"/>
      <c r="D1761" s="185"/>
      <c r="E1761" s="186"/>
      <c r="F1761" s="187"/>
    </row>
    <row r="1762" spans="1:6" x14ac:dyDescent="0.2">
      <c r="A1762" s="275"/>
      <c r="B1762" s="78"/>
      <c r="C1762" s="189"/>
      <c r="D1762" s="185"/>
      <c r="E1762" s="186"/>
      <c r="F1762" s="187"/>
    </row>
    <row r="1763" spans="1:6" x14ac:dyDescent="0.2">
      <c r="A1763" s="275"/>
      <c r="B1763" s="78"/>
      <c r="C1763" s="189"/>
      <c r="D1763" s="185"/>
      <c r="E1763" s="186"/>
      <c r="F1763" s="187"/>
    </row>
    <row r="1764" spans="1:6" x14ac:dyDescent="0.2">
      <c r="A1764" s="275"/>
      <c r="B1764" s="78"/>
      <c r="C1764" s="189"/>
      <c r="D1764" s="185"/>
      <c r="E1764" s="186"/>
      <c r="F1764" s="187"/>
    </row>
    <row r="1765" spans="1:6" x14ac:dyDescent="0.2">
      <c r="A1765" s="275"/>
      <c r="B1765" s="78"/>
      <c r="C1765" s="189"/>
      <c r="D1765" s="185"/>
      <c r="E1765" s="186"/>
      <c r="F1765" s="187"/>
    </row>
    <row r="1766" spans="1:6" x14ac:dyDescent="0.2">
      <c r="A1766" s="275"/>
      <c r="B1766" s="78"/>
      <c r="C1766" s="189"/>
      <c r="D1766" s="185"/>
      <c r="E1766" s="186"/>
      <c r="F1766" s="187"/>
    </row>
    <row r="1767" spans="1:6" x14ac:dyDescent="0.2">
      <c r="A1767" s="275"/>
      <c r="B1767" s="78"/>
      <c r="C1767" s="189"/>
      <c r="D1767" s="185"/>
      <c r="E1767" s="186"/>
      <c r="F1767" s="187"/>
    </row>
    <row r="1768" spans="1:6" x14ac:dyDescent="0.2">
      <c r="A1768" s="275"/>
      <c r="B1768" s="78"/>
      <c r="C1768" s="189"/>
      <c r="D1768" s="185"/>
      <c r="E1768" s="186"/>
      <c r="F1768" s="187"/>
    </row>
    <row r="1769" spans="1:6" x14ac:dyDescent="0.2">
      <c r="A1769" s="275"/>
      <c r="B1769" s="78"/>
      <c r="C1769" s="189"/>
      <c r="D1769" s="185"/>
      <c r="E1769" s="186"/>
      <c r="F1769" s="187"/>
    </row>
    <row r="1770" spans="1:6" x14ac:dyDescent="0.2">
      <c r="A1770" s="275"/>
      <c r="B1770" s="78"/>
      <c r="C1770" s="189"/>
      <c r="D1770" s="185"/>
      <c r="E1770" s="186"/>
      <c r="F1770" s="187"/>
    </row>
    <row r="1771" spans="1:6" x14ac:dyDescent="0.2">
      <c r="A1771" s="275"/>
      <c r="B1771" s="78"/>
      <c r="C1771" s="189"/>
      <c r="D1771" s="185"/>
      <c r="E1771" s="186"/>
      <c r="F1771" s="187"/>
    </row>
    <row r="1772" spans="1:6" x14ac:dyDescent="0.2">
      <c r="A1772" s="275"/>
      <c r="B1772" s="78"/>
      <c r="C1772" s="189"/>
      <c r="D1772" s="185"/>
      <c r="E1772" s="186"/>
      <c r="F1772" s="187"/>
    </row>
    <row r="1773" spans="1:6" x14ac:dyDescent="0.2">
      <c r="A1773" s="275"/>
      <c r="B1773" s="78"/>
      <c r="C1773" s="189"/>
      <c r="D1773" s="185"/>
      <c r="E1773" s="186"/>
      <c r="F1773" s="187"/>
    </row>
    <row r="1774" spans="1:6" x14ac:dyDescent="0.2">
      <c r="A1774" s="275"/>
      <c r="B1774" s="78"/>
      <c r="C1774" s="189"/>
      <c r="D1774" s="185"/>
      <c r="E1774" s="186"/>
      <c r="F1774" s="187"/>
    </row>
    <row r="1775" spans="1:6" x14ac:dyDescent="0.2">
      <c r="A1775" s="275"/>
      <c r="B1775" s="78"/>
      <c r="C1775" s="189"/>
      <c r="D1775" s="185"/>
      <c r="E1775" s="186"/>
      <c r="F1775" s="187"/>
    </row>
    <row r="1776" spans="1:6" x14ac:dyDescent="0.2">
      <c r="A1776" s="275"/>
      <c r="B1776" s="78"/>
      <c r="C1776" s="189"/>
      <c r="D1776" s="185"/>
      <c r="E1776" s="186"/>
      <c r="F1776" s="187"/>
    </row>
    <row r="1777" spans="1:6" x14ac:dyDescent="0.2">
      <c r="A1777" s="275"/>
      <c r="B1777" s="78"/>
      <c r="C1777" s="189"/>
      <c r="D1777" s="185"/>
      <c r="E1777" s="186"/>
      <c r="F1777" s="187"/>
    </row>
    <row r="1778" spans="1:6" x14ac:dyDescent="0.2">
      <c r="A1778" s="275"/>
      <c r="B1778" s="78"/>
      <c r="C1778" s="189"/>
      <c r="D1778" s="185"/>
      <c r="E1778" s="186"/>
      <c r="F1778" s="187"/>
    </row>
    <row r="1779" spans="1:6" x14ac:dyDescent="0.2">
      <c r="A1779" s="275"/>
      <c r="B1779" s="78"/>
      <c r="C1779" s="189"/>
      <c r="D1779" s="185"/>
      <c r="E1779" s="186"/>
      <c r="F1779" s="187"/>
    </row>
    <row r="1780" spans="1:6" x14ac:dyDescent="0.2">
      <c r="A1780" s="275"/>
      <c r="B1780" s="78"/>
      <c r="C1780" s="189"/>
      <c r="D1780" s="185"/>
      <c r="E1780" s="186"/>
      <c r="F1780" s="187"/>
    </row>
    <row r="1781" spans="1:6" x14ac:dyDescent="0.2">
      <c r="A1781" s="275"/>
      <c r="B1781" s="78"/>
      <c r="C1781" s="189"/>
      <c r="D1781" s="185"/>
      <c r="E1781" s="186"/>
      <c r="F1781" s="187"/>
    </row>
    <row r="1782" spans="1:6" x14ac:dyDescent="0.2">
      <c r="A1782" s="275"/>
      <c r="B1782" s="78"/>
      <c r="C1782" s="189"/>
      <c r="D1782" s="185"/>
      <c r="E1782" s="186"/>
      <c r="F1782" s="187"/>
    </row>
    <row r="1783" spans="1:6" x14ac:dyDescent="0.2">
      <c r="A1783" s="275"/>
      <c r="B1783" s="78"/>
      <c r="C1783" s="189"/>
      <c r="D1783" s="185"/>
      <c r="E1783" s="186"/>
      <c r="F1783" s="187"/>
    </row>
    <row r="1784" spans="1:6" x14ac:dyDescent="0.2">
      <c r="A1784" s="275"/>
      <c r="B1784" s="78"/>
      <c r="C1784" s="189"/>
      <c r="D1784" s="185"/>
      <c r="E1784" s="186"/>
      <c r="F1784" s="187"/>
    </row>
    <row r="1785" spans="1:6" x14ac:dyDescent="0.2">
      <c r="A1785" s="275"/>
      <c r="B1785" s="78"/>
      <c r="C1785" s="189"/>
      <c r="D1785" s="185"/>
      <c r="E1785" s="186"/>
      <c r="F1785" s="187"/>
    </row>
    <row r="1786" spans="1:6" x14ac:dyDescent="0.2">
      <c r="A1786" s="275"/>
      <c r="B1786" s="78"/>
      <c r="C1786" s="189"/>
      <c r="D1786" s="185"/>
      <c r="E1786" s="186"/>
      <c r="F1786" s="187"/>
    </row>
    <row r="1787" spans="1:6" x14ac:dyDescent="0.2">
      <c r="A1787" s="275"/>
      <c r="B1787" s="78"/>
      <c r="C1787" s="189"/>
      <c r="D1787" s="185"/>
      <c r="E1787" s="186"/>
      <c r="F1787" s="187"/>
    </row>
    <row r="1788" spans="1:6" x14ac:dyDescent="0.2">
      <c r="A1788" s="275"/>
      <c r="B1788" s="78"/>
      <c r="C1788" s="189"/>
      <c r="D1788" s="185"/>
      <c r="E1788" s="186"/>
      <c r="F1788" s="187"/>
    </row>
    <row r="1789" spans="1:6" x14ac:dyDescent="0.2">
      <c r="A1789" s="275"/>
      <c r="B1789" s="78"/>
      <c r="C1789" s="189"/>
      <c r="D1789" s="185"/>
      <c r="E1789" s="186"/>
      <c r="F1789" s="187"/>
    </row>
    <row r="1790" spans="1:6" x14ac:dyDescent="0.2">
      <c r="A1790" s="275"/>
      <c r="B1790" s="78"/>
      <c r="C1790" s="189"/>
      <c r="D1790" s="185"/>
      <c r="E1790" s="186"/>
      <c r="F1790" s="187"/>
    </row>
    <row r="1791" spans="1:6" x14ac:dyDescent="0.2">
      <c r="A1791" s="275"/>
      <c r="B1791" s="78"/>
      <c r="C1791" s="189"/>
      <c r="D1791" s="185"/>
      <c r="E1791" s="186"/>
      <c r="F1791" s="187"/>
    </row>
    <row r="1792" spans="1:6" x14ac:dyDescent="0.2">
      <c r="A1792" s="275"/>
      <c r="B1792" s="78"/>
      <c r="C1792" s="189"/>
      <c r="D1792" s="185"/>
      <c r="E1792" s="186"/>
      <c r="F1792" s="187"/>
    </row>
    <row r="1793" spans="1:6" x14ac:dyDescent="0.2">
      <c r="A1793" s="275"/>
      <c r="B1793" s="78"/>
      <c r="C1793" s="189"/>
      <c r="D1793" s="185"/>
      <c r="E1793" s="186"/>
      <c r="F1793" s="187"/>
    </row>
    <row r="1794" spans="1:6" x14ac:dyDescent="0.2">
      <c r="A1794" s="275"/>
      <c r="B1794" s="78"/>
      <c r="C1794" s="189"/>
      <c r="D1794" s="185"/>
      <c r="E1794" s="186"/>
      <c r="F1794" s="187"/>
    </row>
    <row r="1795" spans="1:6" x14ac:dyDescent="0.2">
      <c r="A1795" s="275"/>
      <c r="B1795" s="78"/>
      <c r="C1795" s="189"/>
      <c r="D1795" s="185"/>
      <c r="E1795" s="186"/>
      <c r="F1795" s="187"/>
    </row>
    <row r="1796" spans="1:6" x14ac:dyDescent="0.2">
      <c r="A1796" s="275"/>
      <c r="B1796" s="78"/>
      <c r="C1796" s="189"/>
      <c r="D1796" s="185"/>
      <c r="E1796" s="186"/>
      <c r="F1796" s="187"/>
    </row>
    <row r="1797" spans="1:6" x14ac:dyDescent="0.2">
      <c r="A1797" s="275"/>
      <c r="B1797" s="78"/>
      <c r="C1797" s="189"/>
      <c r="D1797" s="185"/>
      <c r="E1797" s="186"/>
      <c r="F1797" s="187"/>
    </row>
    <row r="1798" spans="1:6" x14ac:dyDescent="0.2">
      <c r="A1798" s="275"/>
      <c r="B1798" s="78"/>
      <c r="C1798" s="189"/>
      <c r="D1798" s="185"/>
      <c r="E1798" s="186"/>
      <c r="F1798" s="187"/>
    </row>
    <row r="1799" spans="1:6" x14ac:dyDescent="0.2">
      <c r="A1799" s="275"/>
      <c r="B1799" s="78"/>
      <c r="C1799" s="189"/>
      <c r="D1799" s="185"/>
      <c r="E1799" s="186"/>
      <c r="F1799" s="187"/>
    </row>
    <row r="1800" spans="1:6" x14ac:dyDescent="0.2">
      <c r="A1800" s="275"/>
      <c r="B1800" s="78"/>
      <c r="C1800" s="189"/>
      <c r="D1800" s="185"/>
      <c r="E1800" s="186"/>
      <c r="F1800" s="187"/>
    </row>
    <row r="1801" spans="1:6" x14ac:dyDescent="0.2">
      <c r="A1801" s="275"/>
      <c r="B1801" s="78"/>
      <c r="C1801" s="189"/>
      <c r="D1801" s="185"/>
      <c r="E1801" s="186"/>
      <c r="F1801" s="187"/>
    </row>
    <row r="1802" spans="1:6" x14ac:dyDescent="0.2">
      <c r="A1802" s="275"/>
      <c r="B1802" s="78"/>
      <c r="C1802" s="189"/>
      <c r="D1802" s="185"/>
      <c r="E1802" s="186"/>
      <c r="F1802" s="187"/>
    </row>
    <row r="1803" spans="1:6" x14ac:dyDescent="0.2">
      <c r="A1803" s="275"/>
      <c r="B1803" s="78"/>
      <c r="C1803" s="189"/>
      <c r="D1803" s="185"/>
      <c r="E1803" s="186"/>
      <c r="F1803" s="187"/>
    </row>
    <row r="1804" spans="1:6" x14ac:dyDescent="0.2">
      <c r="A1804" s="275"/>
      <c r="B1804" s="78"/>
      <c r="C1804" s="189"/>
      <c r="D1804" s="185"/>
      <c r="E1804" s="186"/>
      <c r="F1804" s="187"/>
    </row>
    <row r="1805" spans="1:6" x14ac:dyDescent="0.2">
      <c r="A1805" s="275"/>
      <c r="B1805" s="78"/>
      <c r="C1805" s="189"/>
      <c r="D1805" s="185"/>
      <c r="E1805" s="186"/>
      <c r="F1805" s="187"/>
    </row>
    <row r="1806" spans="1:6" x14ac:dyDescent="0.2">
      <c r="A1806" s="275"/>
      <c r="B1806" s="78"/>
      <c r="C1806" s="189"/>
      <c r="D1806" s="185"/>
      <c r="E1806" s="186"/>
      <c r="F1806" s="187"/>
    </row>
    <row r="1807" spans="1:6" x14ac:dyDescent="0.2">
      <c r="A1807" s="275"/>
      <c r="B1807" s="78"/>
      <c r="C1807" s="189"/>
      <c r="D1807" s="185"/>
      <c r="E1807" s="186"/>
      <c r="F1807" s="187"/>
    </row>
    <row r="1808" spans="1:6" x14ac:dyDescent="0.2">
      <c r="A1808" s="275"/>
      <c r="B1808" s="78"/>
      <c r="C1808" s="189"/>
      <c r="D1808" s="185"/>
      <c r="E1808" s="186"/>
      <c r="F1808" s="187"/>
    </row>
    <row r="1809" spans="1:6" x14ac:dyDescent="0.2">
      <c r="A1809" s="275"/>
      <c r="B1809" s="78"/>
      <c r="C1809" s="189"/>
      <c r="D1809" s="185"/>
      <c r="E1809" s="186"/>
      <c r="F1809" s="187"/>
    </row>
    <row r="1810" spans="1:6" x14ac:dyDescent="0.2">
      <c r="A1810" s="275"/>
      <c r="B1810" s="78"/>
      <c r="C1810" s="189"/>
      <c r="D1810" s="185"/>
      <c r="E1810" s="186"/>
      <c r="F1810" s="187"/>
    </row>
    <row r="1811" spans="1:6" x14ac:dyDescent="0.2">
      <c r="A1811" s="275"/>
      <c r="B1811" s="78"/>
      <c r="C1811" s="189"/>
      <c r="D1811" s="185"/>
      <c r="E1811" s="186"/>
      <c r="F1811" s="187"/>
    </row>
    <row r="1812" spans="1:6" x14ac:dyDescent="0.2">
      <c r="A1812" s="275"/>
      <c r="B1812" s="78"/>
      <c r="C1812" s="189"/>
      <c r="D1812" s="185"/>
      <c r="E1812" s="186"/>
      <c r="F1812" s="187"/>
    </row>
    <row r="1813" spans="1:6" x14ac:dyDescent="0.2">
      <c r="A1813" s="275"/>
      <c r="B1813" s="78"/>
      <c r="C1813" s="189"/>
      <c r="D1813" s="185"/>
      <c r="E1813" s="186"/>
      <c r="F1813" s="187"/>
    </row>
    <row r="1814" spans="1:6" x14ac:dyDescent="0.2">
      <c r="A1814" s="275"/>
      <c r="B1814" s="78"/>
      <c r="C1814" s="189"/>
      <c r="D1814" s="185"/>
      <c r="E1814" s="186"/>
      <c r="F1814" s="187"/>
    </row>
    <row r="1815" spans="1:6" x14ac:dyDescent="0.2">
      <c r="A1815" s="275"/>
      <c r="B1815" s="78"/>
      <c r="C1815" s="189"/>
      <c r="D1815" s="185"/>
      <c r="E1815" s="186"/>
      <c r="F1815" s="187"/>
    </row>
    <row r="1816" spans="1:6" x14ac:dyDescent="0.2">
      <c r="A1816" s="275"/>
      <c r="B1816" s="78"/>
      <c r="C1816" s="189"/>
      <c r="D1816" s="185"/>
      <c r="E1816" s="186"/>
      <c r="F1816" s="187"/>
    </row>
    <row r="1817" spans="1:6" x14ac:dyDescent="0.2">
      <c r="A1817" s="275"/>
      <c r="B1817" s="78"/>
      <c r="C1817" s="189"/>
      <c r="D1817" s="185"/>
      <c r="E1817" s="186"/>
      <c r="F1817" s="187"/>
    </row>
    <row r="1818" spans="1:6" x14ac:dyDescent="0.2">
      <c r="A1818" s="275"/>
      <c r="B1818" s="78"/>
      <c r="C1818" s="189"/>
      <c r="D1818" s="185"/>
      <c r="E1818" s="186"/>
      <c r="F1818" s="187"/>
    </row>
    <row r="1819" spans="1:6" x14ac:dyDescent="0.2">
      <c r="A1819" s="275"/>
      <c r="B1819" s="78"/>
      <c r="C1819" s="189"/>
      <c r="D1819" s="185"/>
      <c r="E1819" s="186"/>
      <c r="F1819" s="187"/>
    </row>
    <row r="1820" spans="1:6" x14ac:dyDescent="0.2">
      <c r="A1820" s="275"/>
      <c r="B1820" s="78"/>
      <c r="C1820" s="189"/>
      <c r="D1820" s="185"/>
      <c r="E1820" s="186"/>
      <c r="F1820" s="187"/>
    </row>
    <row r="1821" spans="1:6" x14ac:dyDescent="0.2">
      <c r="A1821" s="275"/>
      <c r="B1821" s="78"/>
      <c r="C1821" s="189"/>
      <c r="D1821" s="185"/>
      <c r="E1821" s="186"/>
      <c r="F1821" s="187"/>
    </row>
    <row r="1822" spans="1:6" x14ac:dyDescent="0.2">
      <c r="A1822" s="275"/>
      <c r="B1822" s="78"/>
      <c r="C1822" s="189"/>
      <c r="D1822" s="185"/>
      <c r="E1822" s="186"/>
      <c r="F1822" s="187"/>
    </row>
    <row r="1823" spans="1:6" x14ac:dyDescent="0.2">
      <c r="A1823" s="275"/>
      <c r="B1823" s="78"/>
      <c r="C1823" s="189"/>
      <c r="D1823" s="185"/>
      <c r="E1823" s="186"/>
      <c r="F1823" s="187"/>
    </row>
    <row r="1824" spans="1:6" x14ac:dyDescent="0.2">
      <c r="A1824" s="275"/>
      <c r="B1824" s="78"/>
      <c r="C1824" s="189"/>
      <c r="D1824" s="185"/>
      <c r="E1824" s="186"/>
      <c r="F1824" s="187"/>
    </row>
    <row r="1825" spans="1:6" x14ac:dyDescent="0.2">
      <c r="A1825" s="275"/>
      <c r="B1825" s="78"/>
      <c r="C1825" s="189"/>
      <c r="D1825" s="185"/>
      <c r="E1825" s="186"/>
      <c r="F1825" s="187"/>
    </row>
    <row r="1826" spans="1:6" x14ac:dyDescent="0.2">
      <c r="A1826" s="275"/>
      <c r="B1826" s="78"/>
      <c r="C1826" s="189"/>
      <c r="D1826" s="185"/>
      <c r="E1826" s="186"/>
      <c r="F1826" s="187"/>
    </row>
    <row r="1827" spans="1:6" x14ac:dyDescent="0.2">
      <c r="A1827" s="275"/>
      <c r="B1827" s="78"/>
      <c r="C1827" s="189"/>
      <c r="D1827" s="185"/>
      <c r="E1827" s="186"/>
      <c r="F1827" s="187"/>
    </row>
    <row r="1828" spans="1:6" x14ac:dyDescent="0.2">
      <c r="A1828" s="275"/>
      <c r="B1828" s="78"/>
      <c r="C1828" s="189"/>
      <c r="D1828" s="185"/>
      <c r="E1828" s="186"/>
      <c r="F1828" s="187"/>
    </row>
    <row r="1829" spans="1:6" x14ac:dyDescent="0.2">
      <c r="A1829" s="275"/>
      <c r="B1829" s="78"/>
      <c r="C1829" s="189"/>
      <c r="D1829" s="185"/>
      <c r="E1829" s="186"/>
      <c r="F1829" s="187"/>
    </row>
    <row r="1830" spans="1:6" x14ac:dyDescent="0.2">
      <c r="A1830" s="275"/>
      <c r="B1830" s="78"/>
      <c r="C1830" s="189"/>
      <c r="D1830" s="185"/>
      <c r="E1830" s="186"/>
      <c r="F1830" s="187"/>
    </row>
    <row r="1831" spans="1:6" x14ac:dyDescent="0.2">
      <c r="A1831" s="275"/>
      <c r="B1831" s="78"/>
      <c r="C1831" s="189"/>
      <c r="D1831" s="185"/>
      <c r="E1831" s="186"/>
      <c r="F1831" s="187"/>
    </row>
    <row r="1832" spans="1:6" x14ac:dyDescent="0.2">
      <c r="A1832" s="275"/>
      <c r="B1832" s="78"/>
      <c r="C1832" s="189"/>
      <c r="D1832" s="185"/>
      <c r="E1832" s="186"/>
      <c r="F1832" s="187"/>
    </row>
    <row r="1833" spans="1:6" x14ac:dyDescent="0.2">
      <c r="A1833" s="275"/>
      <c r="B1833" s="78"/>
      <c r="C1833" s="189"/>
      <c r="D1833" s="185"/>
      <c r="E1833" s="186"/>
      <c r="F1833" s="187"/>
    </row>
    <row r="1834" spans="1:6" x14ac:dyDescent="0.2">
      <c r="A1834" s="275"/>
      <c r="B1834" s="78"/>
      <c r="C1834" s="189"/>
      <c r="D1834" s="185"/>
      <c r="E1834" s="186"/>
      <c r="F1834" s="187"/>
    </row>
    <row r="1835" spans="1:6" x14ac:dyDescent="0.2">
      <c r="A1835" s="275"/>
      <c r="B1835" s="78"/>
      <c r="C1835" s="189"/>
      <c r="D1835" s="185"/>
      <c r="E1835" s="186"/>
      <c r="F1835" s="187"/>
    </row>
    <row r="1836" spans="1:6" x14ac:dyDescent="0.2">
      <c r="A1836" s="275"/>
      <c r="B1836" s="78"/>
      <c r="C1836" s="189"/>
      <c r="D1836" s="185"/>
      <c r="E1836" s="186"/>
      <c r="F1836" s="187"/>
    </row>
    <row r="1837" spans="1:6" x14ac:dyDescent="0.2">
      <c r="A1837" s="275"/>
      <c r="B1837" s="78"/>
      <c r="C1837" s="189"/>
      <c r="D1837" s="185"/>
      <c r="E1837" s="186"/>
      <c r="F1837" s="187"/>
    </row>
    <row r="1838" spans="1:6" x14ac:dyDescent="0.2">
      <c r="A1838" s="275"/>
      <c r="B1838" s="78"/>
      <c r="C1838" s="189"/>
      <c r="D1838" s="185"/>
      <c r="E1838" s="186"/>
      <c r="F1838" s="187"/>
    </row>
    <row r="1839" spans="1:6" x14ac:dyDescent="0.2">
      <c r="A1839" s="275"/>
      <c r="B1839" s="78"/>
      <c r="C1839" s="189"/>
      <c r="D1839" s="185"/>
      <c r="E1839" s="186"/>
      <c r="F1839" s="187"/>
    </row>
    <row r="1840" spans="1:6" x14ac:dyDescent="0.2">
      <c r="A1840" s="275"/>
      <c r="B1840" s="78"/>
      <c r="C1840" s="189"/>
      <c r="D1840" s="185"/>
      <c r="E1840" s="186"/>
      <c r="F1840" s="187"/>
    </row>
    <row r="1841" spans="1:6" x14ac:dyDescent="0.2">
      <c r="A1841" s="275"/>
      <c r="B1841" s="78"/>
      <c r="C1841" s="189"/>
      <c r="D1841" s="185"/>
      <c r="E1841" s="186"/>
      <c r="F1841" s="187"/>
    </row>
    <row r="1842" spans="1:6" x14ac:dyDescent="0.2">
      <c r="A1842" s="275"/>
      <c r="B1842" s="78"/>
      <c r="C1842" s="189"/>
      <c r="D1842" s="185"/>
      <c r="E1842" s="186"/>
      <c r="F1842" s="187"/>
    </row>
    <row r="1843" spans="1:6" x14ac:dyDescent="0.2">
      <c r="A1843" s="275"/>
      <c r="B1843" s="78"/>
      <c r="C1843" s="189"/>
      <c r="D1843" s="185"/>
      <c r="E1843" s="186"/>
      <c r="F1843" s="187"/>
    </row>
    <row r="1844" spans="1:6" x14ac:dyDescent="0.2">
      <c r="A1844" s="275"/>
      <c r="B1844" s="78"/>
      <c r="C1844" s="189"/>
      <c r="D1844" s="185"/>
      <c r="E1844" s="186"/>
      <c r="F1844" s="187"/>
    </row>
    <row r="1845" spans="1:6" x14ac:dyDescent="0.2">
      <c r="A1845" s="275"/>
      <c r="B1845" s="78"/>
      <c r="C1845" s="189"/>
      <c r="D1845" s="185"/>
      <c r="E1845" s="186"/>
      <c r="F1845" s="187"/>
    </row>
    <row r="1846" spans="1:6" x14ac:dyDescent="0.2">
      <c r="A1846" s="275"/>
      <c r="B1846" s="78"/>
      <c r="C1846" s="189"/>
      <c r="D1846" s="185"/>
      <c r="E1846" s="186"/>
      <c r="F1846" s="187"/>
    </row>
    <row r="1847" spans="1:6" x14ac:dyDescent="0.2">
      <c r="A1847" s="275"/>
      <c r="B1847" s="78"/>
      <c r="C1847" s="189"/>
      <c r="D1847" s="185"/>
      <c r="E1847" s="186"/>
      <c r="F1847" s="187"/>
    </row>
    <row r="1848" spans="1:6" x14ac:dyDescent="0.2">
      <c r="A1848" s="275"/>
      <c r="B1848" s="78"/>
      <c r="C1848" s="189"/>
      <c r="D1848" s="185"/>
      <c r="E1848" s="186"/>
      <c r="F1848" s="187"/>
    </row>
    <row r="1849" spans="1:6" x14ac:dyDescent="0.2">
      <c r="A1849" s="275"/>
      <c r="B1849" s="78"/>
      <c r="C1849" s="189"/>
      <c r="D1849" s="185"/>
      <c r="E1849" s="186"/>
      <c r="F1849" s="187"/>
    </row>
  </sheetData>
  <sheetProtection algorithmName="SHA-512" hashValue="JOPFLBqGmHb7HirPuj7wLZcQyWl5Ybz/ZRHdUGm2cVvofX2MxoNzUjYJ0zLODvhGqOuCwTXdEaLWBWE5auoUNA==" saltValue="G+qdP6bl+W0GP3mD3TuKKg==" spinCount="100000" sheet="1" objects="1" scenarios="1"/>
  <mergeCells count="2">
    <mergeCell ref="B1:F1"/>
    <mergeCell ref="C25:E25"/>
  </mergeCells>
  <dataValidations disablePrompts="1" count="1">
    <dataValidation type="custom" showErrorMessage="1" errorTitle="Nepravilen vnos cene" error="Cena mora biti nenegativno število z največ dvema decimalkama!" sqref="E9:E10 E12:E14 E16:E24">
      <formula1>AND(ISNUMBER(E9),E9&gt;=0,ROUND(E9*100,6)-INT(E9*100)=0,NOT(ISBLANK(E9)))</formula1>
    </dataValidation>
  </dataValidations>
  <printOptions horizontalCentered="1"/>
  <pageMargins left="0.78740157480314965" right="0.39370078740157483" top="0.39370078740157483" bottom="0.98425196850393704" header="0.19685039370078741" footer="0.19685039370078741"/>
  <pageSetup paperSize="9" scale="89" fitToHeight="0" orientation="landscape" r:id="rId1"/>
  <headerFooter>
    <oddHeader>&amp;LRTP 110/20 kV Izola&amp;R&amp;G</oddHeader>
    <oddFooter>&amp;LDZR: Ponudbeni predračun
Datoteka: 4407.6G01.PP.rev1.xlsx&amp;R Stran: &amp;P od &amp;N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G1851"/>
  <sheetViews>
    <sheetView view="pageBreakPreview" topLeftCell="A22" zoomScaleNormal="100" zoomScaleSheetLayoutView="100" workbookViewId="0">
      <selection activeCell="F10" sqref="F10:F26"/>
    </sheetView>
  </sheetViews>
  <sheetFormatPr defaultColWidth="6.7109375" defaultRowHeight="12.75" x14ac:dyDescent="0.2"/>
  <cols>
    <col min="1" max="1" width="7.85546875" style="190" customWidth="1"/>
    <col min="2" max="2" width="99.140625" style="179" customWidth="1"/>
    <col min="3" max="3" width="9" style="191" customWidth="1"/>
    <col min="4" max="4" width="11.42578125" style="192" customWidth="1"/>
    <col min="5" max="5" width="12.7109375" style="193" customWidth="1"/>
    <col min="6" max="6" width="13.5703125" style="194" customWidth="1"/>
    <col min="7" max="16384" width="6.7109375" style="78"/>
  </cols>
  <sheetData>
    <row r="1" spans="1:6" ht="15.95" customHeight="1" thickBot="1" x14ac:dyDescent="0.3">
      <c r="A1" s="7"/>
      <c r="B1" s="329"/>
      <c r="C1" s="329"/>
      <c r="D1" s="329"/>
      <c r="E1" s="329"/>
      <c r="F1" s="329"/>
    </row>
    <row r="2" spans="1:6" ht="32.450000000000003" customHeight="1" x14ac:dyDescent="0.2">
      <c r="A2" s="1" t="s">
        <v>1</v>
      </c>
      <c r="B2" s="2" t="s">
        <v>1741</v>
      </c>
      <c r="C2" s="3" t="s">
        <v>1742</v>
      </c>
      <c r="D2" s="4" t="s">
        <v>1743</v>
      </c>
      <c r="E2" s="5" t="s">
        <v>1744</v>
      </c>
      <c r="F2" s="6" t="s">
        <v>1745</v>
      </c>
    </row>
    <row r="3" spans="1:6" ht="15" x14ac:dyDescent="0.2">
      <c r="A3" s="36" t="s">
        <v>2169</v>
      </c>
      <c r="B3" s="30" t="s">
        <v>2170</v>
      </c>
      <c r="C3" s="23"/>
      <c r="D3" s="24"/>
      <c r="E3" s="25"/>
      <c r="F3" s="26"/>
    </row>
    <row r="4" spans="1:6" ht="42.75" x14ac:dyDescent="0.2">
      <c r="A4" s="36"/>
      <c r="B4" s="17" t="s">
        <v>1747</v>
      </c>
      <c r="C4" s="23"/>
      <c r="D4" s="24"/>
      <c r="E4" s="25"/>
      <c r="F4" s="26"/>
    </row>
    <row r="5" spans="1:6" ht="42.75" x14ac:dyDescent="0.2">
      <c r="A5" s="29"/>
      <c r="B5" s="17" t="s">
        <v>2171</v>
      </c>
      <c r="C5" s="15"/>
      <c r="D5" s="16"/>
      <c r="E5" s="25"/>
      <c r="F5" s="26"/>
    </row>
    <row r="6" spans="1:6" ht="57" x14ac:dyDescent="0.2">
      <c r="A6" s="21"/>
      <c r="B6" s="17" t="str">
        <f>'2.2'!B5</f>
        <v xml:space="preserve">Vsi odpadki, ki bodo nastali pri izvedbi, bodo naloženi na prevozno sredstvo in odpeljani na stalno gradbeno deponijo nenevarnih odpadkov uradnega zbiralca odpadkov. Upoštevati vsa potrebna dela in stroške v zvezi z deponiranjem. Vsi odpadki, ki bodo ponovno uporabljeni pri izvedbi, bodo naloženi na prevozno sredstvo in pripeljani na gradbišče. </v>
      </c>
      <c r="C6" s="23"/>
      <c r="D6" s="24"/>
      <c r="E6" s="25"/>
      <c r="F6" s="26"/>
    </row>
    <row r="7" spans="1:6" ht="15" x14ac:dyDescent="0.2">
      <c r="A7" s="21"/>
      <c r="B7" s="37"/>
      <c r="C7" s="23"/>
      <c r="D7" s="24"/>
      <c r="E7" s="25"/>
      <c r="F7" s="26"/>
    </row>
    <row r="8" spans="1:6" ht="15" x14ac:dyDescent="0.2">
      <c r="A8" s="21"/>
      <c r="B8" s="37" t="s">
        <v>2172</v>
      </c>
      <c r="C8" s="23"/>
      <c r="D8" s="24"/>
      <c r="E8" s="25"/>
      <c r="F8" s="26"/>
    </row>
    <row r="9" spans="1:6" ht="28.5" x14ac:dyDescent="0.2">
      <c r="A9" s="29" t="s">
        <v>2173</v>
      </c>
      <c r="B9" s="17" t="s">
        <v>2174</v>
      </c>
      <c r="C9" s="23"/>
      <c r="D9" s="24"/>
      <c r="E9" s="25"/>
      <c r="F9" s="26"/>
    </row>
    <row r="10" spans="1:6" ht="14.25" x14ac:dyDescent="0.2">
      <c r="A10" s="29" t="s">
        <v>1761</v>
      </c>
      <c r="B10" s="17" t="s">
        <v>2175</v>
      </c>
      <c r="C10" s="15" t="s">
        <v>1756</v>
      </c>
      <c r="D10" s="16">
        <f>2*2*71*1.2</f>
        <v>340.8</v>
      </c>
      <c r="E10" s="31">
        <v>0</v>
      </c>
      <c r="F10" s="28">
        <f t="shared" ref="F10:F17" si="0">ROUND(D10*E10,2)</f>
        <v>0</v>
      </c>
    </row>
    <row r="11" spans="1:6" ht="14.25" x14ac:dyDescent="0.2">
      <c r="A11" s="29" t="s">
        <v>1774</v>
      </c>
      <c r="B11" s="17" t="s">
        <v>2176</v>
      </c>
      <c r="C11" s="15" t="s">
        <v>1756</v>
      </c>
      <c r="D11" s="16">
        <f>1*0.5*71*1.2</f>
        <v>42.6</v>
      </c>
      <c r="E11" s="31">
        <v>0</v>
      </c>
      <c r="F11" s="28">
        <f t="shared" si="0"/>
        <v>0</v>
      </c>
    </row>
    <row r="12" spans="1:6" ht="42.75" x14ac:dyDescent="0.2">
      <c r="A12" s="29" t="s">
        <v>2177</v>
      </c>
      <c r="B12" s="17" t="s">
        <v>2119</v>
      </c>
      <c r="C12" s="15" t="s">
        <v>1780</v>
      </c>
      <c r="D12" s="16">
        <f>71*0.6*1.2</f>
        <v>51.12</v>
      </c>
      <c r="E12" s="31">
        <v>0</v>
      </c>
      <c r="F12" s="28">
        <f t="shared" si="0"/>
        <v>0</v>
      </c>
    </row>
    <row r="13" spans="1:6" ht="57" x14ac:dyDescent="0.2">
      <c r="A13" s="29" t="s">
        <v>2178</v>
      </c>
      <c r="B13" s="17" t="s">
        <v>1987</v>
      </c>
      <c r="C13" s="15" t="s">
        <v>1780</v>
      </c>
      <c r="D13" s="16">
        <f>71*7+61</f>
        <v>558</v>
      </c>
      <c r="E13" s="31">
        <v>0</v>
      </c>
      <c r="F13" s="28">
        <f t="shared" si="0"/>
        <v>0</v>
      </c>
    </row>
    <row r="14" spans="1:6" ht="99.75" x14ac:dyDescent="0.2">
      <c r="A14" s="29" t="s">
        <v>2179</v>
      </c>
      <c r="B14" s="17" t="s">
        <v>2180</v>
      </c>
      <c r="C14" s="15"/>
      <c r="D14" s="16"/>
      <c r="E14" s="25"/>
      <c r="F14" s="26"/>
    </row>
    <row r="15" spans="1:6" ht="42.75" x14ac:dyDescent="0.2">
      <c r="A15" s="29" t="s">
        <v>1761</v>
      </c>
      <c r="B15" s="17" t="s">
        <v>2181</v>
      </c>
      <c r="C15" s="15" t="s">
        <v>1756</v>
      </c>
      <c r="D15" s="16">
        <f>71*2*0.3*1.2</f>
        <v>51.12</v>
      </c>
      <c r="E15" s="31">
        <v>0</v>
      </c>
      <c r="F15" s="28">
        <f t="shared" si="0"/>
        <v>0</v>
      </c>
    </row>
    <row r="16" spans="1:6" ht="28.5" x14ac:dyDescent="0.2">
      <c r="A16" s="29" t="s">
        <v>1774</v>
      </c>
      <c r="B16" s="17" t="s">
        <v>1991</v>
      </c>
      <c r="C16" s="15" t="s">
        <v>1756</v>
      </c>
      <c r="D16" s="16">
        <f>71*2*0.1*1.2</f>
        <v>17.04</v>
      </c>
      <c r="E16" s="31">
        <v>0</v>
      </c>
      <c r="F16" s="28">
        <f t="shared" si="0"/>
        <v>0</v>
      </c>
    </row>
    <row r="17" spans="1:7" ht="85.5" x14ac:dyDescent="0.2">
      <c r="A17" s="29" t="s">
        <v>2182</v>
      </c>
      <c r="B17" s="17" t="s">
        <v>2154</v>
      </c>
      <c r="C17" s="15" t="s">
        <v>1756</v>
      </c>
      <c r="D17" s="16">
        <f>D10-D15-D16</f>
        <v>272.64</v>
      </c>
      <c r="E17" s="31">
        <v>0</v>
      </c>
      <c r="F17" s="28">
        <f t="shared" si="0"/>
        <v>0</v>
      </c>
    </row>
    <row r="18" spans="1:7" ht="15" x14ac:dyDescent="0.2">
      <c r="A18" s="29" t="s">
        <v>2183</v>
      </c>
      <c r="B18" s="17" t="s">
        <v>2126</v>
      </c>
      <c r="C18" s="15"/>
      <c r="D18" s="16"/>
      <c r="E18" s="25"/>
      <c r="F18" s="26"/>
    </row>
    <row r="19" spans="1:7" ht="14.25" x14ac:dyDescent="0.2">
      <c r="A19" s="29" t="s">
        <v>1761</v>
      </c>
      <c r="B19" s="17" t="s">
        <v>2127</v>
      </c>
      <c r="C19" s="15" t="s">
        <v>1756</v>
      </c>
      <c r="D19" s="16">
        <f>71*1*0.1*1.2</f>
        <v>8.52</v>
      </c>
      <c r="E19" s="31">
        <v>0</v>
      </c>
      <c r="F19" s="28">
        <f t="shared" ref="F19:F26" si="1">ROUND(D19*E19,2)</f>
        <v>0</v>
      </c>
    </row>
    <row r="20" spans="1:7" ht="14.25" x14ac:dyDescent="0.2">
      <c r="A20" s="29" t="s">
        <v>1774</v>
      </c>
      <c r="B20" s="17" t="s">
        <v>2184</v>
      </c>
      <c r="C20" s="15" t="s">
        <v>1756</v>
      </c>
      <c r="D20" s="16">
        <f>71*(1*0.5+1.4*0.3)*0.8*1.2</f>
        <v>62.7072</v>
      </c>
      <c r="E20" s="31">
        <v>0</v>
      </c>
      <c r="F20" s="28">
        <f t="shared" si="1"/>
        <v>0</v>
      </c>
    </row>
    <row r="21" spans="1:7" ht="14.25" x14ac:dyDescent="0.2">
      <c r="A21" s="29" t="s">
        <v>1873</v>
      </c>
      <c r="B21" s="17" t="s">
        <v>2129</v>
      </c>
      <c r="C21" s="15" t="s">
        <v>1773</v>
      </c>
      <c r="D21" s="16">
        <f>3146*1.2</f>
        <v>3775.2</v>
      </c>
      <c r="E21" s="31">
        <v>0</v>
      </c>
      <c r="F21" s="28">
        <f t="shared" si="1"/>
        <v>0</v>
      </c>
    </row>
    <row r="22" spans="1:7" ht="14.25" x14ac:dyDescent="0.2">
      <c r="A22" s="29" t="s">
        <v>1875</v>
      </c>
      <c r="B22" s="17" t="s">
        <v>2130</v>
      </c>
      <c r="C22" s="15" t="s">
        <v>1773</v>
      </c>
      <c r="D22" s="16">
        <f>(D21)*0.3</f>
        <v>1132.56</v>
      </c>
      <c r="E22" s="31">
        <v>0</v>
      </c>
      <c r="F22" s="28">
        <f t="shared" si="1"/>
        <v>0</v>
      </c>
    </row>
    <row r="23" spans="1:7" ht="14.25" x14ac:dyDescent="0.2">
      <c r="A23" s="29" t="s">
        <v>2131</v>
      </c>
      <c r="B23" s="17" t="s">
        <v>2185</v>
      </c>
      <c r="C23" s="15" t="s">
        <v>1780</v>
      </c>
      <c r="D23" s="16">
        <f>71*1.9*2*1.2</f>
        <v>323.76</v>
      </c>
      <c r="E23" s="31">
        <v>0</v>
      </c>
      <c r="F23" s="28">
        <f t="shared" si="1"/>
        <v>0</v>
      </c>
    </row>
    <row r="24" spans="1:7" ht="142.5" x14ac:dyDescent="0.2">
      <c r="A24" s="29" t="s">
        <v>2186</v>
      </c>
      <c r="B24" s="17" t="s">
        <v>2187</v>
      </c>
      <c r="C24" s="15" t="s">
        <v>1800</v>
      </c>
      <c r="D24" s="16">
        <f>5*4.8*1.2</f>
        <v>28.799999999999997</v>
      </c>
      <c r="E24" s="31">
        <v>0</v>
      </c>
      <c r="F24" s="28">
        <f>ROUND(D24*E24,2)</f>
        <v>0</v>
      </c>
    </row>
    <row r="25" spans="1:7" ht="42.75" x14ac:dyDescent="0.2">
      <c r="A25" s="29" t="s">
        <v>2188</v>
      </c>
      <c r="B25" s="17" t="s">
        <v>2189</v>
      </c>
      <c r="C25" s="15" t="s">
        <v>1780</v>
      </c>
      <c r="D25" s="16">
        <f>71*(1+0.3+0.2)*1.2</f>
        <v>127.8</v>
      </c>
      <c r="E25" s="31">
        <v>0</v>
      </c>
      <c r="F25" s="28">
        <f t="shared" si="1"/>
        <v>0</v>
      </c>
    </row>
    <row r="26" spans="1:7" ht="57.75" thickBot="1" x14ac:dyDescent="0.25">
      <c r="A26" s="29" t="s">
        <v>2190</v>
      </c>
      <c r="B26" s="17" t="s">
        <v>2191</v>
      </c>
      <c r="C26" s="15" t="s">
        <v>1800</v>
      </c>
      <c r="D26" s="16">
        <f>71*1.2</f>
        <v>85.2</v>
      </c>
      <c r="E26" s="31">
        <v>0</v>
      </c>
      <c r="F26" s="28">
        <f t="shared" si="1"/>
        <v>0</v>
      </c>
    </row>
    <row r="27" spans="1:7" ht="18.75" customHeight="1" thickBot="1" x14ac:dyDescent="0.3">
      <c r="A27" s="264"/>
      <c r="B27" s="269"/>
      <c r="C27" s="333" t="s">
        <v>2192</v>
      </c>
      <c r="D27" s="334"/>
      <c r="E27" s="335"/>
      <c r="F27" s="18">
        <f>SUM(F10:F26)</f>
        <v>0</v>
      </c>
      <c r="G27" s="8"/>
    </row>
    <row r="28" spans="1:7" ht="18" x14ac:dyDescent="0.25">
      <c r="A28" s="182"/>
      <c r="B28" s="183"/>
      <c r="C28" s="184"/>
      <c r="D28" s="185"/>
      <c r="E28" s="186"/>
      <c r="F28" s="187"/>
      <c r="G28" s="8"/>
    </row>
    <row r="29" spans="1:7" ht="18" x14ac:dyDescent="0.25">
      <c r="A29" s="182"/>
      <c r="B29" s="183"/>
      <c r="C29" s="184"/>
      <c r="D29" s="185"/>
      <c r="E29" s="186"/>
      <c r="F29" s="187"/>
      <c r="G29" s="8"/>
    </row>
    <row r="30" spans="1:7" ht="18" x14ac:dyDescent="0.25">
      <c r="A30" s="182"/>
      <c r="B30" s="183"/>
      <c r="C30" s="184"/>
      <c r="D30" s="185"/>
      <c r="E30" s="186"/>
      <c r="F30" s="187"/>
      <c r="G30" s="8"/>
    </row>
    <row r="31" spans="1:7" x14ac:dyDescent="0.2">
      <c r="A31" s="275"/>
      <c r="B31" s="78"/>
      <c r="C31" s="189"/>
      <c r="D31" s="185"/>
      <c r="E31" s="186"/>
      <c r="F31" s="187"/>
    </row>
    <row r="32" spans="1:7" x14ac:dyDescent="0.2">
      <c r="A32" s="275"/>
      <c r="B32" s="78"/>
      <c r="C32" s="189"/>
      <c r="D32" s="185"/>
      <c r="E32" s="186"/>
      <c r="F32" s="187"/>
    </row>
    <row r="33" spans="1:6" x14ac:dyDescent="0.2">
      <c r="A33" s="275"/>
      <c r="B33" s="78"/>
      <c r="C33" s="189"/>
      <c r="D33" s="185"/>
      <c r="E33" s="186"/>
      <c r="F33" s="187"/>
    </row>
    <row r="34" spans="1:6" x14ac:dyDescent="0.2">
      <c r="A34" s="275"/>
      <c r="B34" s="78"/>
      <c r="C34" s="189"/>
      <c r="D34" s="185"/>
      <c r="E34" s="186"/>
      <c r="F34" s="187"/>
    </row>
    <row r="35" spans="1:6" x14ac:dyDescent="0.2">
      <c r="A35" s="275"/>
      <c r="B35" s="78"/>
      <c r="C35" s="189"/>
      <c r="D35" s="185"/>
      <c r="E35" s="186"/>
      <c r="F35" s="187"/>
    </row>
    <row r="36" spans="1:6" x14ac:dyDescent="0.2">
      <c r="A36" s="275"/>
      <c r="B36" s="78"/>
      <c r="C36" s="189"/>
      <c r="D36" s="185"/>
      <c r="E36" s="186"/>
      <c r="F36" s="187"/>
    </row>
    <row r="37" spans="1:6" x14ac:dyDescent="0.2">
      <c r="A37" s="275"/>
      <c r="B37" s="78"/>
      <c r="C37" s="189"/>
      <c r="D37" s="185"/>
      <c r="E37" s="186"/>
      <c r="F37" s="187"/>
    </row>
    <row r="38" spans="1:6" x14ac:dyDescent="0.2">
      <c r="A38" s="275"/>
      <c r="B38" s="78"/>
      <c r="C38" s="189"/>
      <c r="D38" s="185"/>
      <c r="E38" s="186"/>
      <c r="F38" s="187"/>
    </row>
    <row r="39" spans="1:6" x14ac:dyDescent="0.2">
      <c r="A39" s="275"/>
      <c r="B39" s="78"/>
      <c r="C39" s="189"/>
      <c r="D39" s="185"/>
      <c r="E39" s="186"/>
      <c r="F39" s="187"/>
    </row>
    <row r="40" spans="1:6" x14ac:dyDescent="0.2">
      <c r="A40" s="275"/>
      <c r="B40" s="78"/>
      <c r="C40" s="189"/>
      <c r="D40" s="185"/>
      <c r="E40" s="186"/>
      <c r="F40" s="187"/>
    </row>
    <row r="41" spans="1:6" x14ac:dyDescent="0.2">
      <c r="A41" s="275"/>
      <c r="B41" s="78"/>
      <c r="C41" s="189"/>
      <c r="D41" s="185"/>
      <c r="E41" s="186"/>
      <c r="F41" s="187"/>
    </row>
    <row r="42" spans="1:6" x14ac:dyDescent="0.2">
      <c r="A42" s="275"/>
      <c r="B42" s="78"/>
      <c r="C42" s="189"/>
      <c r="D42" s="185"/>
      <c r="E42" s="186"/>
      <c r="F42" s="187"/>
    </row>
    <row r="43" spans="1:6" x14ac:dyDescent="0.2">
      <c r="A43" s="275"/>
      <c r="B43" s="78"/>
      <c r="C43" s="189"/>
      <c r="D43" s="185"/>
      <c r="E43" s="186"/>
      <c r="F43" s="187"/>
    </row>
    <row r="44" spans="1:6" x14ac:dyDescent="0.2">
      <c r="A44" s="275"/>
      <c r="B44" s="78"/>
      <c r="C44" s="189"/>
      <c r="D44" s="185"/>
      <c r="E44" s="186"/>
      <c r="F44" s="187"/>
    </row>
    <row r="45" spans="1:6" x14ac:dyDescent="0.2">
      <c r="A45" s="275"/>
      <c r="B45" s="78"/>
      <c r="C45" s="189"/>
      <c r="D45" s="185"/>
      <c r="E45" s="186"/>
      <c r="F45" s="187"/>
    </row>
    <row r="46" spans="1:6" x14ac:dyDescent="0.2">
      <c r="A46" s="275"/>
      <c r="B46" s="78"/>
      <c r="C46" s="189"/>
      <c r="D46" s="185"/>
      <c r="E46" s="186"/>
      <c r="F46" s="187"/>
    </row>
    <row r="47" spans="1:6" x14ac:dyDescent="0.2">
      <c r="A47" s="275"/>
      <c r="B47" s="78"/>
      <c r="C47" s="189"/>
      <c r="D47" s="185"/>
      <c r="E47" s="186"/>
      <c r="F47" s="187"/>
    </row>
    <row r="48" spans="1:6" x14ac:dyDescent="0.2">
      <c r="A48" s="275"/>
      <c r="B48" s="78"/>
      <c r="C48" s="189"/>
      <c r="D48" s="185"/>
      <c r="E48" s="186"/>
      <c r="F48" s="187"/>
    </row>
    <row r="49" spans="1:6" x14ac:dyDescent="0.2">
      <c r="A49" s="275"/>
      <c r="B49" s="78"/>
      <c r="C49" s="189"/>
      <c r="D49" s="185"/>
      <c r="E49" s="186"/>
      <c r="F49" s="187"/>
    </row>
    <row r="50" spans="1:6" x14ac:dyDescent="0.2">
      <c r="A50" s="275"/>
      <c r="B50" s="78"/>
      <c r="C50" s="189"/>
      <c r="D50" s="185"/>
      <c r="E50" s="186"/>
      <c r="F50" s="187"/>
    </row>
    <row r="51" spans="1:6" x14ac:dyDescent="0.2">
      <c r="A51" s="275"/>
      <c r="B51" s="78"/>
      <c r="C51" s="189"/>
      <c r="D51" s="185"/>
      <c r="E51" s="186"/>
      <c r="F51" s="187"/>
    </row>
    <row r="52" spans="1:6" x14ac:dyDescent="0.2">
      <c r="A52" s="275"/>
      <c r="B52" s="78"/>
      <c r="C52" s="189"/>
      <c r="D52" s="185"/>
      <c r="E52" s="186"/>
      <c r="F52" s="187"/>
    </row>
    <row r="53" spans="1:6" x14ac:dyDescent="0.2">
      <c r="A53" s="275"/>
      <c r="B53" s="78"/>
      <c r="C53" s="189"/>
      <c r="D53" s="185"/>
      <c r="E53" s="186"/>
      <c r="F53" s="187"/>
    </row>
    <row r="54" spans="1:6" x14ac:dyDescent="0.2">
      <c r="A54" s="275"/>
      <c r="B54" s="78"/>
      <c r="C54" s="189"/>
      <c r="D54" s="185"/>
      <c r="E54" s="186"/>
      <c r="F54" s="187"/>
    </row>
    <row r="55" spans="1:6" x14ac:dyDescent="0.2">
      <c r="A55" s="275"/>
      <c r="B55" s="78"/>
      <c r="C55" s="189"/>
      <c r="D55" s="185"/>
      <c r="E55" s="186"/>
      <c r="F55" s="187"/>
    </row>
    <row r="56" spans="1:6" x14ac:dyDescent="0.2">
      <c r="A56" s="275"/>
      <c r="B56" s="78"/>
      <c r="C56" s="189"/>
      <c r="D56" s="185"/>
      <c r="E56" s="186"/>
      <c r="F56" s="187"/>
    </row>
    <row r="57" spans="1:6" x14ac:dyDescent="0.2">
      <c r="A57" s="275"/>
      <c r="B57" s="78"/>
      <c r="C57" s="189"/>
      <c r="D57" s="185"/>
      <c r="E57" s="186"/>
      <c r="F57" s="187"/>
    </row>
    <row r="58" spans="1:6" x14ac:dyDescent="0.2">
      <c r="A58" s="275"/>
      <c r="B58" s="78"/>
      <c r="C58" s="189"/>
      <c r="D58" s="185"/>
      <c r="E58" s="186"/>
      <c r="F58" s="187"/>
    </row>
    <row r="59" spans="1:6" x14ac:dyDescent="0.2">
      <c r="A59" s="275"/>
      <c r="B59" s="78"/>
      <c r="C59" s="189"/>
      <c r="D59" s="185"/>
      <c r="E59" s="186"/>
      <c r="F59" s="187"/>
    </row>
    <row r="60" spans="1:6" x14ac:dyDescent="0.2">
      <c r="A60" s="275"/>
      <c r="B60" s="78"/>
      <c r="C60" s="189"/>
      <c r="D60" s="185"/>
      <c r="E60" s="186"/>
      <c r="F60" s="187"/>
    </row>
    <row r="61" spans="1:6" x14ac:dyDescent="0.2">
      <c r="A61" s="275"/>
      <c r="B61" s="78"/>
      <c r="C61" s="189"/>
      <c r="D61" s="185"/>
      <c r="E61" s="186"/>
      <c r="F61" s="187"/>
    </row>
    <row r="62" spans="1:6" x14ac:dyDescent="0.2">
      <c r="A62" s="275"/>
      <c r="B62" s="78"/>
      <c r="C62" s="189"/>
      <c r="D62" s="185"/>
      <c r="E62" s="186"/>
      <c r="F62" s="187"/>
    </row>
    <row r="63" spans="1:6" x14ac:dyDescent="0.2">
      <c r="A63" s="275"/>
      <c r="B63" s="78"/>
      <c r="C63" s="189"/>
      <c r="D63" s="185"/>
      <c r="E63" s="186"/>
      <c r="F63" s="187"/>
    </row>
    <row r="64" spans="1:6" x14ac:dyDescent="0.2">
      <c r="A64" s="275"/>
      <c r="B64" s="78"/>
      <c r="C64" s="189"/>
      <c r="D64" s="185"/>
      <c r="E64" s="186"/>
      <c r="F64" s="187"/>
    </row>
    <row r="65" spans="1:6" x14ac:dyDescent="0.2">
      <c r="A65" s="275"/>
      <c r="B65" s="78"/>
      <c r="C65" s="189"/>
      <c r="D65" s="185"/>
      <c r="E65" s="186"/>
      <c r="F65" s="187"/>
    </row>
    <row r="66" spans="1:6" x14ac:dyDescent="0.2">
      <c r="A66" s="275"/>
      <c r="B66" s="78"/>
      <c r="C66" s="189"/>
      <c r="D66" s="185"/>
      <c r="E66" s="186"/>
      <c r="F66" s="187"/>
    </row>
    <row r="67" spans="1:6" x14ac:dyDescent="0.2">
      <c r="A67" s="275"/>
      <c r="B67" s="78"/>
      <c r="C67" s="189"/>
      <c r="D67" s="185"/>
      <c r="E67" s="186"/>
      <c r="F67" s="187"/>
    </row>
    <row r="68" spans="1:6" x14ac:dyDescent="0.2">
      <c r="A68" s="275"/>
      <c r="B68" s="78"/>
      <c r="C68" s="189"/>
      <c r="D68" s="185"/>
      <c r="E68" s="186"/>
      <c r="F68" s="187"/>
    </row>
    <row r="69" spans="1:6" x14ac:dyDescent="0.2">
      <c r="A69" s="275"/>
      <c r="B69" s="78"/>
      <c r="C69" s="189"/>
      <c r="D69" s="185"/>
      <c r="E69" s="186"/>
      <c r="F69" s="187"/>
    </row>
    <row r="70" spans="1:6" x14ac:dyDescent="0.2">
      <c r="A70" s="275"/>
      <c r="B70" s="78"/>
      <c r="C70" s="189"/>
      <c r="D70" s="185"/>
      <c r="E70" s="186"/>
      <c r="F70" s="187"/>
    </row>
    <row r="71" spans="1:6" x14ac:dyDescent="0.2">
      <c r="A71" s="275"/>
      <c r="B71" s="78"/>
      <c r="C71" s="189"/>
      <c r="D71" s="185"/>
      <c r="E71" s="186"/>
      <c r="F71" s="187"/>
    </row>
    <row r="72" spans="1:6" x14ac:dyDescent="0.2">
      <c r="A72" s="275"/>
      <c r="B72" s="78"/>
      <c r="C72" s="189"/>
      <c r="D72" s="185"/>
      <c r="E72" s="186"/>
      <c r="F72" s="187"/>
    </row>
    <row r="73" spans="1:6" x14ac:dyDescent="0.2">
      <c r="A73" s="275"/>
      <c r="B73" s="78"/>
      <c r="C73" s="189"/>
      <c r="D73" s="185"/>
      <c r="E73" s="186"/>
      <c r="F73" s="187"/>
    </row>
    <row r="74" spans="1:6" x14ac:dyDescent="0.2">
      <c r="A74" s="275"/>
      <c r="B74" s="78"/>
      <c r="C74" s="189"/>
      <c r="D74" s="185"/>
      <c r="E74" s="186"/>
      <c r="F74" s="187"/>
    </row>
    <row r="75" spans="1:6" x14ac:dyDescent="0.2">
      <c r="A75" s="275"/>
      <c r="B75" s="78"/>
      <c r="C75" s="189"/>
      <c r="D75" s="185"/>
      <c r="E75" s="186"/>
      <c r="F75" s="187"/>
    </row>
    <row r="76" spans="1:6" x14ac:dyDescent="0.2">
      <c r="A76" s="275"/>
      <c r="B76" s="78"/>
      <c r="C76" s="189"/>
      <c r="D76" s="185"/>
      <c r="E76" s="186"/>
      <c r="F76" s="187"/>
    </row>
    <row r="77" spans="1:6" x14ac:dyDescent="0.2">
      <c r="A77" s="275"/>
      <c r="B77" s="78"/>
      <c r="C77" s="189"/>
      <c r="D77" s="185"/>
      <c r="E77" s="186"/>
      <c r="F77" s="187"/>
    </row>
    <row r="78" spans="1:6" x14ac:dyDescent="0.2">
      <c r="A78" s="275"/>
      <c r="B78" s="78"/>
      <c r="C78" s="189"/>
      <c r="D78" s="185"/>
      <c r="E78" s="186"/>
      <c r="F78" s="187"/>
    </row>
    <row r="79" spans="1:6" x14ac:dyDescent="0.2">
      <c r="A79" s="275"/>
      <c r="B79" s="78"/>
      <c r="C79" s="189"/>
      <c r="D79" s="185"/>
      <c r="E79" s="186"/>
      <c r="F79" s="187"/>
    </row>
    <row r="80" spans="1:6" x14ac:dyDescent="0.2">
      <c r="A80" s="275"/>
      <c r="B80" s="78"/>
      <c r="C80" s="189"/>
      <c r="D80" s="185"/>
      <c r="E80" s="186"/>
      <c r="F80" s="187"/>
    </row>
    <row r="81" spans="1:6" x14ac:dyDescent="0.2">
      <c r="A81" s="275"/>
      <c r="B81" s="78"/>
      <c r="C81" s="189"/>
      <c r="D81" s="185"/>
      <c r="E81" s="186"/>
      <c r="F81" s="187"/>
    </row>
    <row r="82" spans="1:6" x14ac:dyDescent="0.2">
      <c r="A82" s="275"/>
      <c r="B82" s="78"/>
      <c r="C82" s="189"/>
      <c r="D82" s="185"/>
      <c r="E82" s="186"/>
      <c r="F82" s="187"/>
    </row>
    <row r="83" spans="1:6" x14ac:dyDescent="0.2">
      <c r="A83" s="275"/>
      <c r="B83" s="78"/>
      <c r="C83" s="189"/>
      <c r="D83" s="185"/>
      <c r="E83" s="186"/>
      <c r="F83" s="187"/>
    </row>
    <row r="84" spans="1:6" x14ac:dyDescent="0.2">
      <c r="A84" s="275"/>
      <c r="B84" s="78"/>
      <c r="C84" s="189"/>
      <c r="D84" s="185"/>
      <c r="E84" s="186"/>
      <c r="F84" s="187"/>
    </row>
    <row r="85" spans="1:6" x14ac:dyDescent="0.2">
      <c r="A85" s="275"/>
      <c r="B85" s="78"/>
      <c r="C85" s="189"/>
      <c r="D85" s="185"/>
      <c r="E85" s="186"/>
      <c r="F85" s="187"/>
    </row>
    <row r="86" spans="1:6" x14ac:dyDescent="0.2">
      <c r="A86" s="275"/>
      <c r="B86" s="78"/>
      <c r="C86" s="189"/>
      <c r="D86" s="185"/>
      <c r="E86" s="186"/>
      <c r="F86" s="187"/>
    </row>
    <row r="87" spans="1:6" x14ac:dyDescent="0.2">
      <c r="A87" s="275"/>
      <c r="B87" s="78"/>
      <c r="C87" s="189"/>
      <c r="D87" s="185"/>
      <c r="E87" s="186"/>
      <c r="F87" s="187"/>
    </row>
    <row r="88" spans="1:6" x14ac:dyDescent="0.2">
      <c r="A88" s="275"/>
      <c r="B88" s="78"/>
      <c r="C88" s="189"/>
      <c r="D88" s="185"/>
      <c r="E88" s="186"/>
      <c r="F88" s="187"/>
    </row>
    <row r="89" spans="1:6" x14ac:dyDescent="0.2">
      <c r="A89" s="275"/>
      <c r="B89" s="78"/>
      <c r="C89" s="189"/>
      <c r="D89" s="185"/>
      <c r="E89" s="186"/>
      <c r="F89" s="187"/>
    </row>
    <row r="90" spans="1:6" x14ac:dyDescent="0.2">
      <c r="A90" s="275"/>
      <c r="B90" s="78"/>
      <c r="C90" s="189"/>
      <c r="D90" s="185"/>
      <c r="E90" s="186"/>
      <c r="F90" s="187"/>
    </row>
    <row r="91" spans="1:6" x14ac:dyDescent="0.2">
      <c r="A91" s="275"/>
      <c r="B91" s="78"/>
      <c r="C91" s="189"/>
      <c r="D91" s="185"/>
      <c r="E91" s="186"/>
      <c r="F91" s="187"/>
    </row>
    <row r="92" spans="1:6" x14ac:dyDescent="0.2">
      <c r="A92" s="275"/>
      <c r="B92" s="78"/>
      <c r="C92" s="189"/>
      <c r="D92" s="185"/>
      <c r="E92" s="186"/>
      <c r="F92" s="187"/>
    </row>
    <row r="93" spans="1:6" x14ac:dyDescent="0.2">
      <c r="A93" s="275"/>
      <c r="B93" s="78"/>
      <c r="C93" s="189"/>
      <c r="D93" s="185"/>
      <c r="E93" s="186"/>
      <c r="F93" s="187"/>
    </row>
    <row r="94" spans="1:6" x14ac:dyDescent="0.2">
      <c r="A94" s="275"/>
      <c r="B94" s="78"/>
      <c r="C94" s="189"/>
      <c r="D94" s="185"/>
      <c r="E94" s="186"/>
      <c r="F94" s="187"/>
    </row>
    <row r="95" spans="1:6" x14ac:dyDescent="0.2">
      <c r="A95" s="275"/>
      <c r="B95" s="78"/>
      <c r="C95" s="189"/>
      <c r="D95" s="185"/>
      <c r="E95" s="186"/>
      <c r="F95" s="187"/>
    </row>
    <row r="96" spans="1:6" x14ac:dyDescent="0.2">
      <c r="A96" s="275"/>
      <c r="B96" s="78"/>
      <c r="C96" s="189"/>
      <c r="D96" s="185"/>
      <c r="E96" s="186"/>
      <c r="F96" s="187"/>
    </row>
    <row r="97" spans="1:6" x14ac:dyDescent="0.2">
      <c r="A97" s="275"/>
      <c r="B97" s="78"/>
      <c r="C97" s="189"/>
      <c r="D97" s="185"/>
      <c r="E97" s="186"/>
      <c r="F97" s="187"/>
    </row>
    <row r="98" spans="1:6" x14ac:dyDescent="0.2">
      <c r="A98" s="275"/>
      <c r="B98" s="78"/>
      <c r="C98" s="189"/>
      <c r="D98" s="185"/>
      <c r="E98" s="186"/>
      <c r="F98" s="187"/>
    </row>
    <row r="99" spans="1:6" x14ac:dyDescent="0.2">
      <c r="A99" s="275"/>
      <c r="B99" s="78"/>
      <c r="C99" s="189"/>
      <c r="D99" s="185"/>
      <c r="E99" s="186"/>
      <c r="F99" s="187"/>
    </row>
    <row r="100" spans="1:6" x14ac:dyDescent="0.2">
      <c r="A100" s="275"/>
      <c r="B100" s="78"/>
      <c r="C100" s="189"/>
      <c r="D100" s="185"/>
      <c r="E100" s="186"/>
      <c r="F100" s="187"/>
    </row>
    <row r="101" spans="1:6" x14ac:dyDescent="0.2">
      <c r="A101" s="275"/>
      <c r="B101" s="78"/>
      <c r="C101" s="189"/>
      <c r="D101" s="185"/>
      <c r="E101" s="186"/>
      <c r="F101" s="187"/>
    </row>
    <row r="102" spans="1:6" x14ac:dyDescent="0.2">
      <c r="A102" s="275"/>
      <c r="B102" s="78"/>
      <c r="C102" s="189"/>
      <c r="D102" s="185"/>
      <c r="E102" s="186"/>
      <c r="F102" s="187"/>
    </row>
    <row r="103" spans="1:6" x14ac:dyDescent="0.2">
      <c r="A103" s="275"/>
      <c r="B103" s="78"/>
      <c r="C103" s="189"/>
      <c r="D103" s="185"/>
      <c r="E103" s="186"/>
      <c r="F103" s="187"/>
    </row>
    <row r="104" spans="1:6" x14ac:dyDescent="0.2">
      <c r="A104" s="275"/>
      <c r="B104" s="78"/>
      <c r="C104" s="189"/>
      <c r="D104" s="185"/>
      <c r="E104" s="186"/>
      <c r="F104" s="187"/>
    </row>
    <row r="105" spans="1:6" x14ac:dyDescent="0.2">
      <c r="A105" s="275"/>
      <c r="B105" s="78"/>
      <c r="C105" s="189"/>
      <c r="D105" s="185"/>
      <c r="E105" s="186"/>
      <c r="F105" s="187"/>
    </row>
    <row r="106" spans="1:6" x14ac:dyDescent="0.2">
      <c r="A106" s="275"/>
      <c r="B106" s="78"/>
      <c r="C106" s="189"/>
      <c r="D106" s="185"/>
      <c r="E106" s="186"/>
      <c r="F106" s="187"/>
    </row>
    <row r="107" spans="1:6" x14ac:dyDescent="0.2">
      <c r="A107" s="275"/>
      <c r="B107" s="78"/>
      <c r="C107" s="189"/>
      <c r="D107" s="185"/>
      <c r="E107" s="186"/>
      <c r="F107" s="187"/>
    </row>
    <row r="108" spans="1:6" x14ac:dyDescent="0.2">
      <c r="A108" s="275"/>
      <c r="B108" s="78"/>
      <c r="C108" s="189"/>
      <c r="D108" s="185"/>
      <c r="E108" s="186"/>
      <c r="F108" s="187"/>
    </row>
    <row r="109" spans="1:6" x14ac:dyDescent="0.2">
      <c r="A109" s="275"/>
      <c r="B109" s="78"/>
      <c r="C109" s="189"/>
      <c r="D109" s="185"/>
      <c r="E109" s="186"/>
      <c r="F109" s="187"/>
    </row>
    <row r="110" spans="1:6" x14ac:dyDescent="0.2">
      <c r="A110" s="275"/>
      <c r="B110" s="78"/>
      <c r="C110" s="189"/>
      <c r="D110" s="185"/>
      <c r="E110" s="186"/>
      <c r="F110" s="187"/>
    </row>
    <row r="111" spans="1:6" x14ac:dyDescent="0.2">
      <c r="A111" s="275"/>
      <c r="B111" s="78"/>
      <c r="C111" s="189"/>
      <c r="D111" s="185"/>
      <c r="E111" s="186"/>
      <c r="F111" s="187"/>
    </row>
    <row r="112" spans="1:6" x14ac:dyDescent="0.2">
      <c r="A112" s="275"/>
      <c r="B112" s="78"/>
      <c r="C112" s="189"/>
      <c r="D112" s="185"/>
      <c r="E112" s="186"/>
      <c r="F112" s="187"/>
    </row>
    <row r="113" spans="1:6" x14ac:dyDescent="0.2">
      <c r="A113" s="275"/>
      <c r="B113" s="78"/>
      <c r="C113" s="189"/>
      <c r="D113" s="185"/>
      <c r="E113" s="186"/>
      <c r="F113" s="187"/>
    </row>
    <row r="114" spans="1:6" x14ac:dyDescent="0.2">
      <c r="A114" s="275"/>
      <c r="B114" s="78"/>
      <c r="C114" s="189"/>
      <c r="D114" s="185"/>
      <c r="E114" s="186"/>
      <c r="F114" s="187"/>
    </row>
    <row r="115" spans="1:6" x14ac:dyDescent="0.2">
      <c r="A115" s="275"/>
      <c r="B115" s="78"/>
      <c r="C115" s="189"/>
      <c r="D115" s="185"/>
      <c r="E115" s="186"/>
      <c r="F115" s="187"/>
    </row>
    <row r="116" spans="1:6" x14ac:dyDescent="0.2">
      <c r="A116" s="275"/>
      <c r="B116" s="78"/>
      <c r="C116" s="189"/>
      <c r="D116" s="185"/>
      <c r="E116" s="186"/>
      <c r="F116" s="187"/>
    </row>
    <row r="117" spans="1:6" x14ac:dyDescent="0.2">
      <c r="A117" s="275"/>
      <c r="B117" s="78"/>
      <c r="C117" s="189"/>
      <c r="D117" s="185"/>
      <c r="E117" s="186"/>
      <c r="F117" s="187"/>
    </row>
    <row r="118" spans="1:6" x14ac:dyDescent="0.2">
      <c r="A118" s="275"/>
      <c r="B118" s="78"/>
      <c r="C118" s="189"/>
      <c r="D118" s="185"/>
      <c r="E118" s="186"/>
      <c r="F118" s="187"/>
    </row>
    <row r="119" spans="1:6" x14ac:dyDescent="0.2">
      <c r="A119" s="275"/>
      <c r="B119" s="78"/>
      <c r="C119" s="189"/>
      <c r="D119" s="185"/>
      <c r="E119" s="186"/>
      <c r="F119" s="187"/>
    </row>
    <row r="120" spans="1:6" x14ac:dyDescent="0.2">
      <c r="A120" s="275"/>
      <c r="B120" s="78"/>
      <c r="C120" s="189"/>
      <c r="D120" s="185"/>
      <c r="E120" s="186"/>
      <c r="F120" s="187"/>
    </row>
    <row r="121" spans="1:6" x14ac:dyDescent="0.2">
      <c r="A121" s="275"/>
      <c r="B121" s="78"/>
      <c r="C121" s="189"/>
      <c r="D121" s="185"/>
      <c r="E121" s="186"/>
      <c r="F121" s="187"/>
    </row>
    <row r="122" spans="1:6" x14ac:dyDescent="0.2">
      <c r="A122" s="275"/>
      <c r="B122" s="78"/>
      <c r="C122" s="189"/>
      <c r="D122" s="185"/>
      <c r="E122" s="186"/>
      <c r="F122" s="187"/>
    </row>
    <row r="123" spans="1:6" x14ac:dyDescent="0.2">
      <c r="A123" s="275"/>
      <c r="B123" s="78"/>
      <c r="C123" s="189"/>
      <c r="D123" s="185"/>
      <c r="E123" s="186"/>
      <c r="F123" s="187"/>
    </row>
    <row r="124" spans="1:6" x14ac:dyDescent="0.2">
      <c r="A124" s="275"/>
      <c r="B124" s="78"/>
      <c r="C124" s="189"/>
      <c r="D124" s="185"/>
      <c r="E124" s="186"/>
      <c r="F124" s="187"/>
    </row>
    <row r="125" spans="1:6" x14ac:dyDescent="0.2">
      <c r="A125" s="275"/>
      <c r="B125" s="78"/>
      <c r="C125" s="189"/>
      <c r="D125" s="185"/>
      <c r="E125" s="186"/>
      <c r="F125" s="187"/>
    </row>
    <row r="126" spans="1:6" x14ac:dyDescent="0.2">
      <c r="A126" s="275"/>
      <c r="B126" s="78"/>
      <c r="C126" s="189"/>
      <c r="D126" s="185"/>
      <c r="E126" s="186"/>
      <c r="F126" s="187"/>
    </row>
    <row r="127" spans="1:6" x14ac:dyDescent="0.2">
      <c r="A127" s="275"/>
      <c r="B127" s="78"/>
      <c r="C127" s="189"/>
      <c r="D127" s="185"/>
      <c r="E127" s="186"/>
      <c r="F127" s="187"/>
    </row>
    <row r="128" spans="1:6" x14ac:dyDescent="0.2">
      <c r="A128" s="275"/>
      <c r="B128" s="78"/>
      <c r="C128" s="189"/>
      <c r="D128" s="185"/>
      <c r="E128" s="186"/>
      <c r="F128" s="187"/>
    </row>
    <row r="129" spans="1:6" x14ac:dyDescent="0.2">
      <c r="A129" s="275"/>
      <c r="B129" s="78"/>
      <c r="C129" s="189"/>
      <c r="D129" s="185"/>
      <c r="E129" s="186"/>
      <c r="F129" s="187"/>
    </row>
    <row r="130" spans="1:6" x14ac:dyDescent="0.2">
      <c r="A130" s="275"/>
      <c r="B130" s="78"/>
      <c r="C130" s="189"/>
      <c r="D130" s="185"/>
      <c r="E130" s="186"/>
      <c r="F130" s="187"/>
    </row>
    <row r="131" spans="1:6" x14ac:dyDescent="0.2">
      <c r="A131" s="275"/>
      <c r="B131" s="78"/>
      <c r="C131" s="189"/>
      <c r="D131" s="185"/>
      <c r="E131" s="186"/>
      <c r="F131" s="187"/>
    </row>
    <row r="132" spans="1:6" x14ac:dyDescent="0.2">
      <c r="A132" s="275"/>
      <c r="B132" s="78"/>
      <c r="C132" s="189"/>
      <c r="D132" s="185"/>
      <c r="E132" s="186"/>
      <c r="F132" s="187"/>
    </row>
    <row r="133" spans="1:6" x14ac:dyDescent="0.2">
      <c r="A133" s="275"/>
      <c r="B133" s="78"/>
      <c r="C133" s="189"/>
      <c r="D133" s="185"/>
      <c r="E133" s="186"/>
      <c r="F133" s="187"/>
    </row>
    <row r="134" spans="1:6" x14ac:dyDescent="0.2">
      <c r="A134" s="275"/>
      <c r="B134" s="78"/>
      <c r="C134" s="189"/>
      <c r="D134" s="185"/>
      <c r="E134" s="186"/>
      <c r="F134" s="187"/>
    </row>
    <row r="135" spans="1:6" x14ac:dyDescent="0.2">
      <c r="A135" s="275"/>
      <c r="B135" s="78"/>
      <c r="C135" s="189"/>
      <c r="D135" s="185"/>
      <c r="E135" s="186"/>
      <c r="F135" s="187"/>
    </row>
    <row r="136" spans="1:6" x14ac:dyDescent="0.2">
      <c r="A136" s="275"/>
      <c r="B136" s="78"/>
      <c r="C136" s="189"/>
      <c r="D136" s="185"/>
      <c r="E136" s="186"/>
      <c r="F136" s="187"/>
    </row>
    <row r="137" spans="1:6" x14ac:dyDescent="0.2">
      <c r="A137" s="275"/>
      <c r="B137" s="78"/>
      <c r="C137" s="189"/>
      <c r="D137" s="185"/>
      <c r="E137" s="186"/>
      <c r="F137" s="187"/>
    </row>
    <row r="138" spans="1:6" x14ac:dyDescent="0.2">
      <c r="A138" s="275"/>
      <c r="B138" s="78"/>
      <c r="C138" s="189"/>
      <c r="D138" s="185"/>
      <c r="E138" s="186"/>
      <c r="F138" s="187"/>
    </row>
    <row r="139" spans="1:6" x14ac:dyDescent="0.2">
      <c r="A139" s="275"/>
      <c r="B139" s="78"/>
      <c r="C139" s="189"/>
      <c r="D139" s="185"/>
      <c r="E139" s="186"/>
      <c r="F139" s="187"/>
    </row>
    <row r="140" spans="1:6" x14ac:dyDescent="0.2">
      <c r="A140" s="275"/>
      <c r="B140" s="78"/>
      <c r="C140" s="189"/>
      <c r="D140" s="185"/>
      <c r="E140" s="186"/>
      <c r="F140" s="187"/>
    </row>
    <row r="141" spans="1:6" x14ac:dyDescent="0.2">
      <c r="A141" s="275"/>
      <c r="B141" s="78"/>
      <c r="C141" s="189"/>
      <c r="D141" s="185"/>
      <c r="E141" s="186"/>
      <c r="F141" s="187"/>
    </row>
    <row r="142" spans="1:6" x14ac:dyDescent="0.2">
      <c r="A142" s="275"/>
      <c r="B142" s="78"/>
      <c r="C142" s="189"/>
      <c r="D142" s="185"/>
      <c r="E142" s="186"/>
      <c r="F142" s="187"/>
    </row>
    <row r="143" spans="1:6" x14ac:dyDescent="0.2">
      <c r="A143" s="275"/>
      <c r="B143" s="78"/>
      <c r="C143" s="189"/>
      <c r="D143" s="185"/>
      <c r="E143" s="186"/>
      <c r="F143" s="187"/>
    </row>
    <row r="144" spans="1:6" x14ac:dyDescent="0.2">
      <c r="A144" s="275"/>
      <c r="B144" s="78"/>
      <c r="C144" s="189"/>
      <c r="D144" s="185"/>
      <c r="E144" s="186"/>
      <c r="F144" s="187"/>
    </row>
    <row r="145" spans="1:6" x14ac:dyDescent="0.2">
      <c r="A145" s="275"/>
      <c r="B145" s="78"/>
      <c r="C145" s="189"/>
      <c r="D145" s="185"/>
      <c r="E145" s="186"/>
      <c r="F145" s="187"/>
    </row>
    <row r="146" spans="1:6" x14ac:dyDescent="0.2">
      <c r="A146" s="275"/>
      <c r="B146" s="78"/>
      <c r="C146" s="189"/>
      <c r="D146" s="185"/>
      <c r="E146" s="186"/>
      <c r="F146" s="187"/>
    </row>
    <row r="147" spans="1:6" x14ac:dyDescent="0.2">
      <c r="A147" s="275"/>
      <c r="B147" s="78"/>
      <c r="C147" s="189"/>
      <c r="D147" s="185"/>
      <c r="E147" s="186"/>
      <c r="F147" s="187"/>
    </row>
    <row r="148" spans="1:6" x14ac:dyDescent="0.2">
      <c r="A148" s="275"/>
      <c r="B148" s="78"/>
      <c r="C148" s="189"/>
      <c r="D148" s="185"/>
      <c r="E148" s="186"/>
      <c r="F148" s="187"/>
    </row>
    <row r="149" spans="1:6" x14ac:dyDescent="0.2">
      <c r="A149" s="275"/>
      <c r="B149" s="78"/>
      <c r="C149" s="189"/>
      <c r="D149" s="185"/>
      <c r="E149" s="186"/>
      <c r="F149" s="187"/>
    </row>
    <row r="150" spans="1:6" x14ac:dyDescent="0.2">
      <c r="A150" s="275"/>
      <c r="B150" s="78"/>
      <c r="C150" s="189"/>
      <c r="D150" s="185"/>
      <c r="E150" s="186"/>
      <c r="F150" s="187"/>
    </row>
    <row r="151" spans="1:6" x14ac:dyDescent="0.2">
      <c r="A151" s="275"/>
      <c r="B151" s="78"/>
      <c r="C151" s="189"/>
      <c r="D151" s="185"/>
      <c r="E151" s="186"/>
      <c r="F151" s="187"/>
    </row>
    <row r="152" spans="1:6" x14ac:dyDescent="0.2">
      <c r="A152" s="275"/>
      <c r="B152" s="78"/>
      <c r="C152" s="189"/>
      <c r="D152" s="185"/>
      <c r="E152" s="186"/>
      <c r="F152" s="187"/>
    </row>
    <row r="153" spans="1:6" x14ac:dyDescent="0.2">
      <c r="A153" s="275"/>
      <c r="B153" s="78"/>
      <c r="C153" s="189"/>
      <c r="D153" s="185"/>
      <c r="E153" s="186"/>
      <c r="F153" s="187"/>
    </row>
    <row r="154" spans="1:6" x14ac:dyDescent="0.2">
      <c r="A154" s="275"/>
      <c r="B154" s="78"/>
      <c r="C154" s="189"/>
      <c r="D154" s="185"/>
      <c r="E154" s="186"/>
      <c r="F154" s="187"/>
    </row>
    <row r="155" spans="1:6" x14ac:dyDescent="0.2">
      <c r="A155" s="275"/>
      <c r="B155" s="78"/>
      <c r="C155" s="189"/>
      <c r="D155" s="185"/>
      <c r="E155" s="186"/>
      <c r="F155" s="187"/>
    </row>
    <row r="156" spans="1:6" x14ac:dyDescent="0.2">
      <c r="A156" s="275"/>
      <c r="B156" s="78"/>
      <c r="C156" s="189"/>
      <c r="D156" s="185"/>
      <c r="E156" s="186"/>
      <c r="F156" s="187"/>
    </row>
    <row r="157" spans="1:6" x14ac:dyDescent="0.2">
      <c r="A157" s="275"/>
      <c r="B157" s="78"/>
      <c r="C157" s="189"/>
      <c r="D157" s="185"/>
      <c r="E157" s="186"/>
      <c r="F157" s="187"/>
    </row>
    <row r="158" spans="1:6" x14ac:dyDescent="0.2">
      <c r="A158" s="275"/>
      <c r="B158" s="78"/>
      <c r="C158" s="189"/>
      <c r="D158" s="185"/>
      <c r="E158" s="186"/>
      <c r="F158" s="187"/>
    </row>
    <row r="159" spans="1:6" x14ac:dyDescent="0.2">
      <c r="A159" s="275"/>
      <c r="B159" s="78"/>
      <c r="C159" s="189"/>
      <c r="D159" s="185"/>
      <c r="E159" s="186"/>
      <c r="F159" s="187"/>
    </row>
    <row r="160" spans="1:6" x14ac:dyDescent="0.2">
      <c r="A160" s="275"/>
      <c r="B160" s="78"/>
      <c r="C160" s="189"/>
      <c r="D160" s="185"/>
      <c r="E160" s="186"/>
      <c r="F160" s="187"/>
    </row>
    <row r="161" spans="1:6" x14ac:dyDescent="0.2">
      <c r="A161" s="275"/>
      <c r="B161" s="78"/>
      <c r="C161" s="189"/>
      <c r="D161" s="185"/>
      <c r="E161" s="186"/>
      <c r="F161" s="187"/>
    </row>
    <row r="162" spans="1:6" x14ac:dyDescent="0.2">
      <c r="A162" s="275"/>
      <c r="B162" s="78"/>
      <c r="C162" s="189"/>
      <c r="D162" s="185"/>
      <c r="E162" s="186"/>
      <c r="F162" s="187"/>
    </row>
    <row r="163" spans="1:6" x14ac:dyDescent="0.2">
      <c r="A163" s="275"/>
      <c r="B163" s="78"/>
      <c r="C163" s="189"/>
      <c r="D163" s="185"/>
      <c r="E163" s="186"/>
      <c r="F163" s="187"/>
    </row>
    <row r="164" spans="1:6" x14ac:dyDescent="0.2">
      <c r="A164" s="275"/>
      <c r="B164" s="78"/>
      <c r="C164" s="189"/>
      <c r="D164" s="185"/>
      <c r="E164" s="186"/>
      <c r="F164" s="187"/>
    </row>
    <row r="165" spans="1:6" x14ac:dyDescent="0.2">
      <c r="A165" s="275"/>
      <c r="B165" s="78"/>
      <c r="C165" s="189"/>
      <c r="D165" s="185"/>
      <c r="E165" s="186"/>
      <c r="F165" s="187"/>
    </row>
    <row r="166" spans="1:6" x14ac:dyDescent="0.2">
      <c r="A166" s="275"/>
      <c r="B166" s="78"/>
      <c r="C166" s="189"/>
      <c r="D166" s="185"/>
      <c r="E166" s="186"/>
      <c r="F166" s="187"/>
    </row>
    <row r="167" spans="1:6" x14ac:dyDescent="0.2">
      <c r="A167" s="275"/>
      <c r="B167" s="78"/>
      <c r="C167" s="189"/>
      <c r="D167" s="185"/>
      <c r="E167" s="186"/>
      <c r="F167" s="187"/>
    </row>
    <row r="168" spans="1:6" x14ac:dyDescent="0.2">
      <c r="A168" s="275"/>
      <c r="B168" s="78"/>
      <c r="C168" s="189"/>
      <c r="D168" s="185"/>
      <c r="E168" s="186"/>
      <c r="F168" s="187"/>
    </row>
    <row r="169" spans="1:6" x14ac:dyDescent="0.2">
      <c r="A169" s="275"/>
      <c r="B169" s="78"/>
      <c r="C169" s="189"/>
      <c r="D169" s="185"/>
      <c r="E169" s="186"/>
      <c r="F169" s="187"/>
    </row>
    <row r="170" spans="1:6" x14ac:dyDescent="0.2">
      <c r="A170" s="275"/>
      <c r="B170" s="78"/>
      <c r="C170" s="189"/>
      <c r="D170" s="185"/>
      <c r="E170" s="186"/>
      <c r="F170" s="187"/>
    </row>
    <row r="171" spans="1:6" x14ac:dyDescent="0.2">
      <c r="A171" s="275"/>
      <c r="B171" s="78"/>
      <c r="C171" s="189"/>
      <c r="D171" s="185"/>
      <c r="E171" s="186"/>
      <c r="F171" s="187"/>
    </row>
    <row r="172" spans="1:6" x14ac:dyDescent="0.2">
      <c r="A172" s="275"/>
      <c r="B172" s="78"/>
      <c r="C172" s="189"/>
      <c r="D172" s="185"/>
      <c r="E172" s="186"/>
      <c r="F172" s="187"/>
    </row>
    <row r="173" spans="1:6" x14ac:dyDescent="0.2">
      <c r="A173" s="275"/>
      <c r="B173" s="78"/>
      <c r="C173" s="189"/>
      <c r="D173" s="185"/>
      <c r="E173" s="186"/>
      <c r="F173" s="187"/>
    </row>
    <row r="174" spans="1:6" x14ac:dyDescent="0.2">
      <c r="A174" s="275"/>
      <c r="B174" s="78"/>
      <c r="C174" s="189"/>
      <c r="D174" s="185"/>
      <c r="E174" s="186"/>
      <c r="F174" s="187"/>
    </row>
    <row r="175" spans="1:6" x14ac:dyDescent="0.2">
      <c r="A175" s="275"/>
      <c r="B175" s="78"/>
      <c r="C175" s="189"/>
      <c r="D175" s="185"/>
      <c r="E175" s="186"/>
      <c r="F175" s="187"/>
    </row>
    <row r="176" spans="1:6" x14ac:dyDescent="0.2">
      <c r="A176" s="275"/>
      <c r="B176" s="78"/>
      <c r="C176" s="189"/>
      <c r="D176" s="185"/>
      <c r="E176" s="186"/>
      <c r="F176" s="187"/>
    </row>
    <row r="177" spans="1:6" x14ac:dyDescent="0.2">
      <c r="A177" s="275"/>
      <c r="B177" s="78"/>
      <c r="C177" s="189"/>
      <c r="D177" s="185"/>
      <c r="E177" s="186"/>
      <c r="F177" s="187"/>
    </row>
    <row r="178" spans="1:6" x14ac:dyDescent="0.2">
      <c r="A178" s="275"/>
      <c r="B178" s="78"/>
      <c r="C178" s="189"/>
      <c r="D178" s="185"/>
      <c r="E178" s="186"/>
      <c r="F178" s="187"/>
    </row>
    <row r="179" spans="1:6" x14ac:dyDescent="0.2">
      <c r="A179" s="275"/>
      <c r="B179" s="78"/>
      <c r="C179" s="189"/>
      <c r="D179" s="185"/>
      <c r="E179" s="186"/>
      <c r="F179" s="187"/>
    </row>
    <row r="180" spans="1:6" x14ac:dyDescent="0.2">
      <c r="A180" s="275"/>
      <c r="B180" s="78"/>
      <c r="C180" s="189"/>
      <c r="D180" s="185"/>
      <c r="E180" s="186"/>
      <c r="F180" s="187"/>
    </row>
    <row r="181" spans="1:6" x14ac:dyDescent="0.2">
      <c r="A181" s="275"/>
      <c r="B181" s="78"/>
      <c r="C181" s="189"/>
      <c r="D181" s="185"/>
      <c r="E181" s="186"/>
      <c r="F181" s="187"/>
    </row>
    <row r="182" spans="1:6" x14ac:dyDescent="0.2">
      <c r="A182" s="275"/>
      <c r="B182" s="78"/>
      <c r="C182" s="189"/>
      <c r="D182" s="185"/>
      <c r="E182" s="186"/>
      <c r="F182" s="187"/>
    </row>
    <row r="183" spans="1:6" x14ac:dyDescent="0.2">
      <c r="A183" s="275"/>
      <c r="B183" s="78"/>
      <c r="C183" s="189"/>
      <c r="D183" s="185"/>
      <c r="E183" s="186"/>
      <c r="F183" s="187"/>
    </row>
    <row r="184" spans="1:6" x14ac:dyDescent="0.2">
      <c r="A184" s="275"/>
      <c r="B184" s="78"/>
      <c r="C184" s="189"/>
      <c r="D184" s="185"/>
      <c r="E184" s="186"/>
      <c r="F184" s="187"/>
    </row>
    <row r="185" spans="1:6" x14ac:dyDescent="0.2">
      <c r="A185" s="275"/>
      <c r="B185" s="78"/>
      <c r="C185" s="189"/>
      <c r="D185" s="185"/>
      <c r="E185" s="186"/>
      <c r="F185" s="187"/>
    </row>
    <row r="186" spans="1:6" x14ac:dyDescent="0.2">
      <c r="A186" s="275"/>
      <c r="B186" s="78"/>
      <c r="C186" s="189"/>
      <c r="D186" s="185"/>
      <c r="E186" s="186"/>
      <c r="F186" s="187"/>
    </row>
    <row r="187" spans="1:6" x14ac:dyDescent="0.2">
      <c r="A187" s="275"/>
      <c r="B187" s="78"/>
      <c r="C187" s="189"/>
      <c r="D187" s="185"/>
      <c r="E187" s="186"/>
      <c r="F187" s="187"/>
    </row>
    <row r="188" spans="1:6" x14ac:dyDescent="0.2">
      <c r="A188" s="275"/>
      <c r="B188" s="78"/>
      <c r="C188" s="189"/>
      <c r="D188" s="185"/>
      <c r="E188" s="186"/>
      <c r="F188" s="187"/>
    </row>
    <row r="189" spans="1:6" x14ac:dyDescent="0.2">
      <c r="A189" s="275"/>
      <c r="B189" s="78"/>
      <c r="C189" s="189"/>
      <c r="D189" s="185"/>
      <c r="E189" s="186"/>
      <c r="F189" s="187"/>
    </row>
    <row r="190" spans="1:6" x14ac:dyDescent="0.2">
      <c r="A190" s="275"/>
      <c r="B190" s="78"/>
      <c r="C190" s="189"/>
      <c r="D190" s="185"/>
      <c r="E190" s="186"/>
      <c r="F190" s="187"/>
    </row>
    <row r="191" spans="1:6" x14ac:dyDescent="0.2">
      <c r="A191" s="275"/>
      <c r="B191" s="78"/>
      <c r="C191" s="189"/>
      <c r="D191" s="185"/>
      <c r="E191" s="186"/>
      <c r="F191" s="187"/>
    </row>
    <row r="192" spans="1:6" x14ac:dyDescent="0.2">
      <c r="A192" s="275"/>
      <c r="B192" s="78"/>
      <c r="C192" s="189"/>
      <c r="D192" s="185"/>
      <c r="E192" s="186"/>
      <c r="F192" s="187"/>
    </row>
    <row r="193" spans="1:6" x14ac:dyDescent="0.2">
      <c r="A193" s="275"/>
      <c r="B193" s="78"/>
      <c r="C193" s="189"/>
      <c r="D193" s="185"/>
      <c r="E193" s="186"/>
      <c r="F193" s="187"/>
    </row>
    <row r="194" spans="1:6" x14ac:dyDescent="0.2">
      <c r="A194" s="275"/>
      <c r="B194" s="78"/>
      <c r="C194" s="189"/>
      <c r="D194" s="185"/>
      <c r="E194" s="186"/>
      <c r="F194" s="187"/>
    </row>
    <row r="195" spans="1:6" x14ac:dyDescent="0.2">
      <c r="A195" s="275"/>
      <c r="B195" s="78"/>
      <c r="C195" s="189"/>
      <c r="D195" s="185"/>
      <c r="E195" s="186"/>
      <c r="F195" s="187"/>
    </row>
    <row r="196" spans="1:6" x14ac:dyDescent="0.2">
      <c r="A196" s="275"/>
      <c r="B196" s="78"/>
      <c r="C196" s="189"/>
      <c r="D196" s="185"/>
      <c r="E196" s="186"/>
      <c r="F196" s="187"/>
    </row>
    <row r="197" spans="1:6" x14ac:dyDescent="0.2">
      <c r="A197" s="275"/>
      <c r="B197" s="78"/>
      <c r="C197" s="189"/>
      <c r="D197" s="185"/>
      <c r="E197" s="186"/>
      <c r="F197" s="187"/>
    </row>
    <row r="198" spans="1:6" x14ac:dyDescent="0.2">
      <c r="A198" s="275"/>
      <c r="B198" s="78"/>
      <c r="C198" s="189"/>
      <c r="D198" s="185"/>
      <c r="E198" s="186"/>
      <c r="F198" s="187"/>
    </row>
    <row r="199" spans="1:6" x14ac:dyDescent="0.2">
      <c r="A199" s="275"/>
      <c r="B199" s="78"/>
      <c r="C199" s="189"/>
      <c r="D199" s="185"/>
      <c r="E199" s="186"/>
      <c r="F199" s="187"/>
    </row>
    <row r="200" spans="1:6" x14ac:dyDescent="0.2">
      <c r="A200" s="275"/>
      <c r="B200" s="78"/>
      <c r="C200" s="189"/>
      <c r="D200" s="185"/>
      <c r="E200" s="186"/>
      <c r="F200" s="187"/>
    </row>
    <row r="201" spans="1:6" x14ac:dyDescent="0.2">
      <c r="A201" s="275"/>
      <c r="B201" s="78"/>
      <c r="C201" s="189"/>
      <c r="D201" s="185"/>
      <c r="E201" s="186"/>
      <c r="F201" s="187"/>
    </row>
    <row r="202" spans="1:6" x14ac:dyDescent="0.2">
      <c r="A202" s="275"/>
      <c r="B202" s="78"/>
      <c r="C202" s="189"/>
      <c r="D202" s="185"/>
      <c r="E202" s="186"/>
      <c r="F202" s="187"/>
    </row>
    <row r="203" spans="1:6" x14ac:dyDescent="0.2">
      <c r="A203" s="275"/>
      <c r="B203" s="78"/>
      <c r="C203" s="189"/>
      <c r="D203" s="185"/>
      <c r="E203" s="186"/>
      <c r="F203" s="187"/>
    </row>
    <row r="204" spans="1:6" x14ac:dyDescent="0.2">
      <c r="A204" s="275"/>
      <c r="B204" s="78"/>
      <c r="C204" s="189"/>
      <c r="D204" s="185"/>
      <c r="E204" s="186"/>
      <c r="F204" s="187"/>
    </row>
    <row r="205" spans="1:6" x14ac:dyDescent="0.2">
      <c r="A205" s="275"/>
      <c r="B205" s="78"/>
      <c r="C205" s="189"/>
      <c r="D205" s="185"/>
      <c r="E205" s="186"/>
      <c r="F205" s="187"/>
    </row>
    <row r="206" spans="1:6" x14ac:dyDescent="0.2">
      <c r="A206" s="275"/>
      <c r="B206" s="78"/>
      <c r="C206" s="189"/>
      <c r="D206" s="185"/>
      <c r="E206" s="186"/>
      <c r="F206" s="187"/>
    </row>
    <row r="207" spans="1:6" x14ac:dyDescent="0.2">
      <c r="A207" s="275"/>
      <c r="B207" s="78"/>
      <c r="C207" s="189"/>
      <c r="D207" s="185"/>
      <c r="E207" s="186"/>
      <c r="F207" s="187"/>
    </row>
    <row r="208" spans="1:6" x14ac:dyDescent="0.2">
      <c r="A208" s="275"/>
      <c r="B208" s="78"/>
      <c r="C208" s="189"/>
      <c r="D208" s="185"/>
      <c r="E208" s="186"/>
      <c r="F208" s="187"/>
    </row>
    <row r="209" spans="1:6" x14ac:dyDescent="0.2">
      <c r="A209" s="275"/>
      <c r="B209" s="78"/>
      <c r="C209" s="189"/>
      <c r="D209" s="185"/>
      <c r="E209" s="186"/>
      <c r="F209" s="187"/>
    </row>
    <row r="210" spans="1:6" x14ac:dyDescent="0.2">
      <c r="A210" s="275"/>
      <c r="B210" s="78"/>
      <c r="C210" s="189"/>
      <c r="D210" s="185"/>
      <c r="E210" s="186"/>
      <c r="F210" s="187"/>
    </row>
    <row r="211" spans="1:6" x14ac:dyDescent="0.2">
      <c r="A211" s="275"/>
      <c r="B211" s="78"/>
      <c r="C211" s="189"/>
      <c r="D211" s="185"/>
      <c r="E211" s="186"/>
      <c r="F211" s="187"/>
    </row>
    <row r="212" spans="1:6" x14ac:dyDescent="0.2">
      <c r="A212" s="275"/>
      <c r="B212" s="78"/>
      <c r="C212" s="189"/>
      <c r="D212" s="185"/>
      <c r="E212" s="186"/>
      <c r="F212" s="187"/>
    </row>
    <row r="213" spans="1:6" x14ac:dyDescent="0.2">
      <c r="A213" s="275"/>
      <c r="B213" s="78"/>
      <c r="C213" s="189"/>
      <c r="D213" s="185"/>
      <c r="E213" s="186"/>
      <c r="F213" s="187"/>
    </row>
    <row r="214" spans="1:6" x14ac:dyDescent="0.2">
      <c r="A214" s="275"/>
      <c r="B214" s="78"/>
      <c r="C214" s="189"/>
      <c r="D214" s="185"/>
      <c r="E214" s="186"/>
      <c r="F214" s="187"/>
    </row>
    <row r="215" spans="1:6" x14ac:dyDescent="0.2">
      <c r="A215" s="275"/>
      <c r="B215" s="78"/>
      <c r="C215" s="189"/>
      <c r="D215" s="185"/>
      <c r="E215" s="186"/>
      <c r="F215" s="187"/>
    </row>
    <row r="216" spans="1:6" x14ac:dyDescent="0.2">
      <c r="A216" s="275"/>
      <c r="B216" s="78"/>
      <c r="C216" s="189"/>
      <c r="D216" s="185"/>
      <c r="E216" s="186"/>
      <c r="F216" s="187"/>
    </row>
    <row r="217" spans="1:6" x14ac:dyDescent="0.2">
      <c r="A217" s="275"/>
      <c r="B217" s="78"/>
      <c r="C217" s="189"/>
      <c r="D217" s="185"/>
      <c r="E217" s="186"/>
      <c r="F217" s="187"/>
    </row>
    <row r="218" spans="1:6" x14ac:dyDescent="0.2">
      <c r="A218" s="275"/>
      <c r="B218" s="78"/>
      <c r="C218" s="189"/>
      <c r="D218" s="185"/>
      <c r="E218" s="186"/>
      <c r="F218" s="187"/>
    </row>
    <row r="219" spans="1:6" x14ac:dyDescent="0.2">
      <c r="A219" s="275"/>
      <c r="B219" s="78"/>
      <c r="C219" s="189"/>
      <c r="D219" s="185"/>
      <c r="E219" s="186"/>
      <c r="F219" s="187"/>
    </row>
    <row r="220" spans="1:6" x14ac:dyDescent="0.2">
      <c r="A220" s="275"/>
      <c r="B220" s="78"/>
      <c r="C220" s="189"/>
      <c r="D220" s="185"/>
      <c r="E220" s="186"/>
      <c r="F220" s="187"/>
    </row>
    <row r="221" spans="1:6" x14ac:dyDescent="0.2">
      <c r="A221" s="275"/>
      <c r="B221" s="78"/>
      <c r="C221" s="189"/>
      <c r="D221" s="185"/>
      <c r="E221" s="186"/>
      <c r="F221" s="187"/>
    </row>
    <row r="222" spans="1:6" x14ac:dyDescent="0.2">
      <c r="A222" s="275"/>
      <c r="B222" s="78"/>
      <c r="C222" s="189"/>
      <c r="D222" s="185"/>
      <c r="E222" s="186"/>
      <c r="F222" s="187"/>
    </row>
    <row r="223" spans="1:6" x14ac:dyDescent="0.2">
      <c r="A223" s="275"/>
      <c r="B223" s="78"/>
      <c r="C223" s="189"/>
      <c r="D223" s="185"/>
      <c r="E223" s="186"/>
      <c r="F223" s="187"/>
    </row>
    <row r="224" spans="1:6" x14ac:dyDescent="0.2">
      <c r="A224" s="275"/>
      <c r="B224" s="78"/>
      <c r="C224" s="189"/>
      <c r="D224" s="185"/>
      <c r="E224" s="186"/>
      <c r="F224" s="187"/>
    </row>
    <row r="225" spans="1:6" x14ac:dyDescent="0.2">
      <c r="A225" s="275"/>
      <c r="B225" s="78"/>
      <c r="C225" s="189"/>
      <c r="D225" s="185"/>
      <c r="E225" s="186"/>
      <c r="F225" s="187"/>
    </row>
    <row r="226" spans="1:6" x14ac:dyDescent="0.2">
      <c r="A226" s="275"/>
      <c r="B226" s="78"/>
      <c r="C226" s="189"/>
      <c r="D226" s="185"/>
      <c r="E226" s="186"/>
      <c r="F226" s="187"/>
    </row>
    <row r="227" spans="1:6" x14ac:dyDescent="0.2">
      <c r="A227" s="275"/>
      <c r="B227" s="78"/>
      <c r="C227" s="189"/>
      <c r="D227" s="185"/>
      <c r="E227" s="186"/>
      <c r="F227" s="187"/>
    </row>
    <row r="228" spans="1:6" x14ac:dyDescent="0.2">
      <c r="A228" s="275"/>
      <c r="B228" s="78"/>
      <c r="C228" s="189"/>
      <c r="D228" s="185"/>
      <c r="E228" s="186"/>
      <c r="F228" s="187"/>
    </row>
    <row r="229" spans="1:6" x14ac:dyDescent="0.2">
      <c r="A229" s="275"/>
      <c r="B229" s="78"/>
      <c r="C229" s="189"/>
      <c r="D229" s="185"/>
      <c r="E229" s="186"/>
      <c r="F229" s="187"/>
    </row>
    <row r="230" spans="1:6" x14ac:dyDescent="0.2">
      <c r="A230" s="275"/>
      <c r="B230" s="78"/>
      <c r="C230" s="189"/>
      <c r="D230" s="185"/>
      <c r="E230" s="186"/>
      <c r="F230" s="187"/>
    </row>
    <row r="231" spans="1:6" x14ac:dyDescent="0.2">
      <c r="A231" s="275"/>
      <c r="B231" s="78"/>
      <c r="C231" s="189"/>
      <c r="D231" s="185"/>
      <c r="E231" s="186"/>
      <c r="F231" s="187"/>
    </row>
    <row r="232" spans="1:6" x14ac:dyDescent="0.2">
      <c r="A232" s="275"/>
      <c r="B232" s="78"/>
      <c r="C232" s="189"/>
      <c r="D232" s="185"/>
      <c r="E232" s="186"/>
      <c r="F232" s="187"/>
    </row>
    <row r="233" spans="1:6" x14ac:dyDescent="0.2">
      <c r="A233" s="275"/>
      <c r="B233" s="78"/>
      <c r="C233" s="189"/>
      <c r="D233" s="185"/>
      <c r="E233" s="186"/>
      <c r="F233" s="187"/>
    </row>
    <row r="234" spans="1:6" x14ac:dyDescent="0.2">
      <c r="A234" s="275"/>
      <c r="B234" s="78"/>
      <c r="C234" s="189"/>
      <c r="D234" s="185"/>
      <c r="E234" s="186"/>
      <c r="F234" s="187"/>
    </row>
    <row r="235" spans="1:6" x14ac:dyDescent="0.2">
      <c r="A235" s="275"/>
      <c r="B235" s="78"/>
      <c r="C235" s="189"/>
      <c r="D235" s="185"/>
      <c r="E235" s="186"/>
      <c r="F235" s="187"/>
    </row>
    <row r="236" spans="1:6" x14ac:dyDescent="0.2">
      <c r="A236" s="275"/>
      <c r="B236" s="78"/>
      <c r="C236" s="189"/>
      <c r="D236" s="185"/>
      <c r="E236" s="186"/>
      <c r="F236" s="187"/>
    </row>
    <row r="237" spans="1:6" x14ac:dyDescent="0.2">
      <c r="A237" s="275"/>
      <c r="B237" s="78"/>
      <c r="C237" s="189"/>
      <c r="D237" s="185"/>
      <c r="E237" s="186"/>
      <c r="F237" s="187"/>
    </row>
    <row r="238" spans="1:6" x14ac:dyDescent="0.2">
      <c r="A238" s="275"/>
      <c r="B238" s="78"/>
      <c r="C238" s="189"/>
      <c r="D238" s="185"/>
      <c r="E238" s="186"/>
      <c r="F238" s="187"/>
    </row>
    <row r="239" spans="1:6" x14ac:dyDescent="0.2">
      <c r="A239" s="275"/>
      <c r="B239" s="78"/>
      <c r="C239" s="189"/>
      <c r="D239" s="185"/>
      <c r="E239" s="186"/>
      <c r="F239" s="187"/>
    </row>
    <row r="240" spans="1:6" x14ac:dyDescent="0.2">
      <c r="A240" s="275"/>
      <c r="B240" s="78"/>
      <c r="C240" s="189"/>
      <c r="D240" s="185"/>
      <c r="E240" s="186"/>
      <c r="F240" s="187"/>
    </row>
    <row r="241" spans="1:6" x14ac:dyDescent="0.2">
      <c r="A241" s="275"/>
      <c r="B241" s="78"/>
      <c r="C241" s="189"/>
      <c r="D241" s="185"/>
      <c r="E241" s="186"/>
      <c r="F241" s="187"/>
    </row>
    <row r="242" spans="1:6" x14ac:dyDescent="0.2">
      <c r="A242" s="275"/>
      <c r="B242" s="78"/>
      <c r="C242" s="189"/>
      <c r="D242" s="185"/>
      <c r="E242" s="186"/>
      <c r="F242" s="187"/>
    </row>
    <row r="243" spans="1:6" x14ac:dyDescent="0.2">
      <c r="A243" s="275"/>
      <c r="B243" s="78"/>
      <c r="C243" s="189"/>
      <c r="D243" s="185"/>
      <c r="E243" s="186"/>
      <c r="F243" s="187"/>
    </row>
    <row r="244" spans="1:6" x14ac:dyDescent="0.2">
      <c r="A244" s="275"/>
      <c r="B244" s="78"/>
      <c r="C244" s="189"/>
      <c r="D244" s="185"/>
      <c r="E244" s="186"/>
      <c r="F244" s="187"/>
    </row>
    <row r="245" spans="1:6" x14ac:dyDescent="0.2">
      <c r="A245" s="275"/>
      <c r="B245" s="78"/>
      <c r="C245" s="189"/>
      <c r="D245" s="185"/>
      <c r="E245" s="186"/>
      <c r="F245" s="187"/>
    </row>
    <row r="246" spans="1:6" x14ac:dyDescent="0.2">
      <c r="A246" s="275"/>
      <c r="B246" s="78"/>
      <c r="C246" s="189"/>
      <c r="D246" s="185"/>
      <c r="E246" s="186"/>
      <c r="F246" s="187"/>
    </row>
    <row r="247" spans="1:6" x14ac:dyDescent="0.2">
      <c r="A247" s="275"/>
      <c r="B247" s="78"/>
      <c r="C247" s="189"/>
      <c r="D247" s="185"/>
      <c r="E247" s="186"/>
      <c r="F247" s="187"/>
    </row>
    <row r="248" spans="1:6" x14ac:dyDescent="0.2">
      <c r="A248" s="275"/>
      <c r="B248" s="78"/>
      <c r="C248" s="189"/>
      <c r="D248" s="185"/>
      <c r="E248" s="186"/>
      <c r="F248" s="187"/>
    </row>
    <row r="249" spans="1:6" x14ac:dyDescent="0.2">
      <c r="A249" s="275"/>
      <c r="B249" s="78"/>
      <c r="C249" s="189"/>
      <c r="D249" s="185"/>
      <c r="E249" s="186"/>
      <c r="F249" s="187"/>
    </row>
    <row r="250" spans="1:6" x14ac:dyDescent="0.2">
      <c r="A250" s="275"/>
      <c r="B250" s="78"/>
      <c r="C250" s="189"/>
      <c r="D250" s="185"/>
      <c r="E250" s="186"/>
      <c r="F250" s="187"/>
    </row>
    <row r="251" spans="1:6" x14ac:dyDescent="0.2">
      <c r="A251" s="275"/>
      <c r="B251" s="78"/>
      <c r="C251" s="189"/>
      <c r="D251" s="185"/>
      <c r="E251" s="186"/>
      <c r="F251" s="187"/>
    </row>
    <row r="252" spans="1:6" x14ac:dyDescent="0.2">
      <c r="A252" s="275"/>
      <c r="B252" s="78"/>
      <c r="C252" s="189"/>
      <c r="D252" s="185"/>
      <c r="E252" s="186"/>
      <c r="F252" s="187"/>
    </row>
    <row r="253" spans="1:6" x14ac:dyDescent="0.2">
      <c r="A253" s="275"/>
      <c r="B253" s="78"/>
      <c r="C253" s="189"/>
      <c r="D253" s="185"/>
      <c r="E253" s="186"/>
      <c r="F253" s="187"/>
    </row>
    <row r="254" spans="1:6" x14ac:dyDescent="0.2">
      <c r="A254" s="275"/>
      <c r="B254" s="78"/>
      <c r="C254" s="189"/>
      <c r="D254" s="185"/>
      <c r="E254" s="186"/>
      <c r="F254" s="187"/>
    </row>
    <row r="255" spans="1:6" x14ac:dyDescent="0.2">
      <c r="A255" s="275"/>
      <c r="B255" s="78"/>
      <c r="C255" s="189"/>
      <c r="D255" s="185"/>
      <c r="E255" s="186"/>
      <c r="F255" s="187"/>
    </row>
    <row r="256" spans="1:6" x14ac:dyDescent="0.2">
      <c r="A256" s="275"/>
      <c r="B256" s="78"/>
      <c r="C256" s="189"/>
      <c r="D256" s="185"/>
      <c r="E256" s="186"/>
      <c r="F256" s="187"/>
    </row>
    <row r="257" spans="1:6" x14ac:dyDescent="0.2">
      <c r="A257" s="275"/>
      <c r="B257" s="78"/>
      <c r="C257" s="189"/>
      <c r="D257" s="185"/>
      <c r="E257" s="186"/>
      <c r="F257" s="187"/>
    </row>
    <row r="258" spans="1:6" x14ac:dyDescent="0.2">
      <c r="A258" s="275"/>
      <c r="B258" s="78"/>
      <c r="C258" s="189"/>
      <c r="D258" s="185"/>
      <c r="E258" s="186"/>
      <c r="F258" s="187"/>
    </row>
    <row r="259" spans="1:6" x14ac:dyDescent="0.2">
      <c r="A259" s="275"/>
      <c r="B259" s="78"/>
      <c r="C259" s="189"/>
      <c r="D259" s="185"/>
      <c r="E259" s="186"/>
      <c r="F259" s="187"/>
    </row>
    <row r="260" spans="1:6" x14ac:dyDescent="0.2">
      <c r="A260" s="275"/>
      <c r="B260" s="78"/>
      <c r="C260" s="189"/>
      <c r="D260" s="185"/>
      <c r="E260" s="186"/>
      <c r="F260" s="187"/>
    </row>
    <row r="261" spans="1:6" x14ac:dyDescent="0.2">
      <c r="A261" s="275"/>
      <c r="B261" s="78"/>
      <c r="C261" s="189"/>
      <c r="D261" s="185"/>
      <c r="E261" s="186"/>
      <c r="F261" s="187"/>
    </row>
    <row r="262" spans="1:6" x14ac:dyDescent="0.2">
      <c r="A262" s="275"/>
      <c r="B262" s="78"/>
      <c r="C262" s="189"/>
      <c r="D262" s="185"/>
      <c r="E262" s="186"/>
      <c r="F262" s="187"/>
    </row>
    <row r="263" spans="1:6" x14ac:dyDescent="0.2">
      <c r="A263" s="275"/>
      <c r="B263" s="78"/>
      <c r="C263" s="189"/>
      <c r="D263" s="185"/>
      <c r="E263" s="186"/>
      <c r="F263" s="187"/>
    </row>
    <row r="264" spans="1:6" x14ac:dyDescent="0.2">
      <c r="A264" s="275"/>
      <c r="B264" s="78"/>
      <c r="C264" s="189"/>
      <c r="D264" s="185"/>
      <c r="E264" s="186"/>
      <c r="F264" s="187"/>
    </row>
    <row r="265" spans="1:6" x14ac:dyDescent="0.2">
      <c r="A265" s="275"/>
      <c r="B265" s="78"/>
      <c r="C265" s="189"/>
      <c r="D265" s="185"/>
      <c r="E265" s="186"/>
      <c r="F265" s="187"/>
    </row>
    <row r="266" spans="1:6" x14ac:dyDescent="0.2">
      <c r="A266" s="275"/>
      <c r="B266" s="78"/>
      <c r="C266" s="189"/>
      <c r="D266" s="185"/>
      <c r="E266" s="186"/>
      <c r="F266" s="187"/>
    </row>
    <row r="267" spans="1:6" x14ac:dyDescent="0.2">
      <c r="A267" s="275"/>
      <c r="B267" s="78"/>
      <c r="C267" s="189"/>
      <c r="D267" s="185"/>
      <c r="E267" s="186"/>
      <c r="F267" s="187"/>
    </row>
    <row r="268" spans="1:6" x14ac:dyDescent="0.2">
      <c r="A268" s="275"/>
      <c r="B268" s="78"/>
      <c r="C268" s="189"/>
      <c r="D268" s="185"/>
      <c r="E268" s="186"/>
      <c r="F268" s="187"/>
    </row>
    <row r="269" spans="1:6" x14ac:dyDescent="0.2">
      <c r="A269" s="275"/>
      <c r="B269" s="78"/>
      <c r="C269" s="189"/>
      <c r="D269" s="185"/>
      <c r="E269" s="186"/>
      <c r="F269" s="187"/>
    </row>
    <row r="270" spans="1:6" x14ac:dyDescent="0.2">
      <c r="A270" s="275"/>
      <c r="B270" s="78"/>
      <c r="C270" s="189"/>
      <c r="D270" s="185"/>
      <c r="E270" s="186"/>
      <c r="F270" s="187"/>
    </row>
    <row r="271" spans="1:6" x14ac:dyDescent="0.2">
      <c r="A271" s="275"/>
      <c r="B271" s="78"/>
      <c r="C271" s="189"/>
      <c r="D271" s="185"/>
      <c r="E271" s="186"/>
      <c r="F271" s="187"/>
    </row>
    <row r="272" spans="1:6" x14ac:dyDescent="0.2">
      <c r="A272" s="275"/>
      <c r="B272" s="78"/>
      <c r="C272" s="189"/>
      <c r="D272" s="185"/>
      <c r="E272" s="186"/>
      <c r="F272" s="187"/>
    </row>
    <row r="273" spans="1:6" x14ac:dyDescent="0.2">
      <c r="A273" s="275"/>
      <c r="B273" s="78"/>
      <c r="C273" s="189"/>
      <c r="D273" s="185"/>
      <c r="E273" s="186"/>
      <c r="F273" s="187"/>
    </row>
    <row r="274" spans="1:6" x14ac:dyDescent="0.2">
      <c r="A274" s="275"/>
      <c r="B274" s="78"/>
      <c r="C274" s="189"/>
      <c r="D274" s="185"/>
      <c r="E274" s="186"/>
      <c r="F274" s="187"/>
    </row>
    <row r="275" spans="1:6" x14ac:dyDescent="0.2">
      <c r="A275" s="275"/>
      <c r="B275" s="78"/>
      <c r="C275" s="189"/>
      <c r="D275" s="185"/>
      <c r="E275" s="186"/>
      <c r="F275" s="187"/>
    </row>
    <row r="276" spans="1:6" x14ac:dyDescent="0.2">
      <c r="A276" s="275"/>
      <c r="B276" s="78"/>
      <c r="C276" s="189"/>
      <c r="D276" s="185"/>
      <c r="E276" s="186"/>
      <c r="F276" s="187"/>
    </row>
    <row r="277" spans="1:6" x14ac:dyDescent="0.2">
      <c r="A277" s="275"/>
      <c r="B277" s="78"/>
      <c r="C277" s="189"/>
      <c r="D277" s="185"/>
      <c r="E277" s="186"/>
      <c r="F277" s="187"/>
    </row>
    <row r="278" spans="1:6" x14ac:dyDescent="0.2">
      <c r="A278" s="275"/>
      <c r="B278" s="78"/>
      <c r="C278" s="189"/>
      <c r="D278" s="185"/>
      <c r="E278" s="186"/>
      <c r="F278" s="187"/>
    </row>
    <row r="279" spans="1:6" x14ac:dyDescent="0.2">
      <c r="A279" s="275"/>
      <c r="B279" s="78"/>
      <c r="C279" s="189"/>
      <c r="D279" s="185"/>
      <c r="E279" s="186"/>
      <c r="F279" s="187"/>
    </row>
    <row r="280" spans="1:6" x14ac:dyDescent="0.2">
      <c r="A280" s="275"/>
      <c r="B280" s="78"/>
      <c r="C280" s="189"/>
      <c r="D280" s="185"/>
      <c r="E280" s="186"/>
      <c r="F280" s="187"/>
    </row>
    <row r="281" spans="1:6" x14ac:dyDescent="0.2">
      <c r="A281" s="275"/>
      <c r="B281" s="78"/>
      <c r="C281" s="189"/>
      <c r="D281" s="185"/>
      <c r="E281" s="186"/>
      <c r="F281" s="187"/>
    </row>
    <row r="282" spans="1:6" x14ac:dyDescent="0.2">
      <c r="A282" s="275"/>
      <c r="B282" s="78"/>
      <c r="C282" s="189"/>
      <c r="D282" s="185"/>
      <c r="E282" s="186"/>
      <c r="F282" s="187"/>
    </row>
    <row r="283" spans="1:6" x14ac:dyDescent="0.2">
      <c r="A283" s="275"/>
      <c r="B283" s="78"/>
      <c r="C283" s="189"/>
      <c r="D283" s="185"/>
      <c r="E283" s="186"/>
      <c r="F283" s="187"/>
    </row>
    <row r="284" spans="1:6" x14ac:dyDescent="0.2">
      <c r="A284" s="275"/>
      <c r="B284" s="78"/>
      <c r="C284" s="189"/>
      <c r="D284" s="185"/>
      <c r="E284" s="186"/>
      <c r="F284" s="187"/>
    </row>
    <row r="285" spans="1:6" x14ac:dyDescent="0.2">
      <c r="A285" s="275"/>
      <c r="B285" s="78"/>
      <c r="C285" s="189"/>
      <c r="D285" s="185"/>
      <c r="E285" s="186"/>
      <c r="F285" s="187"/>
    </row>
    <row r="286" spans="1:6" x14ac:dyDescent="0.2">
      <c r="A286" s="275"/>
      <c r="B286" s="78"/>
      <c r="C286" s="189"/>
      <c r="D286" s="185"/>
      <c r="E286" s="186"/>
      <c r="F286" s="187"/>
    </row>
    <row r="287" spans="1:6" x14ac:dyDescent="0.2">
      <c r="A287" s="275"/>
      <c r="B287" s="78"/>
      <c r="C287" s="189"/>
      <c r="D287" s="185"/>
      <c r="E287" s="186"/>
      <c r="F287" s="187"/>
    </row>
    <row r="288" spans="1:6" x14ac:dyDescent="0.2">
      <c r="A288" s="275"/>
      <c r="B288" s="78"/>
      <c r="C288" s="189"/>
      <c r="D288" s="185"/>
      <c r="E288" s="186"/>
      <c r="F288" s="187"/>
    </row>
    <row r="289" spans="1:6" x14ac:dyDescent="0.2">
      <c r="A289" s="275"/>
      <c r="B289" s="78"/>
      <c r="C289" s="189"/>
      <c r="D289" s="185"/>
      <c r="E289" s="186"/>
      <c r="F289" s="187"/>
    </row>
    <row r="290" spans="1:6" x14ac:dyDescent="0.2">
      <c r="A290" s="275"/>
      <c r="B290" s="78"/>
      <c r="C290" s="189"/>
      <c r="D290" s="185"/>
      <c r="E290" s="186"/>
      <c r="F290" s="187"/>
    </row>
    <row r="291" spans="1:6" x14ac:dyDescent="0.2">
      <c r="A291" s="275"/>
      <c r="B291" s="78"/>
      <c r="C291" s="189"/>
      <c r="D291" s="185"/>
      <c r="E291" s="186"/>
      <c r="F291" s="187"/>
    </row>
    <row r="292" spans="1:6" x14ac:dyDescent="0.2">
      <c r="A292" s="275"/>
      <c r="B292" s="78"/>
      <c r="C292" s="189"/>
      <c r="D292" s="185"/>
      <c r="E292" s="186"/>
      <c r="F292" s="187"/>
    </row>
    <row r="293" spans="1:6" x14ac:dyDescent="0.2">
      <c r="A293" s="275"/>
      <c r="B293" s="78"/>
      <c r="C293" s="189"/>
      <c r="D293" s="185"/>
      <c r="E293" s="186"/>
      <c r="F293" s="187"/>
    </row>
    <row r="294" spans="1:6" x14ac:dyDescent="0.2">
      <c r="A294" s="275"/>
      <c r="B294" s="78"/>
      <c r="C294" s="189"/>
      <c r="D294" s="185"/>
      <c r="E294" s="186"/>
      <c r="F294" s="187"/>
    </row>
    <row r="295" spans="1:6" x14ac:dyDescent="0.2">
      <c r="A295" s="275"/>
      <c r="B295" s="78"/>
      <c r="C295" s="189"/>
      <c r="D295" s="185"/>
      <c r="E295" s="186"/>
      <c r="F295" s="187"/>
    </row>
    <row r="296" spans="1:6" x14ac:dyDescent="0.2">
      <c r="A296" s="275"/>
      <c r="B296" s="78"/>
      <c r="C296" s="189"/>
      <c r="D296" s="185"/>
      <c r="E296" s="186"/>
      <c r="F296" s="187"/>
    </row>
    <row r="297" spans="1:6" x14ac:dyDescent="0.2">
      <c r="A297" s="275"/>
      <c r="B297" s="78"/>
      <c r="C297" s="189"/>
      <c r="D297" s="185"/>
      <c r="E297" s="186"/>
      <c r="F297" s="187"/>
    </row>
    <row r="298" spans="1:6" x14ac:dyDescent="0.2">
      <c r="A298" s="275"/>
      <c r="B298" s="78"/>
      <c r="C298" s="189"/>
      <c r="D298" s="185"/>
      <c r="E298" s="186"/>
      <c r="F298" s="187"/>
    </row>
    <row r="299" spans="1:6" x14ac:dyDescent="0.2">
      <c r="A299" s="275"/>
      <c r="B299" s="78"/>
      <c r="C299" s="189"/>
      <c r="D299" s="185"/>
      <c r="E299" s="186"/>
      <c r="F299" s="187"/>
    </row>
    <row r="300" spans="1:6" x14ac:dyDescent="0.2">
      <c r="A300" s="275"/>
      <c r="B300" s="78"/>
      <c r="C300" s="189"/>
      <c r="D300" s="185"/>
      <c r="E300" s="186"/>
      <c r="F300" s="187"/>
    </row>
    <row r="301" spans="1:6" x14ac:dyDescent="0.2">
      <c r="A301" s="275"/>
      <c r="B301" s="78"/>
      <c r="C301" s="189"/>
      <c r="D301" s="185"/>
      <c r="E301" s="186"/>
      <c r="F301" s="187"/>
    </row>
    <row r="302" spans="1:6" x14ac:dyDescent="0.2">
      <c r="A302" s="275"/>
      <c r="B302" s="78"/>
      <c r="C302" s="189"/>
      <c r="D302" s="185"/>
      <c r="E302" s="186"/>
      <c r="F302" s="187"/>
    </row>
    <row r="303" spans="1:6" x14ac:dyDescent="0.2">
      <c r="A303" s="275"/>
      <c r="B303" s="78"/>
      <c r="C303" s="189"/>
      <c r="D303" s="185"/>
      <c r="E303" s="186"/>
      <c r="F303" s="187"/>
    </row>
    <row r="304" spans="1:6" x14ac:dyDescent="0.2">
      <c r="A304" s="275"/>
      <c r="B304" s="78"/>
      <c r="C304" s="189"/>
      <c r="D304" s="185"/>
      <c r="E304" s="186"/>
      <c r="F304" s="187"/>
    </row>
    <row r="305" spans="1:6" x14ac:dyDescent="0.2">
      <c r="A305" s="275"/>
      <c r="B305" s="78"/>
      <c r="C305" s="189"/>
      <c r="D305" s="185"/>
      <c r="E305" s="186"/>
      <c r="F305" s="187"/>
    </row>
    <row r="306" spans="1:6" x14ac:dyDescent="0.2">
      <c r="A306" s="275"/>
      <c r="B306" s="78"/>
      <c r="C306" s="189"/>
      <c r="D306" s="185"/>
      <c r="E306" s="186"/>
      <c r="F306" s="187"/>
    </row>
    <row r="307" spans="1:6" x14ac:dyDescent="0.2">
      <c r="A307" s="275"/>
      <c r="B307" s="78"/>
      <c r="C307" s="189"/>
      <c r="D307" s="185"/>
      <c r="E307" s="186"/>
      <c r="F307" s="187"/>
    </row>
    <row r="308" spans="1:6" x14ac:dyDescent="0.2">
      <c r="A308" s="275"/>
      <c r="B308" s="78"/>
      <c r="C308" s="189"/>
      <c r="D308" s="185"/>
      <c r="E308" s="186"/>
      <c r="F308" s="187"/>
    </row>
    <row r="309" spans="1:6" x14ac:dyDescent="0.2">
      <c r="A309" s="275"/>
      <c r="B309" s="78"/>
      <c r="C309" s="189"/>
      <c r="D309" s="185"/>
      <c r="E309" s="186"/>
      <c r="F309" s="187"/>
    </row>
    <row r="310" spans="1:6" x14ac:dyDescent="0.2">
      <c r="A310" s="275"/>
      <c r="B310" s="78"/>
      <c r="C310" s="189"/>
      <c r="D310" s="185"/>
      <c r="E310" s="186"/>
      <c r="F310" s="187"/>
    </row>
    <row r="311" spans="1:6" x14ac:dyDescent="0.2">
      <c r="A311" s="275"/>
      <c r="B311" s="78"/>
      <c r="C311" s="189"/>
      <c r="D311" s="185"/>
      <c r="E311" s="186"/>
      <c r="F311" s="187"/>
    </row>
    <row r="312" spans="1:6" x14ac:dyDescent="0.2">
      <c r="A312" s="275"/>
      <c r="B312" s="78"/>
      <c r="C312" s="189"/>
      <c r="D312" s="185"/>
      <c r="E312" s="186"/>
      <c r="F312" s="187"/>
    </row>
    <row r="313" spans="1:6" x14ac:dyDescent="0.2">
      <c r="A313" s="275"/>
      <c r="B313" s="78"/>
      <c r="C313" s="189"/>
      <c r="D313" s="185"/>
      <c r="E313" s="186"/>
      <c r="F313" s="187"/>
    </row>
    <row r="314" spans="1:6" x14ac:dyDescent="0.2">
      <c r="A314" s="275"/>
      <c r="B314" s="78"/>
      <c r="C314" s="189"/>
      <c r="D314" s="185"/>
      <c r="E314" s="186"/>
      <c r="F314" s="187"/>
    </row>
    <row r="315" spans="1:6" x14ac:dyDescent="0.2">
      <c r="A315" s="275"/>
      <c r="B315" s="78"/>
      <c r="C315" s="189"/>
      <c r="D315" s="185"/>
      <c r="E315" s="186"/>
      <c r="F315" s="187"/>
    </row>
    <row r="316" spans="1:6" x14ac:dyDescent="0.2">
      <c r="A316" s="275"/>
      <c r="B316" s="78"/>
      <c r="C316" s="189"/>
      <c r="D316" s="185"/>
      <c r="E316" s="186"/>
      <c r="F316" s="187"/>
    </row>
    <row r="317" spans="1:6" x14ac:dyDescent="0.2">
      <c r="A317" s="275"/>
      <c r="B317" s="78"/>
      <c r="C317" s="189"/>
      <c r="D317" s="185"/>
      <c r="E317" s="186"/>
      <c r="F317" s="187"/>
    </row>
    <row r="318" spans="1:6" x14ac:dyDescent="0.2">
      <c r="A318" s="275"/>
      <c r="B318" s="78"/>
      <c r="C318" s="189"/>
      <c r="D318" s="185"/>
      <c r="E318" s="186"/>
      <c r="F318" s="187"/>
    </row>
    <row r="319" spans="1:6" x14ac:dyDescent="0.2">
      <c r="A319" s="275"/>
      <c r="B319" s="78"/>
      <c r="C319" s="189"/>
      <c r="D319" s="185"/>
      <c r="E319" s="186"/>
      <c r="F319" s="187"/>
    </row>
    <row r="320" spans="1:6" x14ac:dyDescent="0.2">
      <c r="A320" s="275"/>
      <c r="B320" s="78"/>
      <c r="C320" s="189"/>
      <c r="D320" s="185"/>
      <c r="E320" s="186"/>
      <c r="F320" s="187"/>
    </row>
    <row r="321" spans="1:6" x14ac:dyDescent="0.2">
      <c r="A321" s="275"/>
      <c r="B321" s="78"/>
      <c r="C321" s="189"/>
      <c r="D321" s="185"/>
      <c r="E321" s="186"/>
      <c r="F321" s="187"/>
    </row>
    <row r="322" spans="1:6" x14ac:dyDescent="0.2">
      <c r="A322" s="275"/>
      <c r="B322" s="78"/>
      <c r="C322" s="189"/>
      <c r="D322" s="185"/>
      <c r="E322" s="186"/>
      <c r="F322" s="187"/>
    </row>
    <row r="323" spans="1:6" x14ac:dyDescent="0.2">
      <c r="A323" s="275"/>
      <c r="B323" s="78"/>
      <c r="C323" s="189"/>
      <c r="D323" s="185"/>
      <c r="E323" s="186"/>
      <c r="F323" s="187"/>
    </row>
    <row r="324" spans="1:6" x14ac:dyDescent="0.2">
      <c r="A324" s="275"/>
      <c r="B324" s="78"/>
      <c r="C324" s="189"/>
      <c r="D324" s="185"/>
      <c r="E324" s="186"/>
      <c r="F324" s="187"/>
    </row>
    <row r="325" spans="1:6" x14ac:dyDescent="0.2">
      <c r="A325" s="275"/>
      <c r="B325" s="78"/>
      <c r="C325" s="189"/>
      <c r="D325" s="185"/>
      <c r="E325" s="186"/>
      <c r="F325" s="187"/>
    </row>
    <row r="326" spans="1:6" x14ac:dyDescent="0.2">
      <c r="A326" s="275"/>
      <c r="B326" s="78"/>
      <c r="C326" s="189"/>
      <c r="D326" s="185"/>
      <c r="E326" s="186"/>
      <c r="F326" s="187"/>
    </row>
    <row r="327" spans="1:6" x14ac:dyDescent="0.2">
      <c r="A327" s="275"/>
      <c r="B327" s="78"/>
      <c r="C327" s="189"/>
      <c r="D327" s="185"/>
      <c r="E327" s="186"/>
      <c r="F327" s="187"/>
    </row>
    <row r="328" spans="1:6" x14ac:dyDescent="0.2">
      <c r="A328" s="275"/>
      <c r="B328" s="78"/>
      <c r="C328" s="189"/>
      <c r="D328" s="185"/>
      <c r="E328" s="186"/>
      <c r="F328" s="187"/>
    </row>
    <row r="329" spans="1:6" x14ac:dyDescent="0.2">
      <c r="A329" s="275"/>
      <c r="B329" s="78"/>
      <c r="C329" s="189"/>
      <c r="D329" s="185"/>
      <c r="E329" s="186"/>
      <c r="F329" s="187"/>
    </row>
    <row r="330" spans="1:6" x14ac:dyDescent="0.2">
      <c r="A330" s="275"/>
      <c r="B330" s="78"/>
      <c r="C330" s="189"/>
      <c r="D330" s="185"/>
      <c r="E330" s="186"/>
      <c r="F330" s="187"/>
    </row>
    <row r="331" spans="1:6" x14ac:dyDescent="0.2">
      <c r="A331" s="275"/>
      <c r="B331" s="78"/>
      <c r="C331" s="189"/>
      <c r="D331" s="185"/>
      <c r="E331" s="186"/>
      <c r="F331" s="187"/>
    </row>
    <row r="332" spans="1:6" x14ac:dyDescent="0.2">
      <c r="A332" s="275"/>
      <c r="B332" s="78"/>
      <c r="C332" s="189"/>
      <c r="D332" s="185"/>
      <c r="E332" s="186"/>
      <c r="F332" s="187"/>
    </row>
    <row r="333" spans="1:6" x14ac:dyDescent="0.2">
      <c r="A333" s="275"/>
      <c r="B333" s="78"/>
      <c r="C333" s="189"/>
      <c r="D333" s="185"/>
      <c r="E333" s="186"/>
      <c r="F333" s="187"/>
    </row>
    <row r="334" spans="1:6" x14ac:dyDescent="0.2">
      <c r="A334" s="275"/>
      <c r="B334" s="78"/>
      <c r="C334" s="189"/>
      <c r="D334" s="185"/>
      <c r="E334" s="186"/>
      <c r="F334" s="187"/>
    </row>
    <row r="335" spans="1:6" x14ac:dyDescent="0.2">
      <c r="A335" s="275"/>
      <c r="B335" s="78"/>
      <c r="C335" s="189"/>
      <c r="D335" s="185"/>
      <c r="E335" s="186"/>
      <c r="F335" s="187"/>
    </row>
    <row r="336" spans="1:6" x14ac:dyDescent="0.2">
      <c r="A336" s="275"/>
      <c r="B336" s="78"/>
      <c r="C336" s="189"/>
      <c r="D336" s="185"/>
      <c r="E336" s="186"/>
      <c r="F336" s="187"/>
    </row>
    <row r="337" spans="1:6" x14ac:dyDescent="0.2">
      <c r="A337" s="275"/>
      <c r="B337" s="78"/>
      <c r="C337" s="189"/>
      <c r="D337" s="185"/>
      <c r="E337" s="186"/>
      <c r="F337" s="187"/>
    </row>
    <row r="338" spans="1:6" x14ac:dyDescent="0.2">
      <c r="A338" s="275"/>
      <c r="B338" s="78"/>
      <c r="C338" s="189"/>
      <c r="D338" s="185"/>
      <c r="E338" s="186"/>
      <c r="F338" s="187"/>
    </row>
    <row r="339" spans="1:6" x14ac:dyDescent="0.2">
      <c r="A339" s="275"/>
      <c r="B339" s="78"/>
      <c r="C339" s="189"/>
      <c r="D339" s="185"/>
      <c r="E339" s="186"/>
      <c r="F339" s="187"/>
    </row>
    <row r="340" spans="1:6" x14ac:dyDescent="0.2">
      <c r="A340" s="275"/>
      <c r="B340" s="78"/>
      <c r="C340" s="189"/>
      <c r="D340" s="185"/>
      <c r="E340" s="186"/>
      <c r="F340" s="187"/>
    </row>
    <row r="341" spans="1:6" x14ac:dyDescent="0.2">
      <c r="A341" s="275"/>
      <c r="B341" s="78"/>
      <c r="C341" s="189"/>
      <c r="D341" s="185"/>
      <c r="E341" s="186"/>
      <c r="F341" s="187"/>
    </row>
    <row r="342" spans="1:6" x14ac:dyDescent="0.2">
      <c r="A342" s="275"/>
      <c r="B342" s="78"/>
      <c r="C342" s="189"/>
      <c r="D342" s="185"/>
      <c r="E342" s="186"/>
      <c r="F342" s="187"/>
    </row>
    <row r="343" spans="1:6" x14ac:dyDescent="0.2">
      <c r="A343" s="275"/>
      <c r="B343" s="78"/>
      <c r="C343" s="189"/>
      <c r="D343" s="185"/>
      <c r="E343" s="186"/>
      <c r="F343" s="187"/>
    </row>
    <row r="344" spans="1:6" x14ac:dyDescent="0.2">
      <c r="A344" s="275"/>
      <c r="B344" s="78"/>
      <c r="C344" s="189"/>
      <c r="D344" s="185"/>
      <c r="E344" s="186"/>
      <c r="F344" s="187"/>
    </row>
    <row r="345" spans="1:6" x14ac:dyDescent="0.2">
      <c r="A345" s="275"/>
      <c r="B345" s="78"/>
      <c r="C345" s="189"/>
      <c r="D345" s="185"/>
      <c r="E345" s="186"/>
      <c r="F345" s="187"/>
    </row>
    <row r="346" spans="1:6" x14ac:dyDescent="0.2">
      <c r="A346" s="275"/>
      <c r="B346" s="78"/>
      <c r="C346" s="189"/>
      <c r="D346" s="185"/>
      <c r="E346" s="186"/>
      <c r="F346" s="187"/>
    </row>
    <row r="347" spans="1:6" x14ac:dyDescent="0.2">
      <c r="A347" s="275"/>
      <c r="B347" s="78"/>
      <c r="C347" s="189"/>
      <c r="D347" s="185"/>
      <c r="E347" s="186"/>
      <c r="F347" s="187"/>
    </row>
    <row r="348" spans="1:6" x14ac:dyDescent="0.2">
      <c r="A348" s="275"/>
      <c r="B348" s="78"/>
      <c r="C348" s="189"/>
      <c r="D348" s="185"/>
      <c r="E348" s="186"/>
      <c r="F348" s="187"/>
    </row>
    <row r="349" spans="1:6" x14ac:dyDescent="0.2">
      <c r="A349" s="275"/>
      <c r="B349" s="78"/>
      <c r="C349" s="189"/>
      <c r="D349" s="185"/>
      <c r="E349" s="186"/>
      <c r="F349" s="187"/>
    </row>
    <row r="350" spans="1:6" x14ac:dyDescent="0.2">
      <c r="A350" s="275"/>
      <c r="B350" s="78"/>
      <c r="C350" s="189"/>
      <c r="D350" s="185"/>
      <c r="E350" s="186"/>
      <c r="F350" s="187"/>
    </row>
    <row r="351" spans="1:6" x14ac:dyDescent="0.2">
      <c r="A351" s="275"/>
      <c r="B351" s="78"/>
      <c r="C351" s="189"/>
      <c r="D351" s="185"/>
      <c r="E351" s="186"/>
      <c r="F351" s="187"/>
    </row>
    <row r="352" spans="1:6" x14ac:dyDescent="0.2">
      <c r="A352" s="275"/>
      <c r="B352" s="78"/>
      <c r="C352" s="189"/>
      <c r="D352" s="185"/>
      <c r="E352" s="186"/>
      <c r="F352" s="187"/>
    </row>
    <row r="353" spans="1:6" x14ac:dyDescent="0.2">
      <c r="A353" s="275"/>
      <c r="B353" s="78"/>
      <c r="C353" s="189"/>
      <c r="D353" s="185"/>
      <c r="E353" s="186"/>
      <c r="F353" s="187"/>
    </row>
    <row r="354" spans="1:6" x14ac:dyDescent="0.2">
      <c r="A354" s="275"/>
      <c r="B354" s="78"/>
      <c r="C354" s="189"/>
      <c r="D354" s="185"/>
      <c r="E354" s="186"/>
      <c r="F354" s="187"/>
    </row>
    <row r="355" spans="1:6" x14ac:dyDescent="0.2">
      <c r="A355" s="275"/>
      <c r="B355" s="78"/>
      <c r="C355" s="189"/>
      <c r="D355" s="185"/>
      <c r="E355" s="186"/>
      <c r="F355" s="187"/>
    </row>
    <row r="356" spans="1:6" x14ac:dyDescent="0.2">
      <c r="A356" s="275"/>
      <c r="B356" s="78"/>
      <c r="C356" s="189"/>
      <c r="D356" s="185"/>
      <c r="E356" s="186"/>
      <c r="F356" s="187"/>
    </row>
    <row r="357" spans="1:6" x14ac:dyDescent="0.2">
      <c r="A357" s="275"/>
      <c r="B357" s="78"/>
      <c r="C357" s="189"/>
      <c r="D357" s="185"/>
      <c r="E357" s="186"/>
      <c r="F357" s="187"/>
    </row>
    <row r="358" spans="1:6" x14ac:dyDescent="0.2">
      <c r="A358" s="275"/>
      <c r="B358" s="78"/>
      <c r="C358" s="189"/>
      <c r="D358" s="185"/>
      <c r="E358" s="186"/>
      <c r="F358" s="187"/>
    </row>
    <row r="359" spans="1:6" x14ac:dyDescent="0.2">
      <c r="A359" s="275"/>
      <c r="B359" s="78"/>
      <c r="C359" s="189"/>
      <c r="D359" s="185"/>
      <c r="E359" s="186"/>
      <c r="F359" s="187"/>
    </row>
    <row r="360" spans="1:6" x14ac:dyDescent="0.2">
      <c r="A360" s="275"/>
      <c r="B360" s="78"/>
      <c r="C360" s="189"/>
      <c r="D360" s="185"/>
      <c r="E360" s="186"/>
      <c r="F360" s="187"/>
    </row>
    <row r="361" spans="1:6" x14ac:dyDescent="0.2">
      <c r="A361" s="275"/>
      <c r="B361" s="78"/>
      <c r="C361" s="189"/>
      <c r="D361" s="185"/>
      <c r="E361" s="186"/>
      <c r="F361" s="187"/>
    </row>
    <row r="362" spans="1:6" x14ac:dyDescent="0.2">
      <c r="A362" s="275"/>
      <c r="B362" s="78"/>
      <c r="C362" s="189"/>
      <c r="D362" s="185"/>
      <c r="E362" s="186"/>
      <c r="F362" s="187"/>
    </row>
    <row r="363" spans="1:6" x14ac:dyDescent="0.2">
      <c r="A363" s="275"/>
      <c r="B363" s="78"/>
      <c r="C363" s="189"/>
      <c r="D363" s="185"/>
      <c r="E363" s="186"/>
      <c r="F363" s="187"/>
    </row>
    <row r="364" spans="1:6" x14ac:dyDescent="0.2">
      <c r="A364" s="275"/>
      <c r="B364" s="78"/>
      <c r="C364" s="189"/>
      <c r="D364" s="185"/>
      <c r="E364" s="186"/>
      <c r="F364" s="187"/>
    </row>
    <row r="365" spans="1:6" x14ac:dyDescent="0.2">
      <c r="A365" s="275"/>
      <c r="B365" s="78"/>
      <c r="C365" s="189"/>
      <c r="D365" s="185"/>
      <c r="E365" s="186"/>
      <c r="F365" s="187"/>
    </row>
    <row r="366" spans="1:6" x14ac:dyDescent="0.2">
      <c r="A366" s="275"/>
      <c r="B366" s="78"/>
      <c r="C366" s="189"/>
      <c r="D366" s="185"/>
      <c r="E366" s="186"/>
      <c r="F366" s="187"/>
    </row>
    <row r="367" spans="1:6" x14ac:dyDescent="0.2">
      <c r="A367" s="275"/>
      <c r="B367" s="78"/>
      <c r="C367" s="189"/>
      <c r="D367" s="185"/>
      <c r="E367" s="186"/>
      <c r="F367" s="187"/>
    </row>
    <row r="368" spans="1:6" x14ac:dyDescent="0.2">
      <c r="A368" s="275"/>
      <c r="B368" s="78"/>
      <c r="C368" s="189"/>
      <c r="D368" s="185"/>
      <c r="E368" s="186"/>
      <c r="F368" s="187"/>
    </row>
    <row r="369" spans="1:6" x14ac:dyDescent="0.2">
      <c r="A369" s="275"/>
      <c r="B369" s="78"/>
      <c r="C369" s="189"/>
      <c r="D369" s="185"/>
      <c r="E369" s="186"/>
      <c r="F369" s="187"/>
    </row>
    <row r="370" spans="1:6" x14ac:dyDescent="0.2">
      <c r="A370" s="275"/>
      <c r="B370" s="78"/>
      <c r="C370" s="189"/>
      <c r="D370" s="185"/>
      <c r="E370" s="186"/>
      <c r="F370" s="187"/>
    </row>
    <row r="371" spans="1:6" x14ac:dyDescent="0.2">
      <c r="A371" s="275"/>
      <c r="B371" s="78"/>
      <c r="C371" s="189"/>
      <c r="D371" s="185"/>
      <c r="E371" s="186"/>
      <c r="F371" s="187"/>
    </row>
    <row r="372" spans="1:6" x14ac:dyDescent="0.2">
      <c r="A372" s="275"/>
      <c r="B372" s="78"/>
      <c r="C372" s="189"/>
      <c r="D372" s="185"/>
      <c r="E372" s="186"/>
      <c r="F372" s="187"/>
    </row>
    <row r="373" spans="1:6" x14ac:dyDescent="0.2">
      <c r="A373" s="275"/>
      <c r="B373" s="78"/>
      <c r="C373" s="189"/>
      <c r="D373" s="185"/>
      <c r="E373" s="186"/>
      <c r="F373" s="187"/>
    </row>
    <row r="374" spans="1:6" x14ac:dyDescent="0.2">
      <c r="A374" s="275"/>
      <c r="B374" s="78"/>
      <c r="C374" s="189"/>
      <c r="D374" s="185"/>
      <c r="E374" s="186"/>
      <c r="F374" s="187"/>
    </row>
    <row r="375" spans="1:6" x14ac:dyDescent="0.2">
      <c r="A375" s="275"/>
      <c r="B375" s="78"/>
      <c r="C375" s="189"/>
      <c r="D375" s="185"/>
      <c r="E375" s="186"/>
      <c r="F375" s="187"/>
    </row>
    <row r="376" spans="1:6" x14ac:dyDescent="0.2">
      <c r="A376" s="275"/>
      <c r="B376" s="78"/>
      <c r="C376" s="189"/>
      <c r="D376" s="185"/>
      <c r="E376" s="186"/>
      <c r="F376" s="187"/>
    </row>
    <row r="377" spans="1:6" x14ac:dyDescent="0.2">
      <c r="A377" s="275"/>
      <c r="B377" s="78"/>
      <c r="C377" s="189"/>
      <c r="D377" s="185"/>
      <c r="E377" s="186"/>
      <c r="F377" s="187"/>
    </row>
    <row r="378" spans="1:6" x14ac:dyDescent="0.2">
      <c r="A378" s="275"/>
      <c r="B378" s="78"/>
      <c r="C378" s="189"/>
      <c r="D378" s="185"/>
      <c r="E378" s="186"/>
      <c r="F378" s="187"/>
    </row>
    <row r="379" spans="1:6" x14ac:dyDescent="0.2">
      <c r="A379" s="275"/>
      <c r="B379" s="78"/>
      <c r="C379" s="189"/>
      <c r="D379" s="185"/>
      <c r="E379" s="186"/>
      <c r="F379" s="187"/>
    </row>
    <row r="380" spans="1:6" x14ac:dyDescent="0.2">
      <c r="A380" s="275"/>
      <c r="B380" s="78"/>
      <c r="C380" s="189"/>
      <c r="D380" s="185"/>
      <c r="E380" s="186"/>
      <c r="F380" s="187"/>
    </row>
    <row r="381" spans="1:6" x14ac:dyDescent="0.2">
      <c r="A381" s="275"/>
      <c r="B381" s="78"/>
      <c r="C381" s="189"/>
      <c r="D381" s="185"/>
      <c r="E381" s="186"/>
      <c r="F381" s="187"/>
    </row>
    <row r="382" spans="1:6" x14ac:dyDescent="0.2">
      <c r="A382" s="275"/>
      <c r="B382" s="78"/>
      <c r="C382" s="189"/>
      <c r="D382" s="185"/>
      <c r="E382" s="186"/>
      <c r="F382" s="187"/>
    </row>
    <row r="383" spans="1:6" x14ac:dyDescent="0.2">
      <c r="A383" s="275"/>
      <c r="B383" s="78"/>
      <c r="C383" s="189"/>
      <c r="D383" s="185"/>
      <c r="E383" s="186"/>
      <c r="F383" s="187"/>
    </row>
    <row r="384" spans="1:6" x14ac:dyDescent="0.2">
      <c r="A384" s="275"/>
      <c r="B384" s="78"/>
      <c r="C384" s="189"/>
      <c r="D384" s="185"/>
      <c r="E384" s="186"/>
      <c r="F384" s="187"/>
    </row>
    <row r="385" spans="1:6" x14ac:dyDescent="0.2">
      <c r="A385" s="275"/>
      <c r="B385" s="78"/>
      <c r="C385" s="189"/>
      <c r="D385" s="185"/>
      <c r="E385" s="186"/>
      <c r="F385" s="187"/>
    </row>
    <row r="386" spans="1:6" x14ac:dyDescent="0.2">
      <c r="A386" s="275"/>
      <c r="B386" s="78"/>
      <c r="C386" s="189"/>
      <c r="D386" s="185"/>
      <c r="E386" s="186"/>
      <c r="F386" s="187"/>
    </row>
    <row r="387" spans="1:6" x14ac:dyDescent="0.2">
      <c r="A387" s="275"/>
      <c r="B387" s="78"/>
      <c r="C387" s="189"/>
      <c r="D387" s="185"/>
      <c r="E387" s="186"/>
      <c r="F387" s="187"/>
    </row>
    <row r="388" spans="1:6" x14ac:dyDescent="0.2">
      <c r="A388" s="275"/>
      <c r="B388" s="78"/>
      <c r="C388" s="189"/>
      <c r="D388" s="185"/>
      <c r="E388" s="186"/>
      <c r="F388" s="187"/>
    </row>
    <row r="389" spans="1:6" x14ac:dyDescent="0.2">
      <c r="A389" s="275"/>
      <c r="B389" s="78"/>
      <c r="C389" s="189"/>
      <c r="D389" s="185"/>
      <c r="E389" s="186"/>
      <c r="F389" s="187"/>
    </row>
    <row r="390" spans="1:6" x14ac:dyDescent="0.2">
      <c r="A390" s="275"/>
      <c r="B390" s="78"/>
      <c r="C390" s="189"/>
      <c r="D390" s="185"/>
      <c r="E390" s="186"/>
      <c r="F390" s="187"/>
    </row>
    <row r="391" spans="1:6" x14ac:dyDescent="0.2">
      <c r="A391" s="275"/>
      <c r="B391" s="78"/>
      <c r="C391" s="189"/>
      <c r="D391" s="185"/>
      <c r="E391" s="186"/>
      <c r="F391" s="187"/>
    </row>
    <row r="392" spans="1:6" x14ac:dyDescent="0.2">
      <c r="A392" s="275"/>
      <c r="B392" s="78"/>
      <c r="C392" s="189"/>
      <c r="D392" s="185"/>
      <c r="E392" s="186"/>
      <c r="F392" s="187"/>
    </row>
    <row r="393" spans="1:6" x14ac:dyDescent="0.2">
      <c r="A393" s="275"/>
      <c r="B393" s="78"/>
      <c r="C393" s="189"/>
      <c r="D393" s="185"/>
      <c r="E393" s="186"/>
      <c r="F393" s="187"/>
    </row>
    <row r="394" spans="1:6" x14ac:dyDescent="0.2">
      <c r="A394" s="275"/>
      <c r="B394" s="78"/>
      <c r="C394" s="189"/>
      <c r="D394" s="185"/>
      <c r="E394" s="186"/>
      <c r="F394" s="187"/>
    </row>
    <row r="395" spans="1:6" x14ac:dyDescent="0.2">
      <c r="A395" s="275"/>
      <c r="B395" s="78"/>
      <c r="C395" s="189"/>
      <c r="D395" s="185"/>
      <c r="E395" s="186"/>
      <c r="F395" s="187"/>
    </row>
    <row r="396" spans="1:6" x14ac:dyDescent="0.2">
      <c r="A396" s="275"/>
      <c r="B396" s="78"/>
      <c r="C396" s="189"/>
      <c r="D396" s="185"/>
      <c r="E396" s="186"/>
      <c r="F396" s="187"/>
    </row>
    <row r="397" spans="1:6" x14ac:dyDescent="0.2">
      <c r="A397" s="275"/>
      <c r="B397" s="78"/>
      <c r="C397" s="189"/>
      <c r="D397" s="185"/>
      <c r="E397" s="186"/>
      <c r="F397" s="187"/>
    </row>
    <row r="398" spans="1:6" x14ac:dyDescent="0.2">
      <c r="A398" s="275"/>
      <c r="B398" s="78"/>
      <c r="C398" s="189"/>
      <c r="D398" s="185"/>
      <c r="E398" s="186"/>
      <c r="F398" s="187"/>
    </row>
    <row r="399" spans="1:6" x14ac:dyDescent="0.2">
      <c r="A399" s="275"/>
      <c r="B399" s="78"/>
      <c r="C399" s="189"/>
      <c r="D399" s="185"/>
      <c r="E399" s="186"/>
      <c r="F399" s="187"/>
    </row>
    <row r="400" spans="1:6" x14ac:dyDescent="0.2">
      <c r="A400" s="275"/>
      <c r="B400" s="78"/>
      <c r="C400" s="189"/>
      <c r="D400" s="185"/>
      <c r="E400" s="186"/>
      <c r="F400" s="187"/>
    </row>
    <row r="401" spans="1:6" x14ac:dyDescent="0.2">
      <c r="A401" s="275"/>
      <c r="B401" s="78"/>
      <c r="C401" s="189"/>
      <c r="D401" s="185"/>
      <c r="E401" s="186"/>
      <c r="F401" s="187"/>
    </row>
    <row r="402" spans="1:6" x14ac:dyDescent="0.2">
      <c r="A402" s="275"/>
      <c r="B402" s="78"/>
      <c r="C402" s="189"/>
      <c r="D402" s="185"/>
      <c r="E402" s="186"/>
      <c r="F402" s="187"/>
    </row>
    <row r="403" spans="1:6" x14ac:dyDescent="0.2">
      <c r="A403" s="275"/>
      <c r="B403" s="78"/>
      <c r="C403" s="189"/>
      <c r="D403" s="185"/>
      <c r="E403" s="186"/>
      <c r="F403" s="187"/>
    </row>
    <row r="404" spans="1:6" x14ac:dyDescent="0.2">
      <c r="A404" s="275"/>
      <c r="B404" s="78"/>
      <c r="C404" s="189"/>
      <c r="D404" s="185"/>
      <c r="E404" s="186"/>
      <c r="F404" s="187"/>
    </row>
    <row r="405" spans="1:6" x14ac:dyDescent="0.2">
      <c r="A405" s="275"/>
      <c r="B405" s="78"/>
      <c r="C405" s="189"/>
      <c r="D405" s="185"/>
      <c r="E405" s="186"/>
      <c r="F405" s="187"/>
    </row>
    <row r="406" spans="1:6" x14ac:dyDescent="0.2">
      <c r="A406" s="275"/>
      <c r="B406" s="78"/>
      <c r="C406" s="189"/>
      <c r="D406" s="185"/>
      <c r="E406" s="186"/>
      <c r="F406" s="187"/>
    </row>
    <row r="407" spans="1:6" x14ac:dyDescent="0.2">
      <c r="A407" s="275"/>
      <c r="B407" s="78"/>
      <c r="C407" s="189"/>
      <c r="D407" s="185"/>
      <c r="E407" s="186"/>
      <c r="F407" s="187"/>
    </row>
    <row r="408" spans="1:6" x14ac:dyDescent="0.2">
      <c r="A408" s="275"/>
      <c r="B408" s="78"/>
      <c r="C408" s="189"/>
      <c r="D408" s="185"/>
      <c r="E408" s="186"/>
      <c r="F408" s="187"/>
    </row>
    <row r="409" spans="1:6" x14ac:dyDescent="0.2">
      <c r="A409" s="275"/>
      <c r="B409" s="78"/>
      <c r="C409" s="189"/>
      <c r="D409" s="185"/>
      <c r="E409" s="186"/>
      <c r="F409" s="187"/>
    </row>
    <row r="410" spans="1:6" x14ac:dyDescent="0.2">
      <c r="A410" s="275"/>
      <c r="B410" s="78"/>
      <c r="C410" s="189"/>
      <c r="D410" s="185"/>
      <c r="E410" s="186"/>
      <c r="F410" s="187"/>
    </row>
    <row r="411" spans="1:6" x14ac:dyDescent="0.2">
      <c r="A411" s="275"/>
      <c r="B411" s="78"/>
      <c r="C411" s="189"/>
      <c r="D411" s="185"/>
      <c r="E411" s="186"/>
      <c r="F411" s="187"/>
    </row>
    <row r="412" spans="1:6" x14ac:dyDescent="0.2">
      <c r="A412" s="275"/>
      <c r="B412" s="78"/>
      <c r="C412" s="189"/>
      <c r="D412" s="185"/>
      <c r="E412" s="186"/>
      <c r="F412" s="187"/>
    </row>
    <row r="413" spans="1:6" x14ac:dyDescent="0.2">
      <c r="A413" s="275"/>
      <c r="B413" s="78"/>
      <c r="C413" s="189"/>
      <c r="D413" s="185"/>
      <c r="E413" s="186"/>
      <c r="F413" s="187"/>
    </row>
    <row r="414" spans="1:6" x14ac:dyDescent="0.2">
      <c r="A414" s="275"/>
      <c r="B414" s="78"/>
      <c r="C414" s="189"/>
      <c r="D414" s="185"/>
      <c r="E414" s="186"/>
      <c r="F414" s="187"/>
    </row>
    <row r="415" spans="1:6" x14ac:dyDescent="0.2">
      <c r="A415" s="275"/>
      <c r="B415" s="78"/>
      <c r="C415" s="189"/>
      <c r="D415" s="185"/>
      <c r="E415" s="186"/>
      <c r="F415" s="187"/>
    </row>
    <row r="416" spans="1:6" x14ac:dyDescent="0.2">
      <c r="A416" s="275"/>
      <c r="B416" s="78"/>
      <c r="C416" s="189"/>
      <c r="D416" s="185"/>
      <c r="E416" s="186"/>
      <c r="F416" s="187"/>
    </row>
    <row r="417" spans="1:6" x14ac:dyDescent="0.2">
      <c r="A417" s="275"/>
      <c r="B417" s="78"/>
      <c r="C417" s="189"/>
      <c r="D417" s="185"/>
      <c r="E417" s="186"/>
      <c r="F417" s="187"/>
    </row>
    <row r="418" spans="1:6" x14ac:dyDescent="0.2">
      <c r="A418" s="275"/>
      <c r="B418" s="78"/>
      <c r="C418" s="189"/>
      <c r="D418" s="185"/>
      <c r="E418" s="186"/>
      <c r="F418" s="187"/>
    </row>
    <row r="419" spans="1:6" x14ac:dyDescent="0.2">
      <c r="A419" s="275"/>
      <c r="B419" s="78"/>
      <c r="C419" s="189"/>
      <c r="D419" s="185"/>
      <c r="E419" s="186"/>
      <c r="F419" s="187"/>
    </row>
    <row r="420" spans="1:6" x14ac:dyDescent="0.2">
      <c r="A420" s="275"/>
      <c r="B420" s="78"/>
      <c r="C420" s="189"/>
      <c r="D420" s="185"/>
      <c r="E420" s="186"/>
      <c r="F420" s="187"/>
    </row>
    <row r="421" spans="1:6" x14ac:dyDescent="0.2">
      <c r="A421" s="275"/>
      <c r="B421" s="78"/>
      <c r="C421" s="189"/>
      <c r="D421" s="185"/>
      <c r="E421" s="186"/>
      <c r="F421" s="187"/>
    </row>
    <row r="422" spans="1:6" x14ac:dyDescent="0.2">
      <c r="A422" s="275"/>
      <c r="B422" s="78"/>
      <c r="C422" s="189"/>
      <c r="D422" s="185"/>
      <c r="E422" s="186"/>
      <c r="F422" s="187"/>
    </row>
    <row r="423" spans="1:6" x14ac:dyDescent="0.2">
      <c r="A423" s="275"/>
      <c r="B423" s="78"/>
      <c r="C423" s="189"/>
      <c r="D423" s="185"/>
      <c r="E423" s="186"/>
      <c r="F423" s="187"/>
    </row>
    <row r="424" spans="1:6" x14ac:dyDescent="0.2">
      <c r="A424" s="275"/>
      <c r="B424" s="78"/>
      <c r="C424" s="189"/>
      <c r="D424" s="185"/>
      <c r="E424" s="186"/>
      <c r="F424" s="187"/>
    </row>
    <row r="425" spans="1:6" x14ac:dyDescent="0.2">
      <c r="A425" s="275"/>
      <c r="B425" s="78"/>
      <c r="C425" s="189"/>
      <c r="D425" s="185"/>
      <c r="E425" s="186"/>
      <c r="F425" s="187"/>
    </row>
    <row r="426" spans="1:6" x14ac:dyDescent="0.2">
      <c r="A426" s="275"/>
      <c r="B426" s="78"/>
      <c r="C426" s="189"/>
      <c r="D426" s="185"/>
      <c r="E426" s="186"/>
      <c r="F426" s="187"/>
    </row>
    <row r="427" spans="1:6" x14ac:dyDescent="0.2">
      <c r="A427" s="275"/>
      <c r="B427" s="78"/>
      <c r="C427" s="189"/>
      <c r="D427" s="185"/>
      <c r="E427" s="186"/>
      <c r="F427" s="187"/>
    </row>
    <row r="428" spans="1:6" x14ac:dyDescent="0.2">
      <c r="A428" s="275"/>
      <c r="B428" s="78"/>
      <c r="C428" s="189"/>
      <c r="D428" s="185"/>
      <c r="E428" s="186"/>
      <c r="F428" s="187"/>
    </row>
    <row r="429" spans="1:6" x14ac:dyDescent="0.2">
      <c r="A429" s="275"/>
      <c r="B429" s="78"/>
      <c r="C429" s="189"/>
      <c r="D429" s="185"/>
      <c r="E429" s="186"/>
      <c r="F429" s="187"/>
    </row>
    <row r="430" spans="1:6" x14ac:dyDescent="0.2">
      <c r="A430" s="275"/>
      <c r="B430" s="78"/>
      <c r="C430" s="189"/>
      <c r="D430" s="185"/>
      <c r="E430" s="186"/>
      <c r="F430" s="187"/>
    </row>
    <row r="431" spans="1:6" x14ac:dyDescent="0.2">
      <c r="A431" s="275"/>
      <c r="B431" s="78"/>
      <c r="C431" s="189"/>
      <c r="D431" s="185"/>
      <c r="E431" s="186"/>
      <c r="F431" s="187"/>
    </row>
    <row r="432" spans="1:6" x14ac:dyDescent="0.2">
      <c r="A432" s="275"/>
      <c r="B432" s="78"/>
      <c r="C432" s="189"/>
      <c r="D432" s="185"/>
      <c r="E432" s="186"/>
      <c r="F432" s="187"/>
    </row>
    <row r="433" spans="1:6" x14ac:dyDescent="0.2">
      <c r="A433" s="275"/>
      <c r="B433" s="78"/>
      <c r="C433" s="189"/>
      <c r="D433" s="185"/>
      <c r="E433" s="186"/>
      <c r="F433" s="187"/>
    </row>
    <row r="434" spans="1:6" x14ac:dyDescent="0.2">
      <c r="A434" s="275"/>
      <c r="B434" s="78"/>
      <c r="C434" s="189"/>
      <c r="D434" s="185"/>
      <c r="E434" s="186"/>
      <c r="F434" s="187"/>
    </row>
    <row r="435" spans="1:6" x14ac:dyDescent="0.2">
      <c r="A435" s="275"/>
      <c r="B435" s="78"/>
      <c r="C435" s="189"/>
      <c r="D435" s="185"/>
      <c r="E435" s="186"/>
      <c r="F435" s="187"/>
    </row>
    <row r="436" spans="1:6" x14ac:dyDescent="0.2">
      <c r="A436" s="275"/>
      <c r="B436" s="78"/>
      <c r="C436" s="189"/>
      <c r="D436" s="185"/>
      <c r="E436" s="186"/>
      <c r="F436" s="187"/>
    </row>
    <row r="437" spans="1:6" x14ac:dyDescent="0.2">
      <c r="A437" s="275"/>
      <c r="B437" s="78"/>
      <c r="C437" s="189"/>
      <c r="D437" s="185"/>
      <c r="E437" s="186"/>
      <c r="F437" s="187"/>
    </row>
    <row r="438" spans="1:6" x14ac:dyDescent="0.2">
      <c r="A438" s="275"/>
      <c r="B438" s="78"/>
      <c r="C438" s="189"/>
      <c r="D438" s="185"/>
      <c r="E438" s="186"/>
      <c r="F438" s="187"/>
    </row>
    <row r="439" spans="1:6" x14ac:dyDescent="0.2">
      <c r="A439" s="275"/>
      <c r="B439" s="78"/>
      <c r="C439" s="189"/>
      <c r="D439" s="185"/>
      <c r="E439" s="186"/>
      <c r="F439" s="187"/>
    </row>
    <row r="440" spans="1:6" x14ac:dyDescent="0.2">
      <c r="A440" s="275"/>
      <c r="B440" s="78"/>
      <c r="C440" s="189"/>
      <c r="D440" s="185"/>
      <c r="E440" s="186"/>
      <c r="F440" s="187"/>
    </row>
    <row r="441" spans="1:6" x14ac:dyDescent="0.2">
      <c r="A441" s="275"/>
      <c r="B441" s="78"/>
      <c r="C441" s="189"/>
      <c r="D441" s="185"/>
      <c r="E441" s="186"/>
      <c r="F441" s="187"/>
    </row>
    <row r="442" spans="1:6" x14ac:dyDescent="0.2">
      <c r="A442" s="275"/>
      <c r="B442" s="78"/>
      <c r="C442" s="189"/>
      <c r="D442" s="185"/>
      <c r="E442" s="186"/>
      <c r="F442" s="187"/>
    </row>
    <row r="443" spans="1:6" x14ac:dyDescent="0.2">
      <c r="A443" s="275"/>
      <c r="B443" s="78"/>
      <c r="C443" s="189"/>
      <c r="D443" s="185"/>
      <c r="E443" s="186"/>
      <c r="F443" s="187"/>
    </row>
    <row r="444" spans="1:6" x14ac:dyDescent="0.2">
      <c r="A444" s="275"/>
      <c r="B444" s="78"/>
      <c r="C444" s="189"/>
      <c r="D444" s="185"/>
      <c r="E444" s="186"/>
      <c r="F444" s="187"/>
    </row>
    <row r="445" spans="1:6" x14ac:dyDescent="0.2">
      <c r="A445" s="275"/>
      <c r="B445" s="78"/>
      <c r="C445" s="189"/>
      <c r="D445" s="185"/>
      <c r="E445" s="186"/>
      <c r="F445" s="187"/>
    </row>
    <row r="446" spans="1:6" x14ac:dyDescent="0.2">
      <c r="A446" s="275"/>
      <c r="B446" s="78"/>
      <c r="C446" s="189"/>
      <c r="D446" s="185"/>
      <c r="E446" s="186"/>
      <c r="F446" s="187"/>
    </row>
    <row r="447" spans="1:6" x14ac:dyDescent="0.2">
      <c r="A447" s="275"/>
      <c r="B447" s="78"/>
      <c r="C447" s="189"/>
      <c r="D447" s="185"/>
      <c r="E447" s="186"/>
      <c r="F447" s="187"/>
    </row>
    <row r="448" spans="1:6" x14ac:dyDescent="0.2">
      <c r="A448" s="275"/>
      <c r="B448" s="78"/>
      <c r="C448" s="189"/>
      <c r="D448" s="185"/>
      <c r="E448" s="186"/>
      <c r="F448" s="187"/>
    </row>
    <row r="449" spans="1:6" x14ac:dyDescent="0.2">
      <c r="A449" s="275"/>
      <c r="B449" s="78"/>
      <c r="C449" s="189"/>
      <c r="D449" s="185"/>
      <c r="E449" s="186"/>
      <c r="F449" s="187"/>
    </row>
    <row r="450" spans="1:6" x14ac:dyDescent="0.2">
      <c r="A450" s="275"/>
      <c r="B450" s="78"/>
      <c r="C450" s="189"/>
      <c r="D450" s="185"/>
      <c r="E450" s="186"/>
      <c r="F450" s="187"/>
    </row>
    <row r="451" spans="1:6" x14ac:dyDescent="0.2">
      <c r="A451" s="275"/>
      <c r="B451" s="78"/>
      <c r="C451" s="189"/>
      <c r="D451" s="185"/>
      <c r="E451" s="186"/>
      <c r="F451" s="187"/>
    </row>
    <row r="452" spans="1:6" x14ac:dyDescent="0.2">
      <c r="A452" s="275"/>
      <c r="B452" s="78"/>
      <c r="C452" s="189"/>
      <c r="D452" s="185"/>
      <c r="E452" s="186"/>
      <c r="F452" s="187"/>
    </row>
    <row r="453" spans="1:6" x14ac:dyDescent="0.2">
      <c r="A453" s="275"/>
      <c r="B453" s="78"/>
      <c r="C453" s="189"/>
      <c r="D453" s="185"/>
      <c r="E453" s="186"/>
      <c r="F453" s="187"/>
    </row>
    <row r="454" spans="1:6" x14ac:dyDescent="0.2">
      <c r="A454" s="275"/>
      <c r="B454" s="78"/>
      <c r="C454" s="189"/>
      <c r="D454" s="185"/>
      <c r="E454" s="186"/>
      <c r="F454" s="187"/>
    </row>
    <row r="455" spans="1:6" x14ac:dyDescent="0.2">
      <c r="A455" s="275"/>
      <c r="B455" s="78"/>
      <c r="C455" s="189"/>
      <c r="D455" s="185"/>
      <c r="E455" s="186"/>
      <c r="F455" s="187"/>
    </row>
    <row r="456" spans="1:6" x14ac:dyDescent="0.2">
      <c r="A456" s="275"/>
      <c r="B456" s="78"/>
      <c r="C456" s="189"/>
      <c r="D456" s="185"/>
      <c r="E456" s="186"/>
      <c r="F456" s="187"/>
    </row>
    <row r="457" spans="1:6" x14ac:dyDescent="0.2">
      <c r="A457" s="275"/>
      <c r="B457" s="78"/>
      <c r="C457" s="189"/>
      <c r="D457" s="185"/>
      <c r="E457" s="186"/>
      <c r="F457" s="187"/>
    </row>
    <row r="458" spans="1:6" x14ac:dyDescent="0.2">
      <c r="A458" s="275"/>
      <c r="B458" s="78"/>
      <c r="C458" s="189"/>
      <c r="D458" s="185"/>
      <c r="E458" s="186"/>
      <c r="F458" s="187"/>
    </row>
    <row r="459" spans="1:6" x14ac:dyDescent="0.2">
      <c r="A459" s="275"/>
      <c r="B459" s="78"/>
      <c r="C459" s="189"/>
      <c r="D459" s="185"/>
      <c r="E459" s="186"/>
      <c r="F459" s="187"/>
    </row>
    <row r="460" spans="1:6" x14ac:dyDescent="0.2">
      <c r="A460" s="275"/>
      <c r="B460" s="78"/>
      <c r="C460" s="189"/>
      <c r="D460" s="185"/>
      <c r="E460" s="186"/>
      <c r="F460" s="187"/>
    </row>
    <row r="461" spans="1:6" x14ac:dyDescent="0.2">
      <c r="A461" s="275"/>
      <c r="B461" s="78"/>
      <c r="C461" s="189"/>
      <c r="D461" s="185"/>
      <c r="E461" s="186"/>
      <c r="F461" s="187"/>
    </row>
    <row r="462" spans="1:6" x14ac:dyDescent="0.2">
      <c r="A462" s="275"/>
      <c r="B462" s="78"/>
      <c r="C462" s="189"/>
      <c r="D462" s="185"/>
      <c r="E462" s="186"/>
      <c r="F462" s="187"/>
    </row>
    <row r="463" spans="1:6" x14ac:dyDescent="0.2">
      <c r="A463" s="275"/>
      <c r="B463" s="78"/>
      <c r="C463" s="189"/>
      <c r="D463" s="185"/>
      <c r="E463" s="186"/>
      <c r="F463" s="187"/>
    </row>
    <row r="464" spans="1:6" x14ac:dyDescent="0.2">
      <c r="A464" s="275"/>
      <c r="B464" s="78"/>
      <c r="C464" s="189"/>
      <c r="D464" s="185"/>
      <c r="E464" s="186"/>
      <c r="F464" s="187"/>
    </row>
    <row r="465" spans="1:6" x14ac:dyDescent="0.2">
      <c r="A465" s="275"/>
      <c r="B465" s="78"/>
      <c r="C465" s="189"/>
      <c r="D465" s="185"/>
      <c r="E465" s="186"/>
      <c r="F465" s="187"/>
    </row>
    <row r="466" spans="1:6" x14ac:dyDescent="0.2">
      <c r="A466" s="275"/>
      <c r="B466" s="78"/>
      <c r="C466" s="189"/>
      <c r="D466" s="185"/>
      <c r="E466" s="186"/>
      <c r="F466" s="187"/>
    </row>
    <row r="467" spans="1:6" x14ac:dyDescent="0.2">
      <c r="A467" s="275"/>
      <c r="B467" s="78"/>
      <c r="C467" s="189"/>
      <c r="D467" s="185"/>
      <c r="E467" s="186"/>
      <c r="F467" s="187"/>
    </row>
    <row r="468" spans="1:6" x14ac:dyDescent="0.2">
      <c r="A468" s="275"/>
      <c r="B468" s="78"/>
      <c r="C468" s="189"/>
      <c r="D468" s="185"/>
      <c r="E468" s="186"/>
      <c r="F468" s="187"/>
    </row>
    <row r="469" spans="1:6" x14ac:dyDescent="0.2">
      <c r="A469" s="275"/>
      <c r="B469" s="78"/>
      <c r="C469" s="189"/>
      <c r="D469" s="185"/>
      <c r="E469" s="186"/>
      <c r="F469" s="187"/>
    </row>
    <row r="470" spans="1:6" x14ac:dyDescent="0.2">
      <c r="A470" s="275"/>
      <c r="B470" s="78"/>
      <c r="C470" s="189"/>
      <c r="D470" s="185"/>
      <c r="E470" s="186"/>
      <c r="F470" s="187"/>
    </row>
    <row r="471" spans="1:6" x14ac:dyDescent="0.2">
      <c r="A471" s="275"/>
      <c r="B471" s="78"/>
      <c r="C471" s="189"/>
      <c r="D471" s="185"/>
      <c r="E471" s="186"/>
      <c r="F471" s="187"/>
    </row>
    <row r="472" spans="1:6" x14ac:dyDescent="0.2">
      <c r="A472" s="275"/>
      <c r="B472" s="78"/>
      <c r="C472" s="189"/>
      <c r="D472" s="185"/>
      <c r="E472" s="186"/>
      <c r="F472" s="187"/>
    </row>
    <row r="473" spans="1:6" x14ac:dyDescent="0.2">
      <c r="A473" s="275"/>
      <c r="B473" s="78"/>
      <c r="C473" s="189"/>
      <c r="D473" s="185"/>
      <c r="E473" s="186"/>
      <c r="F473" s="187"/>
    </row>
    <row r="474" spans="1:6" x14ac:dyDescent="0.2">
      <c r="A474" s="275"/>
      <c r="B474" s="78"/>
      <c r="C474" s="189"/>
      <c r="D474" s="185"/>
      <c r="E474" s="186"/>
      <c r="F474" s="187"/>
    </row>
    <row r="475" spans="1:6" x14ac:dyDescent="0.2">
      <c r="A475" s="275"/>
      <c r="B475" s="78"/>
      <c r="C475" s="189"/>
      <c r="D475" s="185"/>
      <c r="E475" s="186"/>
      <c r="F475" s="187"/>
    </row>
    <row r="476" spans="1:6" x14ac:dyDescent="0.2">
      <c r="A476" s="275"/>
      <c r="B476" s="78"/>
      <c r="C476" s="189"/>
      <c r="D476" s="185"/>
      <c r="E476" s="186"/>
      <c r="F476" s="187"/>
    </row>
    <row r="477" spans="1:6" x14ac:dyDescent="0.2">
      <c r="A477" s="275"/>
      <c r="B477" s="78"/>
      <c r="C477" s="189"/>
      <c r="D477" s="185"/>
      <c r="E477" s="186"/>
      <c r="F477" s="187"/>
    </row>
    <row r="478" spans="1:6" x14ac:dyDescent="0.2">
      <c r="A478" s="275"/>
      <c r="B478" s="78"/>
      <c r="C478" s="189"/>
      <c r="D478" s="185"/>
      <c r="E478" s="186"/>
      <c r="F478" s="187"/>
    </row>
    <row r="479" spans="1:6" x14ac:dyDescent="0.2">
      <c r="A479" s="275"/>
      <c r="B479" s="78"/>
      <c r="C479" s="189"/>
      <c r="D479" s="185"/>
      <c r="E479" s="186"/>
      <c r="F479" s="187"/>
    </row>
    <row r="480" spans="1:6" x14ac:dyDescent="0.2">
      <c r="A480" s="275"/>
      <c r="B480" s="78"/>
      <c r="C480" s="189"/>
      <c r="D480" s="185"/>
      <c r="E480" s="186"/>
      <c r="F480" s="187"/>
    </row>
    <row r="481" spans="1:6" x14ac:dyDescent="0.2">
      <c r="A481" s="275"/>
      <c r="B481" s="78"/>
      <c r="C481" s="189"/>
      <c r="D481" s="185"/>
      <c r="E481" s="186"/>
      <c r="F481" s="187"/>
    </row>
    <row r="482" spans="1:6" x14ac:dyDescent="0.2">
      <c r="A482" s="275"/>
      <c r="B482" s="78"/>
      <c r="C482" s="189"/>
      <c r="D482" s="185"/>
      <c r="E482" s="186"/>
      <c r="F482" s="187"/>
    </row>
    <row r="483" spans="1:6" x14ac:dyDescent="0.2">
      <c r="A483" s="275"/>
      <c r="B483" s="78"/>
      <c r="C483" s="189"/>
      <c r="D483" s="185"/>
      <c r="E483" s="186"/>
      <c r="F483" s="187"/>
    </row>
    <row r="484" spans="1:6" x14ac:dyDescent="0.2">
      <c r="A484" s="275"/>
      <c r="B484" s="78"/>
      <c r="C484" s="189"/>
      <c r="D484" s="185"/>
      <c r="E484" s="186"/>
      <c r="F484" s="187"/>
    </row>
    <row r="485" spans="1:6" x14ac:dyDescent="0.2">
      <c r="A485" s="275"/>
      <c r="B485" s="78"/>
      <c r="C485" s="189"/>
      <c r="D485" s="185"/>
      <c r="E485" s="186"/>
      <c r="F485" s="187"/>
    </row>
    <row r="486" spans="1:6" x14ac:dyDescent="0.2">
      <c r="A486" s="275"/>
      <c r="B486" s="78"/>
      <c r="C486" s="189"/>
      <c r="D486" s="185"/>
      <c r="E486" s="186"/>
      <c r="F486" s="187"/>
    </row>
    <row r="487" spans="1:6" x14ac:dyDescent="0.2">
      <c r="A487" s="275"/>
      <c r="B487" s="78"/>
      <c r="C487" s="189"/>
      <c r="D487" s="185"/>
      <c r="E487" s="186"/>
      <c r="F487" s="187"/>
    </row>
    <row r="488" spans="1:6" x14ac:dyDescent="0.2">
      <c r="A488" s="275"/>
      <c r="B488" s="78"/>
      <c r="C488" s="189"/>
      <c r="D488" s="185"/>
      <c r="E488" s="186"/>
      <c r="F488" s="187"/>
    </row>
    <row r="489" spans="1:6" x14ac:dyDescent="0.2">
      <c r="A489" s="275"/>
      <c r="B489" s="78"/>
      <c r="C489" s="189"/>
      <c r="D489" s="185"/>
      <c r="E489" s="186"/>
      <c r="F489" s="187"/>
    </row>
    <row r="490" spans="1:6" x14ac:dyDescent="0.2">
      <c r="A490" s="275"/>
      <c r="B490" s="78"/>
      <c r="C490" s="189"/>
      <c r="D490" s="185"/>
      <c r="E490" s="186"/>
      <c r="F490" s="187"/>
    </row>
    <row r="491" spans="1:6" x14ac:dyDescent="0.2">
      <c r="A491" s="275"/>
      <c r="B491" s="78"/>
      <c r="C491" s="189"/>
      <c r="D491" s="185"/>
      <c r="E491" s="186"/>
      <c r="F491" s="187"/>
    </row>
    <row r="492" spans="1:6" x14ac:dyDescent="0.2">
      <c r="A492" s="275"/>
      <c r="B492" s="78"/>
      <c r="C492" s="189"/>
      <c r="D492" s="185"/>
      <c r="E492" s="186"/>
      <c r="F492" s="187"/>
    </row>
    <row r="493" spans="1:6" x14ac:dyDescent="0.2">
      <c r="A493" s="275"/>
      <c r="B493" s="78"/>
      <c r="C493" s="189"/>
      <c r="D493" s="185"/>
      <c r="E493" s="186"/>
      <c r="F493" s="187"/>
    </row>
    <row r="494" spans="1:6" x14ac:dyDescent="0.2">
      <c r="A494" s="275"/>
      <c r="B494" s="78"/>
      <c r="C494" s="189"/>
      <c r="D494" s="185"/>
      <c r="E494" s="186"/>
      <c r="F494" s="187"/>
    </row>
    <row r="495" spans="1:6" x14ac:dyDescent="0.2">
      <c r="A495" s="275"/>
      <c r="B495" s="78"/>
      <c r="C495" s="189"/>
      <c r="D495" s="185"/>
      <c r="E495" s="186"/>
      <c r="F495" s="187"/>
    </row>
    <row r="496" spans="1:6" x14ac:dyDescent="0.2">
      <c r="A496" s="275"/>
      <c r="B496" s="78"/>
      <c r="C496" s="189"/>
      <c r="D496" s="185"/>
      <c r="E496" s="186"/>
      <c r="F496" s="187"/>
    </row>
    <row r="497" spans="1:6" x14ac:dyDescent="0.2">
      <c r="A497" s="275"/>
      <c r="B497" s="78"/>
      <c r="C497" s="189"/>
      <c r="D497" s="185"/>
      <c r="E497" s="186"/>
      <c r="F497" s="187"/>
    </row>
    <row r="498" spans="1:6" x14ac:dyDescent="0.2">
      <c r="A498" s="275"/>
      <c r="B498" s="78"/>
      <c r="C498" s="189"/>
      <c r="D498" s="185"/>
      <c r="E498" s="186"/>
      <c r="F498" s="187"/>
    </row>
    <row r="499" spans="1:6" x14ac:dyDescent="0.2">
      <c r="A499" s="275"/>
      <c r="B499" s="78"/>
      <c r="C499" s="189"/>
      <c r="D499" s="185"/>
      <c r="E499" s="186"/>
      <c r="F499" s="187"/>
    </row>
    <row r="500" spans="1:6" x14ac:dyDescent="0.2">
      <c r="A500" s="275"/>
      <c r="B500" s="78"/>
      <c r="C500" s="189"/>
      <c r="D500" s="185"/>
      <c r="E500" s="186"/>
      <c r="F500" s="187"/>
    </row>
    <row r="501" spans="1:6" x14ac:dyDescent="0.2">
      <c r="A501" s="275"/>
      <c r="B501" s="78"/>
      <c r="C501" s="189"/>
      <c r="D501" s="185"/>
      <c r="E501" s="186"/>
      <c r="F501" s="187"/>
    </row>
    <row r="502" spans="1:6" x14ac:dyDescent="0.2">
      <c r="A502" s="275"/>
      <c r="B502" s="78"/>
      <c r="C502" s="189"/>
      <c r="D502" s="185"/>
      <c r="E502" s="186"/>
      <c r="F502" s="187"/>
    </row>
    <row r="503" spans="1:6" x14ac:dyDescent="0.2">
      <c r="A503" s="275"/>
      <c r="B503" s="78"/>
      <c r="C503" s="189"/>
      <c r="D503" s="185"/>
      <c r="E503" s="186"/>
      <c r="F503" s="187"/>
    </row>
    <row r="504" spans="1:6" x14ac:dyDescent="0.2">
      <c r="A504" s="275"/>
      <c r="B504" s="78"/>
      <c r="C504" s="189"/>
      <c r="D504" s="185"/>
      <c r="E504" s="186"/>
      <c r="F504" s="187"/>
    </row>
    <row r="505" spans="1:6" x14ac:dyDescent="0.2">
      <c r="A505" s="275"/>
      <c r="B505" s="78"/>
      <c r="C505" s="189"/>
      <c r="D505" s="185"/>
      <c r="E505" s="186"/>
      <c r="F505" s="187"/>
    </row>
    <row r="506" spans="1:6" x14ac:dyDescent="0.2">
      <c r="A506" s="275"/>
      <c r="B506" s="78"/>
      <c r="C506" s="189"/>
      <c r="D506" s="185"/>
      <c r="E506" s="186"/>
      <c r="F506" s="187"/>
    </row>
    <row r="507" spans="1:6" x14ac:dyDescent="0.2">
      <c r="A507" s="275"/>
      <c r="B507" s="78"/>
      <c r="C507" s="189"/>
      <c r="D507" s="185"/>
      <c r="E507" s="186"/>
      <c r="F507" s="187"/>
    </row>
    <row r="508" spans="1:6" x14ac:dyDescent="0.2">
      <c r="A508" s="275"/>
      <c r="B508" s="78"/>
      <c r="C508" s="189"/>
      <c r="D508" s="185"/>
      <c r="E508" s="186"/>
      <c r="F508" s="187"/>
    </row>
    <row r="509" spans="1:6" x14ac:dyDescent="0.2">
      <c r="A509" s="275"/>
      <c r="B509" s="78"/>
      <c r="C509" s="189"/>
      <c r="D509" s="185"/>
      <c r="E509" s="186"/>
      <c r="F509" s="187"/>
    </row>
    <row r="510" spans="1:6" x14ac:dyDescent="0.2">
      <c r="A510" s="275"/>
      <c r="B510" s="78"/>
      <c r="C510" s="189"/>
      <c r="D510" s="185"/>
      <c r="E510" s="186"/>
      <c r="F510" s="187"/>
    </row>
    <row r="511" spans="1:6" x14ac:dyDescent="0.2">
      <c r="A511" s="275"/>
      <c r="B511" s="78"/>
      <c r="C511" s="189"/>
      <c r="D511" s="185"/>
      <c r="E511" s="186"/>
      <c r="F511" s="187"/>
    </row>
    <row r="512" spans="1:6" x14ac:dyDescent="0.2">
      <c r="A512" s="275"/>
      <c r="B512" s="78"/>
      <c r="C512" s="189"/>
      <c r="D512" s="185"/>
      <c r="E512" s="186"/>
      <c r="F512" s="187"/>
    </row>
    <row r="513" spans="1:6" x14ac:dyDescent="0.2">
      <c r="A513" s="275"/>
      <c r="B513" s="78"/>
      <c r="C513" s="189"/>
      <c r="D513" s="185"/>
      <c r="E513" s="186"/>
      <c r="F513" s="187"/>
    </row>
    <row r="514" spans="1:6" x14ac:dyDescent="0.2">
      <c r="A514" s="275"/>
      <c r="B514" s="78"/>
      <c r="C514" s="189"/>
      <c r="D514" s="185"/>
      <c r="E514" s="186"/>
      <c r="F514" s="187"/>
    </row>
    <row r="515" spans="1:6" x14ac:dyDescent="0.2">
      <c r="A515" s="275"/>
      <c r="B515" s="78"/>
      <c r="C515" s="189"/>
      <c r="D515" s="185"/>
      <c r="E515" s="186"/>
      <c r="F515" s="187"/>
    </row>
    <row r="516" spans="1:6" x14ac:dyDescent="0.2">
      <c r="A516" s="275"/>
      <c r="B516" s="78"/>
      <c r="C516" s="189"/>
      <c r="D516" s="185"/>
      <c r="E516" s="186"/>
      <c r="F516" s="187"/>
    </row>
    <row r="517" spans="1:6" x14ac:dyDescent="0.2">
      <c r="A517" s="275"/>
      <c r="B517" s="78"/>
      <c r="C517" s="189"/>
      <c r="D517" s="185"/>
      <c r="E517" s="186"/>
      <c r="F517" s="187"/>
    </row>
    <row r="518" spans="1:6" x14ac:dyDescent="0.2">
      <c r="A518" s="275"/>
      <c r="B518" s="78"/>
      <c r="C518" s="189"/>
      <c r="D518" s="185"/>
      <c r="E518" s="186"/>
      <c r="F518" s="187"/>
    </row>
    <row r="519" spans="1:6" x14ac:dyDescent="0.2">
      <c r="A519" s="275"/>
      <c r="B519" s="78"/>
      <c r="C519" s="189"/>
      <c r="D519" s="185"/>
      <c r="E519" s="186"/>
      <c r="F519" s="187"/>
    </row>
    <row r="520" spans="1:6" x14ac:dyDescent="0.2">
      <c r="A520" s="275"/>
      <c r="B520" s="78"/>
      <c r="C520" s="189"/>
      <c r="D520" s="185"/>
      <c r="E520" s="186"/>
      <c r="F520" s="187"/>
    </row>
    <row r="521" spans="1:6" x14ac:dyDescent="0.2">
      <c r="A521" s="275"/>
      <c r="B521" s="78"/>
      <c r="C521" s="189"/>
      <c r="D521" s="185"/>
      <c r="E521" s="186"/>
      <c r="F521" s="187"/>
    </row>
    <row r="522" spans="1:6" x14ac:dyDescent="0.2">
      <c r="A522" s="275"/>
      <c r="B522" s="78"/>
      <c r="C522" s="189"/>
      <c r="D522" s="185"/>
      <c r="E522" s="186"/>
      <c r="F522" s="187"/>
    </row>
    <row r="523" spans="1:6" x14ac:dyDescent="0.2">
      <c r="A523" s="275"/>
      <c r="B523" s="78"/>
      <c r="C523" s="189"/>
      <c r="D523" s="185"/>
      <c r="E523" s="186"/>
      <c r="F523" s="187"/>
    </row>
    <row r="524" spans="1:6" x14ac:dyDescent="0.2">
      <c r="A524" s="275"/>
      <c r="B524" s="78"/>
      <c r="C524" s="189"/>
      <c r="D524" s="185"/>
      <c r="E524" s="186"/>
      <c r="F524" s="187"/>
    </row>
    <row r="525" spans="1:6" x14ac:dyDescent="0.2">
      <c r="A525" s="275"/>
      <c r="B525" s="78"/>
      <c r="C525" s="189"/>
      <c r="D525" s="185"/>
      <c r="E525" s="186"/>
      <c r="F525" s="187"/>
    </row>
    <row r="526" spans="1:6" x14ac:dyDescent="0.2">
      <c r="A526" s="275"/>
      <c r="B526" s="78"/>
      <c r="C526" s="189"/>
      <c r="D526" s="185"/>
      <c r="E526" s="186"/>
      <c r="F526" s="187"/>
    </row>
    <row r="527" spans="1:6" x14ac:dyDescent="0.2">
      <c r="A527" s="275"/>
      <c r="B527" s="78"/>
      <c r="C527" s="189"/>
      <c r="D527" s="185"/>
      <c r="E527" s="186"/>
      <c r="F527" s="187"/>
    </row>
    <row r="528" spans="1:6" x14ac:dyDescent="0.2">
      <c r="A528" s="275"/>
      <c r="B528" s="78"/>
      <c r="C528" s="189"/>
      <c r="D528" s="185"/>
      <c r="E528" s="186"/>
      <c r="F528" s="187"/>
    </row>
    <row r="529" spans="1:6" x14ac:dyDescent="0.2">
      <c r="A529" s="275"/>
      <c r="B529" s="78"/>
      <c r="C529" s="189"/>
      <c r="D529" s="185"/>
      <c r="E529" s="186"/>
      <c r="F529" s="187"/>
    </row>
    <row r="530" spans="1:6" x14ac:dyDescent="0.2">
      <c r="A530" s="275"/>
      <c r="B530" s="78"/>
      <c r="C530" s="189"/>
      <c r="D530" s="185"/>
      <c r="E530" s="186"/>
      <c r="F530" s="187"/>
    </row>
    <row r="531" spans="1:6" x14ac:dyDescent="0.2">
      <c r="A531" s="275"/>
      <c r="B531" s="78"/>
      <c r="C531" s="189"/>
      <c r="D531" s="185"/>
      <c r="E531" s="186"/>
      <c r="F531" s="187"/>
    </row>
    <row r="532" spans="1:6" x14ac:dyDescent="0.2">
      <c r="A532" s="275"/>
      <c r="B532" s="78"/>
      <c r="C532" s="189"/>
      <c r="D532" s="185"/>
      <c r="E532" s="186"/>
      <c r="F532" s="187"/>
    </row>
    <row r="533" spans="1:6" x14ac:dyDescent="0.2">
      <c r="A533" s="275"/>
      <c r="B533" s="78"/>
      <c r="C533" s="189"/>
      <c r="D533" s="185"/>
      <c r="E533" s="186"/>
      <c r="F533" s="187"/>
    </row>
    <row r="534" spans="1:6" x14ac:dyDescent="0.2">
      <c r="A534" s="275"/>
      <c r="B534" s="78"/>
      <c r="C534" s="189"/>
      <c r="D534" s="185"/>
      <c r="E534" s="186"/>
      <c r="F534" s="187"/>
    </row>
    <row r="535" spans="1:6" x14ac:dyDescent="0.2">
      <c r="A535" s="275"/>
      <c r="B535" s="78"/>
      <c r="C535" s="189"/>
      <c r="D535" s="185"/>
      <c r="E535" s="186"/>
      <c r="F535" s="187"/>
    </row>
    <row r="536" spans="1:6" x14ac:dyDescent="0.2">
      <c r="A536" s="275"/>
      <c r="B536" s="78"/>
      <c r="C536" s="189"/>
      <c r="D536" s="185"/>
      <c r="E536" s="186"/>
      <c r="F536" s="187"/>
    </row>
    <row r="537" spans="1:6" x14ac:dyDescent="0.2">
      <c r="A537" s="275"/>
      <c r="B537" s="78"/>
      <c r="C537" s="189"/>
      <c r="D537" s="185"/>
      <c r="E537" s="186"/>
      <c r="F537" s="187"/>
    </row>
    <row r="538" spans="1:6" x14ac:dyDescent="0.2">
      <c r="A538" s="275"/>
      <c r="B538" s="78"/>
      <c r="C538" s="189"/>
      <c r="D538" s="185"/>
      <c r="E538" s="186"/>
      <c r="F538" s="187"/>
    </row>
    <row r="539" spans="1:6" x14ac:dyDescent="0.2">
      <c r="A539" s="275"/>
      <c r="B539" s="78"/>
      <c r="C539" s="189"/>
      <c r="D539" s="185"/>
      <c r="E539" s="186"/>
      <c r="F539" s="187"/>
    </row>
    <row r="540" spans="1:6" x14ac:dyDescent="0.2">
      <c r="A540" s="275"/>
      <c r="B540" s="78"/>
      <c r="C540" s="189"/>
      <c r="D540" s="185"/>
      <c r="E540" s="186"/>
      <c r="F540" s="187"/>
    </row>
    <row r="541" spans="1:6" x14ac:dyDescent="0.2">
      <c r="A541" s="275"/>
      <c r="B541" s="78"/>
      <c r="C541" s="189"/>
      <c r="D541" s="185"/>
      <c r="E541" s="186"/>
      <c r="F541" s="187"/>
    </row>
    <row r="542" spans="1:6" x14ac:dyDescent="0.2">
      <c r="A542" s="275"/>
      <c r="B542" s="78"/>
      <c r="C542" s="189"/>
      <c r="D542" s="185"/>
      <c r="E542" s="186"/>
      <c r="F542" s="187"/>
    </row>
    <row r="543" spans="1:6" x14ac:dyDescent="0.2">
      <c r="A543" s="275"/>
      <c r="B543" s="78"/>
      <c r="C543" s="189"/>
      <c r="D543" s="185"/>
      <c r="E543" s="186"/>
      <c r="F543" s="187"/>
    </row>
    <row r="544" spans="1:6" x14ac:dyDescent="0.2">
      <c r="A544" s="275"/>
      <c r="B544" s="78"/>
      <c r="C544" s="189"/>
      <c r="D544" s="185"/>
      <c r="E544" s="186"/>
      <c r="F544" s="187"/>
    </row>
    <row r="545" spans="1:6" x14ac:dyDescent="0.2">
      <c r="A545" s="275"/>
      <c r="B545" s="78"/>
      <c r="C545" s="189"/>
      <c r="D545" s="185"/>
      <c r="E545" s="186"/>
      <c r="F545" s="187"/>
    </row>
    <row r="546" spans="1:6" x14ac:dyDescent="0.2">
      <c r="A546" s="275"/>
      <c r="B546" s="78"/>
      <c r="C546" s="189"/>
      <c r="D546" s="185"/>
      <c r="E546" s="186"/>
      <c r="F546" s="187"/>
    </row>
    <row r="547" spans="1:6" x14ac:dyDescent="0.2">
      <c r="A547" s="275"/>
      <c r="B547" s="78"/>
      <c r="C547" s="189"/>
      <c r="D547" s="185"/>
      <c r="E547" s="186"/>
      <c r="F547" s="187"/>
    </row>
    <row r="548" spans="1:6" x14ac:dyDescent="0.2">
      <c r="A548" s="275"/>
      <c r="B548" s="78"/>
      <c r="C548" s="189"/>
      <c r="D548" s="185"/>
      <c r="E548" s="186"/>
      <c r="F548" s="187"/>
    </row>
    <row r="549" spans="1:6" x14ac:dyDescent="0.2">
      <c r="A549" s="275"/>
      <c r="B549" s="78"/>
      <c r="C549" s="189"/>
      <c r="D549" s="185"/>
      <c r="E549" s="186"/>
      <c r="F549" s="187"/>
    </row>
    <row r="550" spans="1:6" x14ac:dyDescent="0.2">
      <c r="A550" s="275"/>
      <c r="B550" s="78"/>
      <c r="C550" s="189"/>
      <c r="D550" s="185"/>
      <c r="E550" s="186"/>
      <c r="F550" s="187"/>
    </row>
    <row r="551" spans="1:6" x14ac:dyDescent="0.2">
      <c r="A551" s="275"/>
      <c r="B551" s="78"/>
      <c r="C551" s="189"/>
      <c r="D551" s="185"/>
      <c r="E551" s="186"/>
      <c r="F551" s="187"/>
    </row>
    <row r="552" spans="1:6" x14ac:dyDescent="0.2">
      <c r="A552" s="275"/>
      <c r="B552" s="78"/>
      <c r="C552" s="189"/>
      <c r="D552" s="185"/>
      <c r="E552" s="186"/>
      <c r="F552" s="187"/>
    </row>
    <row r="553" spans="1:6" x14ac:dyDescent="0.2">
      <c r="A553" s="275"/>
      <c r="B553" s="78"/>
      <c r="C553" s="189"/>
      <c r="D553" s="185"/>
      <c r="E553" s="186"/>
      <c r="F553" s="187"/>
    </row>
    <row r="554" spans="1:6" x14ac:dyDescent="0.2">
      <c r="A554" s="275"/>
      <c r="B554" s="78"/>
      <c r="C554" s="189"/>
      <c r="D554" s="185"/>
      <c r="E554" s="186"/>
      <c r="F554" s="187"/>
    </row>
    <row r="555" spans="1:6" x14ac:dyDescent="0.2">
      <c r="A555" s="275"/>
      <c r="B555" s="78"/>
      <c r="C555" s="189"/>
      <c r="D555" s="185"/>
      <c r="E555" s="186"/>
      <c r="F555" s="187"/>
    </row>
    <row r="556" spans="1:6" x14ac:dyDescent="0.2">
      <c r="A556" s="275"/>
      <c r="B556" s="78"/>
      <c r="C556" s="189"/>
      <c r="D556" s="185"/>
      <c r="E556" s="186"/>
      <c r="F556" s="187"/>
    </row>
    <row r="557" spans="1:6" x14ac:dyDescent="0.2">
      <c r="A557" s="275"/>
      <c r="B557" s="78"/>
      <c r="C557" s="189"/>
      <c r="D557" s="185"/>
      <c r="E557" s="186"/>
      <c r="F557" s="187"/>
    </row>
    <row r="558" spans="1:6" x14ac:dyDescent="0.2">
      <c r="A558" s="275"/>
      <c r="B558" s="78"/>
      <c r="C558" s="189"/>
      <c r="D558" s="185"/>
      <c r="E558" s="186"/>
      <c r="F558" s="187"/>
    </row>
    <row r="559" spans="1:6" x14ac:dyDescent="0.2">
      <c r="A559" s="275"/>
      <c r="B559" s="78"/>
      <c r="C559" s="189"/>
      <c r="D559" s="185"/>
      <c r="E559" s="186"/>
      <c r="F559" s="187"/>
    </row>
    <row r="560" spans="1:6" x14ac:dyDescent="0.2">
      <c r="A560" s="275"/>
      <c r="B560" s="78"/>
      <c r="C560" s="189"/>
      <c r="D560" s="185"/>
      <c r="E560" s="186"/>
      <c r="F560" s="187"/>
    </row>
    <row r="561" spans="1:6" x14ac:dyDescent="0.2">
      <c r="A561" s="275"/>
      <c r="B561" s="78"/>
      <c r="C561" s="189"/>
      <c r="D561" s="185"/>
      <c r="E561" s="186"/>
      <c r="F561" s="187"/>
    </row>
    <row r="562" spans="1:6" x14ac:dyDescent="0.2">
      <c r="A562" s="275"/>
      <c r="B562" s="78"/>
      <c r="C562" s="189"/>
      <c r="D562" s="185"/>
      <c r="E562" s="186"/>
      <c r="F562" s="187"/>
    </row>
    <row r="563" spans="1:6" x14ac:dyDescent="0.2">
      <c r="A563" s="275"/>
      <c r="B563" s="78"/>
      <c r="C563" s="189"/>
      <c r="D563" s="185"/>
      <c r="E563" s="186"/>
      <c r="F563" s="187"/>
    </row>
    <row r="564" spans="1:6" x14ac:dyDescent="0.2">
      <c r="A564" s="275"/>
      <c r="B564" s="78"/>
      <c r="C564" s="189"/>
      <c r="D564" s="185"/>
      <c r="E564" s="186"/>
      <c r="F564" s="187"/>
    </row>
    <row r="565" spans="1:6" x14ac:dyDescent="0.2">
      <c r="A565" s="275"/>
      <c r="B565" s="78"/>
      <c r="C565" s="189"/>
      <c r="D565" s="185"/>
      <c r="E565" s="186"/>
      <c r="F565" s="187"/>
    </row>
    <row r="566" spans="1:6" x14ac:dyDescent="0.2">
      <c r="A566" s="275"/>
      <c r="B566" s="78"/>
      <c r="C566" s="189"/>
      <c r="D566" s="185"/>
      <c r="E566" s="186"/>
      <c r="F566" s="187"/>
    </row>
    <row r="567" spans="1:6" x14ac:dyDescent="0.2">
      <c r="A567" s="275"/>
      <c r="B567" s="78"/>
      <c r="C567" s="189"/>
      <c r="D567" s="185"/>
      <c r="E567" s="186"/>
      <c r="F567" s="187"/>
    </row>
    <row r="568" spans="1:6" x14ac:dyDescent="0.2">
      <c r="A568" s="275"/>
      <c r="B568" s="78"/>
      <c r="C568" s="189"/>
      <c r="D568" s="185"/>
      <c r="E568" s="186"/>
      <c r="F568" s="187"/>
    </row>
    <row r="569" spans="1:6" x14ac:dyDescent="0.2">
      <c r="A569" s="275"/>
      <c r="B569" s="78"/>
      <c r="C569" s="189"/>
      <c r="D569" s="185"/>
      <c r="E569" s="186"/>
      <c r="F569" s="187"/>
    </row>
    <row r="570" spans="1:6" x14ac:dyDescent="0.2">
      <c r="A570" s="275"/>
      <c r="B570" s="78"/>
      <c r="C570" s="189"/>
      <c r="D570" s="185"/>
      <c r="E570" s="186"/>
      <c r="F570" s="187"/>
    </row>
    <row r="571" spans="1:6" x14ac:dyDescent="0.2">
      <c r="A571" s="275"/>
      <c r="B571" s="78"/>
      <c r="C571" s="189"/>
      <c r="D571" s="185"/>
      <c r="E571" s="186"/>
      <c r="F571" s="187"/>
    </row>
    <row r="572" spans="1:6" x14ac:dyDescent="0.2">
      <c r="A572" s="275"/>
      <c r="B572" s="78"/>
      <c r="C572" s="189"/>
      <c r="D572" s="185"/>
      <c r="E572" s="186"/>
      <c r="F572" s="187"/>
    </row>
    <row r="573" spans="1:6" x14ac:dyDescent="0.2">
      <c r="A573" s="275"/>
      <c r="B573" s="78"/>
      <c r="C573" s="189"/>
      <c r="D573" s="185"/>
      <c r="E573" s="186"/>
      <c r="F573" s="187"/>
    </row>
    <row r="574" spans="1:6" x14ac:dyDescent="0.2">
      <c r="A574" s="275"/>
      <c r="B574" s="78"/>
      <c r="C574" s="189"/>
      <c r="D574" s="185"/>
      <c r="E574" s="186"/>
      <c r="F574" s="187"/>
    </row>
    <row r="575" spans="1:6" x14ac:dyDescent="0.2">
      <c r="A575" s="275"/>
      <c r="B575" s="78"/>
      <c r="C575" s="189"/>
      <c r="D575" s="185"/>
      <c r="E575" s="186"/>
      <c r="F575" s="187"/>
    </row>
    <row r="576" spans="1:6" x14ac:dyDescent="0.2">
      <c r="A576" s="275"/>
      <c r="B576" s="78"/>
      <c r="C576" s="189"/>
      <c r="D576" s="185"/>
      <c r="E576" s="186"/>
      <c r="F576" s="187"/>
    </row>
    <row r="577" spans="1:6" x14ac:dyDescent="0.2">
      <c r="A577" s="275"/>
      <c r="B577" s="78"/>
      <c r="C577" s="189"/>
      <c r="D577" s="185"/>
      <c r="E577" s="186"/>
      <c r="F577" s="187"/>
    </row>
    <row r="578" spans="1:6" x14ac:dyDescent="0.2">
      <c r="A578" s="275"/>
      <c r="B578" s="78"/>
      <c r="C578" s="189"/>
      <c r="D578" s="185"/>
      <c r="E578" s="186"/>
      <c r="F578" s="187"/>
    </row>
    <row r="579" spans="1:6" x14ac:dyDescent="0.2">
      <c r="A579" s="275"/>
      <c r="B579" s="78"/>
      <c r="C579" s="189"/>
      <c r="D579" s="185"/>
      <c r="E579" s="186"/>
      <c r="F579" s="187"/>
    </row>
    <row r="580" spans="1:6" x14ac:dyDescent="0.2">
      <c r="A580" s="275"/>
      <c r="B580" s="78"/>
      <c r="C580" s="189"/>
      <c r="D580" s="185"/>
      <c r="E580" s="186"/>
      <c r="F580" s="187"/>
    </row>
    <row r="581" spans="1:6" x14ac:dyDescent="0.2">
      <c r="A581" s="275"/>
      <c r="B581" s="78"/>
      <c r="C581" s="189"/>
      <c r="D581" s="185"/>
      <c r="E581" s="186"/>
      <c r="F581" s="187"/>
    </row>
    <row r="582" spans="1:6" x14ac:dyDescent="0.2">
      <c r="A582" s="275"/>
      <c r="B582" s="78"/>
      <c r="C582" s="189"/>
      <c r="D582" s="185"/>
      <c r="E582" s="186"/>
      <c r="F582" s="187"/>
    </row>
    <row r="583" spans="1:6" x14ac:dyDescent="0.2">
      <c r="A583" s="275"/>
      <c r="B583" s="78"/>
      <c r="C583" s="189"/>
      <c r="D583" s="185"/>
      <c r="E583" s="186"/>
      <c r="F583" s="187"/>
    </row>
    <row r="584" spans="1:6" x14ac:dyDescent="0.2">
      <c r="A584" s="275"/>
      <c r="B584" s="78"/>
      <c r="C584" s="189"/>
      <c r="D584" s="185"/>
      <c r="E584" s="186"/>
      <c r="F584" s="187"/>
    </row>
    <row r="585" spans="1:6" x14ac:dyDescent="0.2">
      <c r="A585" s="275"/>
      <c r="B585" s="78"/>
      <c r="C585" s="189"/>
      <c r="D585" s="185"/>
      <c r="E585" s="186"/>
      <c r="F585" s="187"/>
    </row>
    <row r="586" spans="1:6" x14ac:dyDescent="0.2">
      <c r="A586" s="275"/>
      <c r="B586" s="78"/>
      <c r="C586" s="189"/>
      <c r="D586" s="185"/>
      <c r="E586" s="186"/>
      <c r="F586" s="187"/>
    </row>
    <row r="587" spans="1:6" x14ac:dyDescent="0.2">
      <c r="A587" s="275"/>
      <c r="B587" s="78"/>
      <c r="C587" s="189"/>
      <c r="D587" s="185"/>
      <c r="E587" s="186"/>
      <c r="F587" s="187"/>
    </row>
    <row r="588" spans="1:6" x14ac:dyDescent="0.2">
      <c r="A588" s="275"/>
      <c r="B588" s="78"/>
      <c r="C588" s="189"/>
      <c r="D588" s="185"/>
      <c r="E588" s="186"/>
      <c r="F588" s="187"/>
    </row>
    <row r="589" spans="1:6" x14ac:dyDescent="0.2">
      <c r="A589" s="275"/>
      <c r="B589" s="78"/>
      <c r="C589" s="189"/>
      <c r="D589" s="185"/>
      <c r="E589" s="186"/>
      <c r="F589" s="187"/>
    </row>
    <row r="590" spans="1:6" x14ac:dyDescent="0.2">
      <c r="A590" s="275"/>
      <c r="B590" s="78"/>
      <c r="C590" s="189"/>
      <c r="D590" s="185"/>
      <c r="E590" s="186"/>
      <c r="F590" s="187"/>
    </row>
    <row r="591" spans="1:6" x14ac:dyDescent="0.2">
      <c r="A591" s="275"/>
      <c r="B591" s="78"/>
      <c r="C591" s="189"/>
      <c r="D591" s="185"/>
      <c r="E591" s="186"/>
      <c r="F591" s="187"/>
    </row>
    <row r="592" spans="1:6" x14ac:dyDescent="0.2">
      <c r="A592" s="275"/>
      <c r="B592" s="78"/>
      <c r="C592" s="189"/>
      <c r="D592" s="185"/>
      <c r="E592" s="186"/>
      <c r="F592" s="187"/>
    </row>
    <row r="593" spans="1:6" x14ac:dyDescent="0.2">
      <c r="A593" s="275"/>
      <c r="B593" s="78"/>
      <c r="C593" s="189"/>
      <c r="D593" s="185"/>
      <c r="E593" s="186"/>
      <c r="F593" s="187"/>
    </row>
    <row r="594" spans="1:6" x14ac:dyDescent="0.2">
      <c r="A594" s="275"/>
      <c r="B594" s="78"/>
      <c r="C594" s="189"/>
      <c r="D594" s="185"/>
      <c r="E594" s="186"/>
      <c r="F594" s="187"/>
    </row>
    <row r="595" spans="1:6" x14ac:dyDescent="0.2">
      <c r="A595" s="275"/>
      <c r="B595" s="78"/>
      <c r="C595" s="189"/>
      <c r="D595" s="185"/>
      <c r="E595" s="186"/>
      <c r="F595" s="187"/>
    </row>
    <row r="596" spans="1:6" x14ac:dyDescent="0.2">
      <c r="A596" s="275"/>
      <c r="B596" s="78"/>
      <c r="C596" s="189"/>
      <c r="D596" s="185"/>
      <c r="E596" s="186"/>
      <c r="F596" s="187"/>
    </row>
    <row r="597" spans="1:6" x14ac:dyDescent="0.2">
      <c r="A597" s="275"/>
      <c r="B597" s="78"/>
      <c r="C597" s="189"/>
      <c r="D597" s="185"/>
      <c r="E597" s="186"/>
      <c r="F597" s="187"/>
    </row>
    <row r="598" spans="1:6" x14ac:dyDescent="0.2">
      <c r="A598" s="275"/>
      <c r="B598" s="78"/>
      <c r="C598" s="189"/>
      <c r="D598" s="185"/>
      <c r="E598" s="186"/>
      <c r="F598" s="187"/>
    </row>
    <row r="599" spans="1:6" x14ac:dyDescent="0.2">
      <c r="A599" s="275"/>
      <c r="B599" s="78"/>
      <c r="C599" s="189"/>
      <c r="D599" s="185"/>
      <c r="E599" s="186"/>
      <c r="F599" s="187"/>
    </row>
    <row r="600" spans="1:6" x14ac:dyDescent="0.2">
      <c r="A600" s="275"/>
      <c r="B600" s="78"/>
      <c r="C600" s="189"/>
      <c r="D600" s="185"/>
      <c r="E600" s="186"/>
      <c r="F600" s="187"/>
    </row>
    <row r="601" spans="1:6" x14ac:dyDescent="0.2">
      <c r="A601" s="275"/>
      <c r="B601" s="78"/>
      <c r="C601" s="189"/>
      <c r="D601" s="185"/>
      <c r="E601" s="186"/>
      <c r="F601" s="187"/>
    </row>
    <row r="602" spans="1:6" x14ac:dyDescent="0.2">
      <c r="A602" s="275"/>
      <c r="B602" s="78"/>
      <c r="C602" s="189"/>
      <c r="D602" s="185"/>
      <c r="E602" s="186"/>
      <c r="F602" s="187"/>
    </row>
    <row r="603" spans="1:6" x14ac:dyDescent="0.2">
      <c r="A603" s="275"/>
      <c r="B603" s="78"/>
      <c r="C603" s="189"/>
      <c r="D603" s="185"/>
      <c r="E603" s="186"/>
      <c r="F603" s="187"/>
    </row>
    <row r="604" spans="1:6" x14ac:dyDescent="0.2">
      <c r="A604" s="275"/>
      <c r="B604" s="78"/>
      <c r="C604" s="189"/>
      <c r="D604" s="185"/>
      <c r="E604" s="186"/>
      <c r="F604" s="187"/>
    </row>
    <row r="605" spans="1:6" x14ac:dyDescent="0.2">
      <c r="A605" s="275"/>
      <c r="B605" s="78"/>
      <c r="C605" s="189"/>
      <c r="D605" s="185"/>
      <c r="E605" s="186"/>
      <c r="F605" s="187"/>
    </row>
    <row r="606" spans="1:6" x14ac:dyDescent="0.2">
      <c r="A606" s="275"/>
      <c r="B606" s="78"/>
      <c r="C606" s="189"/>
      <c r="D606" s="185"/>
      <c r="E606" s="186"/>
      <c r="F606" s="187"/>
    </row>
    <row r="607" spans="1:6" x14ac:dyDescent="0.2">
      <c r="A607" s="275"/>
      <c r="B607" s="78"/>
      <c r="C607" s="189"/>
      <c r="D607" s="185"/>
      <c r="E607" s="186"/>
      <c r="F607" s="187"/>
    </row>
    <row r="608" spans="1:6" x14ac:dyDescent="0.2">
      <c r="A608" s="275"/>
      <c r="B608" s="78"/>
      <c r="C608" s="189"/>
      <c r="D608" s="185"/>
      <c r="E608" s="186"/>
      <c r="F608" s="187"/>
    </row>
    <row r="609" spans="1:6" x14ac:dyDescent="0.2">
      <c r="A609" s="275"/>
      <c r="B609" s="78"/>
      <c r="C609" s="189"/>
      <c r="D609" s="185"/>
      <c r="E609" s="186"/>
      <c r="F609" s="187"/>
    </row>
    <row r="610" spans="1:6" x14ac:dyDescent="0.2">
      <c r="A610" s="275"/>
      <c r="B610" s="78"/>
      <c r="C610" s="189"/>
      <c r="D610" s="185"/>
      <c r="E610" s="186"/>
      <c r="F610" s="187"/>
    </row>
    <row r="611" spans="1:6" x14ac:dyDescent="0.2">
      <c r="A611" s="275"/>
      <c r="B611" s="78"/>
      <c r="C611" s="189"/>
      <c r="D611" s="185"/>
      <c r="E611" s="186"/>
      <c r="F611" s="187"/>
    </row>
    <row r="612" spans="1:6" x14ac:dyDescent="0.2">
      <c r="A612" s="275"/>
      <c r="B612" s="78"/>
      <c r="C612" s="189"/>
      <c r="D612" s="185"/>
      <c r="E612" s="186"/>
      <c r="F612" s="187"/>
    </row>
    <row r="613" spans="1:6" x14ac:dyDescent="0.2">
      <c r="A613" s="275"/>
      <c r="B613" s="78"/>
      <c r="C613" s="189"/>
      <c r="D613" s="185"/>
      <c r="E613" s="186"/>
      <c r="F613" s="187"/>
    </row>
    <row r="614" spans="1:6" x14ac:dyDescent="0.2">
      <c r="A614" s="275"/>
      <c r="B614" s="78"/>
      <c r="C614" s="189"/>
      <c r="D614" s="185"/>
      <c r="E614" s="186"/>
      <c r="F614" s="187"/>
    </row>
    <row r="615" spans="1:6" x14ac:dyDescent="0.2">
      <c r="A615" s="275"/>
      <c r="B615" s="78"/>
      <c r="C615" s="189"/>
      <c r="D615" s="185"/>
      <c r="E615" s="186"/>
      <c r="F615" s="187"/>
    </row>
    <row r="616" spans="1:6" x14ac:dyDescent="0.2">
      <c r="A616" s="275"/>
      <c r="B616" s="78"/>
      <c r="C616" s="189"/>
      <c r="D616" s="185"/>
      <c r="E616" s="186"/>
      <c r="F616" s="187"/>
    </row>
    <row r="617" spans="1:6" x14ac:dyDescent="0.2">
      <c r="A617" s="275"/>
      <c r="B617" s="78"/>
      <c r="C617" s="189"/>
      <c r="D617" s="185"/>
      <c r="E617" s="186"/>
      <c r="F617" s="187"/>
    </row>
    <row r="618" spans="1:6" x14ac:dyDescent="0.2">
      <c r="A618" s="275"/>
      <c r="B618" s="78"/>
      <c r="C618" s="189"/>
      <c r="D618" s="185"/>
      <c r="E618" s="186"/>
      <c r="F618" s="187"/>
    </row>
    <row r="619" spans="1:6" x14ac:dyDescent="0.2">
      <c r="A619" s="275"/>
      <c r="B619" s="78"/>
      <c r="C619" s="189"/>
      <c r="D619" s="185"/>
      <c r="E619" s="186"/>
      <c r="F619" s="187"/>
    </row>
    <row r="620" spans="1:6" x14ac:dyDescent="0.2">
      <c r="A620" s="275"/>
      <c r="B620" s="78"/>
      <c r="C620" s="189"/>
      <c r="D620" s="185"/>
      <c r="E620" s="186"/>
      <c r="F620" s="187"/>
    </row>
    <row r="621" spans="1:6" x14ac:dyDescent="0.2">
      <c r="A621" s="275"/>
      <c r="B621" s="78"/>
      <c r="C621" s="189"/>
      <c r="D621" s="185"/>
      <c r="E621" s="186"/>
      <c r="F621" s="187"/>
    </row>
    <row r="622" spans="1:6" x14ac:dyDescent="0.2">
      <c r="A622" s="275"/>
      <c r="B622" s="78"/>
      <c r="C622" s="189"/>
      <c r="D622" s="185"/>
      <c r="E622" s="186"/>
      <c r="F622" s="187"/>
    </row>
    <row r="623" spans="1:6" x14ac:dyDescent="0.2">
      <c r="A623" s="275"/>
      <c r="B623" s="78"/>
      <c r="C623" s="189"/>
      <c r="D623" s="185"/>
      <c r="E623" s="186"/>
      <c r="F623" s="187"/>
    </row>
    <row r="624" spans="1:6" x14ac:dyDescent="0.2">
      <c r="A624" s="275"/>
      <c r="B624" s="78"/>
      <c r="C624" s="189"/>
      <c r="D624" s="185"/>
      <c r="E624" s="186"/>
      <c r="F624" s="187"/>
    </row>
    <row r="625" spans="1:6" x14ac:dyDescent="0.2">
      <c r="A625" s="275"/>
      <c r="B625" s="78"/>
      <c r="C625" s="189"/>
      <c r="D625" s="185"/>
      <c r="E625" s="186"/>
      <c r="F625" s="187"/>
    </row>
    <row r="626" spans="1:6" x14ac:dyDescent="0.2">
      <c r="A626" s="275"/>
      <c r="B626" s="78"/>
      <c r="C626" s="189"/>
      <c r="D626" s="185"/>
      <c r="E626" s="186"/>
      <c r="F626" s="187"/>
    </row>
    <row r="627" spans="1:6" x14ac:dyDescent="0.2">
      <c r="A627" s="275"/>
      <c r="B627" s="78"/>
      <c r="C627" s="189"/>
      <c r="D627" s="185"/>
      <c r="E627" s="186"/>
      <c r="F627" s="187"/>
    </row>
    <row r="628" spans="1:6" x14ac:dyDescent="0.2">
      <c r="A628" s="275"/>
      <c r="B628" s="78"/>
      <c r="C628" s="189"/>
      <c r="D628" s="185"/>
      <c r="E628" s="186"/>
      <c r="F628" s="187"/>
    </row>
    <row r="629" spans="1:6" x14ac:dyDescent="0.2">
      <c r="A629" s="275"/>
      <c r="B629" s="78"/>
      <c r="C629" s="189"/>
      <c r="D629" s="185"/>
      <c r="E629" s="186"/>
      <c r="F629" s="187"/>
    </row>
    <row r="630" spans="1:6" x14ac:dyDescent="0.2">
      <c r="A630" s="275"/>
      <c r="B630" s="78"/>
      <c r="C630" s="189"/>
      <c r="D630" s="185"/>
      <c r="E630" s="186"/>
      <c r="F630" s="187"/>
    </row>
    <row r="631" spans="1:6" x14ac:dyDescent="0.2">
      <c r="A631" s="275"/>
      <c r="B631" s="78"/>
      <c r="C631" s="189"/>
      <c r="D631" s="185"/>
      <c r="E631" s="186"/>
      <c r="F631" s="187"/>
    </row>
    <row r="632" spans="1:6" x14ac:dyDescent="0.2">
      <c r="A632" s="275"/>
      <c r="B632" s="78"/>
      <c r="C632" s="189"/>
      <c r="D632" s="185"/>
      <c r="E632" s="186"/>
      <c r="F632" s="187"/>
    </row>
    <row r="633" spans="1:6" x14ac:dyDescent="0.2">
      <c r="A633" s="275"/>
      <c r="B633" s="78"/>
      <c r="C633" s="189"/>
      <c r="D633" s="185"/>
      <c r="E633" s="186"/>
      <c r="F633" s="187"/>
    </row>
    <row r="634" spans="1:6" x14ac:dyDescent="0.2">
      <c r="A634" s="275"/>
      <c r="B634" s="78"/>
      <c r="C634" s="189"/>
      <c r="D634" s="185"/>
      <c r="E634" s="186"/>
      <c r="F634" s="187"/>
    </row>
    <row r="635" spans="1:6" x14ac:dyDescent="0.2">
      <c r="A635" s="275"/>
      <c r="B635" s="78"/>
      <c r="C635" s="189"/>
      <c r="D635" s="185"/>
      <c r="E635" s="186"/>
      <c r="F635" s="187"/>
    </row>
    <row r="636" spans="1:6" x14ac:dyDescent="0.2">
      <c r="A636" s="275"/>
      <c r="B636" s="78"/>
      <c r="C636" s="189"/>
      <c r="D636" s="185"/>
      <c r="E636" s="186"/>
      <c r="F636" s="187"/>
    </row>
    <row r="637" spans="1:6" x14ac:dyDescent="0.2">
      <c r="A637" s="275"/>
      <c r="B637" s="78"/>
      <c r="C637" s="189"/>
      <c r="D637" s="185"/>
      <c r="E637" s="186"/>
      <c r="F637" s="187"/>
    </row>
    <row r="638" spans="1:6" x14ac:dyDescent="0.2">
      <c r="A638" s="275"/>
      <c r="B638" s="78"/>
      <c r="C638" s="189"/>
      <c r="D638" s="185"/>
      <c r="E638" s="186"/>
      <c r="F638" s="187"/>
    </row>
    <row r="639" spans="1:6" x14ac:dyDescent="0.2">
      <c r="A639" s="275"/>
      <c r="B639" s="78"/>
      <c r="C639" s="189"/>
      <c r="D639" s="185"/>
      <c r="E639" s="186"/>
      <c r="F639" s="187"/>
    </row>
    <row r="640" spans="1:6" x14ac:dyDescent="0.2">
      <c r="A640" s="275"/>
      <c r="B640" s="78"/>
      <c r="C640" s="189"/>
      <c r="D640" s="185"/>
      <c r="E640" s="186"/>
      <c r="F640" s="187"/>
    </row>
    <row r="641" spans="1:6" x14ac:dyDescent="0.2">
      <c r="A641" s="275"/>
      <c r="B641" s="78"/>
      <c r="C641" s="189"/>
      <c r="D641" s="185"/>
      <c r="E641" s="186"/>
      <c r="F641" s="187"/>
    </row>
    <row r="642" spans="1:6" x14ac:dyDescent="0.2">
      <c r="A642" s="275"/>
      <c r="B642" s="78"/>
      <c r="C642" s="189"/>
      <c r="D642" s="185"/>
      <c r="E642" s="186"/>
      <c r="F642" s="187"/>
    </row>
    <row r="643" spans="1:6" x14ac:dyDescent="0.2">
      <c r="A643" s="275"/>
      <c r="B643" s="78"/>
      <c r="C643" s="189"/>
      <c r="D643" s="185"/>
      <c r="E643" s="186"/>
      <c r="F643" s="187"/>
    </row>
    <row r="644" spans="1:6" x14ac:dyDescent="0.2">
      <c r="A644" s="275"/>
      <c r="B644" s="78"/>
      <c r="C644" s="189"/>
      <c r="D644" s="185"/>
      <c r="E644" s="186"/>
      <c r="F644" s="187"/>
    </row>
    <row r="645" spans="1:6" x14ac:dyDescent="0.2">
      <c r="A645" s="275"/>
      <c r="B645" s="78"/>
      <c r="C645" s="189"/>
      <c r="D645" s="185"/>
      <c r="E645" s="186"/>
      <c r="F645" s="187"/>
    </row>
    <row r="646" spans="1:6" x14ac:dyDescent="0.2">
      <c r="A646" s="275"/>
      <c r="B646" s="78"/>
      <c r="C646" s="189"/>
      <c r="D646" s="185"/>
      <c r="E646" s="186"/>
      <c r="F646" s="187"/>
    </row>
    <row r="647" spans="1:6" x14ac:dyDescent="0.2">
      <c r="A647" s="275"/>
      <c r="B647" s="78"/>
      <c r="C647" s="189"/>
      <c r="D647" s="185"/>
      <c r="E647" s="186"/>
      <c r="F647" s="187"/>
    </row>
    <row r="648" spans="1:6" x14ac:dyDescent="0.2">
      <c r="A648" s="275"/>
      <c r="B648" s="78"/>
      <c r="C648" s="189"/>
      <c r="D648" s="185"/>
      <c r="E648" s="186"/>
      <c r="F648" s="187"/>
    </row>
    <row r="649" spans="1:6" x14ac:dyDescent="0.2">
      <c r="A649" s="275"/>
      <c r="B649" s="78"/>
      <c r="C649" s="189"/>
      <c r="D649" s="185"/>
      <c r="E649" s="186"/>
      <c r="F649" s="187"/>
    </row>
    <row r="650" spans="1:6" x14ac:dyDescent="0.2">
      <c r="A650" s="275"/>
      <c r="B650" s="78"/>
      <c r="C650" s="189"/>
      <c r="D650" s="185"/>
      <c r="E650" s="186"/>
      <c r="F650" s="187"/>
    </row>
    <row r="651" spans="1:6" x14ac:dyDescent="0.2">
      <c r="A651" s="275"/>
      <c r="B651" s="78"/>
      <c r="C651" s="189"/>
      <c r="D651" s="185"/>
      <c r="E651" s="186"/>
      <c r="F651" s="187"/>
    </row>
    <row r="652" spans="1:6" x14ac:dyDescent="0.2">
      <c r="A652" s="275"/>
      <c r="B652" s="78"/>
      <c r="C652" s="189"/>
      <c r="D652" s="185"/>
      <c r="E652" s="186"/>
      <c r="F652" s="187"/>
    </row>
    <row r="653" spans="1:6" x14ac:dyDescent="0.2">
      <c r="A653" s="275"/>
      <c r="B653" s="78"/>
      <c r="C653" s="189"/>
      <c r="D653" s="185"/>
      <c r="E653" s="186"/>
      <c r="F653" s="187"/>
    </row>
    <row r="654" spans="1:6" x14ac:dyDescent="0.2">
      <c r="A654" s="275"/>
      <c r="B654" s="78"/>
      <c r="C654" s="189"/>
      <c r="D654" s="185"/>
      <c r="E654" s="186"/>
      <c r="F654" s="187"/>
    </row>
    <row r="655" spans="1:6" x14ac:dyDescent="0.2">
      <c r="A655" s="275"/>
      <c r="B655" s="78"/>
      <c r="C655" s="189"/>
      <c r="D655" s="185"/>
      <c r="E655" s="186"/>
      <c r="F655" s="187"/>
    </row>
    <row r="656" spans="1:6" x14ac:dyDescent="0.2">
      <c r="A656" s="275"/>
      <c r="B656" s="78"/>
      <c r="C656" s="189"/>
      <c r="D656" s="185"/>
      <c r="E656" s="186"/>
      <c r="F656" s="187"/>
    </row>
    <row r="657" spans="1:6" x14ac:dyDescent="0.2">
      <c r="A657" s="275"/>
      <c r="B657" s="78"/>
      <c r="C657" s="189"/>
      <c r="D657" s="185"/>
      <c r="E657" s="186"/>
      <c r="F657" s="187"/>
    </row>
    <row r="658" spans="1:6" x14ac:dyDescent="0.2">
      <c r="A658" s="275"/>
      <c r="B658" s="78"/>
      <c r="C658" s="189"/>
      <c r="D658" s="185"/>
      <c r="E658" s="186"/>
      <c r="F658" s="187"/>
    </row>
    <row r="659" spans="1:6" x14ac:dyDescent="0.2">
      <c r="A659" s="275"/>
      <c r="B659" s="78"/>
      <c r="C659" s="189"/>
      <c r="D659" s="185"/>
      <c r="E659" s="186"/>
      <c r="F659" s="187"/>
    </row>
    <row r="660" spans="1:6" x14ac:dyDescent="0.2">
      <c r="A660" s="275"/>
      <c r="B660" s="78"/>
      <c r="C660" s="189"/>
      <c r="D660" s="185"/>
      <c r="E660" s="186"/>
      <c r="F660" s="187"/>
    </row>
    <row r="661" spans="1:6" x14ac:dyDescent="0.2">
      <c r="A661" s="275"/>
      <c r="B661" s="78"/>
      <c r="C661" s="189"/>
      <c r="D661" s="185"/>
      <c r="E661" s="186"/>
      <c r="F661" s="187"/>
    </row>
    <row r="662" spans="1:6" x14ac:dyDescent="0.2">
      <c r="A662" s="275"/>
      <c r="B662" s="78"/>
      <c r="C662" s="189"/>
      <c r="D662" s="185"/>
      <c r="E662" s="186"/>
      <c r="F662" s="187"/>
    </row>
    <row r="663" spans="1:6" x14ac:dyDescent="0.2">
      <c r="A663" s="275"/>
      <c r="B663" s="78"/>
      <c r="C663" s="189"/>
      <c r="D663" s="185"/>
      <c r="E663" s="186"/>
      <c r="F663" s="187"/>
    </row>
    <row r="664" spans="1:6" x14ac:dyDescent="0.2">
      <c r="A664" s="275"/>
      <c r="B664" s="78"/>
      <c r="C664" s="189"/>
      <c r="D664" s="185"/>
      <c r="E664" s="186"/>
      <c r="F664" s="187"/>
    </row>
    <row r="665" spans="1:6" x14ac:dyDescent="0.2">
      <c r="A665" s="275"/>
      <c r="B665" s="78"/>
      <c r="C665" s="189"/>
      <c r="D665" s="185"/>
      <c r="E665" s="186"/>
      <c r="F665" s="187"/>
    </row>
    <row r="666" spans="1:6" x14ac:dyDescent="0.2">
      <c r="A666" s="275"/>
      <c r="B666" s="78"/>
      <c r="C666" s="189"/>
      <c r="D666" s="185"/>
      <c r="E666" s="186"/>
      <c r="F666" s="187"/>
    </row>
    <row r="667" spans="1:6" x14ac:dyDescent="0.2">
      <c r="A667" s="275"/>
      <c r="B667" s="78"/>
      <c r="C667" s="189"/>
      <c r="D667" s="185"/>
      <c r="E667" s="186"/>
      <c r="F667" s="187"/>
    </row>
    <row r="668" spans="1:6" x14ac:dyDescent="0.2">
      <c r="A668" s="275"/>
      <c r="B668" s="78"/>
      <c r="C668" s="189"/>
      <c r="D668" s="185"/>
      <c r="E668" s="186"/>
      <c r="F668" s="187"/>
    </row>
    <row r="669" spans="1:6" x14ac:dyDescent="0.2">
      <c r="A669" s="275"/>
      <c r="B669" s="78"/>
      <c r="C669" s="189"/>
      <c r="D669" s="185"/>
      <c r="E669" s="186"/>
      <c r="F669" s="187"/>
    </row>
    <row r="670" spans="1:6" x14ac:dyDescent="0.2">
      <c r="A670" s="275"/>
      <c r="B670" s="78"/>
      <c r="C670" s="189"/>
      <c r="D670" s="185"/>
      <c r="E670" s="186"/>
      <c r="F670" s="187"/>
    </row>
    <row r="671" spans="1:6" x14ac:dyDescent="0.2">
      <c r="A671" s="275"/>
      <c r="B671" s="78"/>
      <c r="C671" s="189"/>
      <c r="D671" s="185"/>
      <c r="E671" s="186"/>
      <c r="F671" s="187"/>
    </row>
    <row r="672" spans="1:6" x14ac:dyDescent="0.2">
      <c r="A672" s="275"/>
      <c r="B672" s="78"/>
      <c r="C672" s="189"/>
      <c r="D672" s="185"/>
      <c r="E672" s="186"/>
      <c r="F672" s="187"/>
    </row>
    <row r="673" spans="1:6" x14ac:dyDescent="0.2">
      <c r="A673" s="275"/>
      <c r="B673" s="78"/>
      <c r="C673" s="189"/>
      <c r="D673" s="185"/>
      <c r="E673" s="186"/>
      <c r="F673" s="187"/>
    </row>
    <row r="674" spans="1:6" x14ac:dyDescent="0.2">
      <c r="A674" s="275"/>
      <c r="B674" s="78"/>
      <c r="C674" s="189"/>
      <c r="D674" s="185"/>
      <c r="E674" s="186"/>
      <c r="F674" s="187"/>
    </row>
    <row r="675" spans="1:6" x14ac:dyDescent="0.2">
      <c r="A675" s="275"/>
      <c r="B675" s="78"/>
      <c r="C675" s="189"/>
      <c r="D675" s="185"/>
      <c r="E675" s="186"/>
      <c r="F675" s="187"/>
    </row>
    <row r="676" spans="1:6" x14ac:dyDescent="0.2">
      <c r="A676" s="275"/>
      <c r="B676" s="78"/>
      <c r="C676" s="189"/>
      <c r="D676" s="185"/>
      <c r="E676" s="186"/>
      <c r="F676" s="187"/>
    </row>
    <row r="677" spans="1:6" x14ac:dyDescent="0.2">
      <c r="A677" s="275"/>
      <c r="B677" s="78"/>
      <c r="C677" s="189"/>
      <c r="D677" s="185"/>
      <c r="E677" s="186"/>
      <c r="F677" s="187"/>
    </row>
    <row r="678" spans="1:6" x14ac:dyDescent="0.2">
      <c r="A678" s="275"/>
      <c r="B678" s="78"/>
      <c r="C678" s="189"/>
      <c r="D678" s="185"/>
      <c r="E678" s="186"/>
      <c r="F678" s="187"/>
    </row>
    <row r="679" spans="1:6" x14ac:dyDescent="0.2">
      <c r="A679" s="275"/>
      <c r="B679" s="78"/>
      <c r="C679" s="189"/>
      <c r="D679" s="185"/>
      <c r="E679" s="186"/>
      <c r="F679" s="187"/>
    </row>
    <row r="680" spans="1:6" x14ac:dyDescent="0.2">
      <c r="A680" s="275"/>
      <c r="B680" s="78"/>
      <c r="C680" s="189"/>
      <c r="D680" s="185"/>
      <c r="E680" s="186"/>
      <c r="F680" s="187"/>
    </row>
    <row r="681" spans="1:6" x14ac:dyDescent="0.2">
      <c r="A681" s="275"/>
      <c r="B681" s="78"/>
      <c r="C681" s="189"/>
      <c r="D681" s="185"/>
      <c r="E681" s="186"/>
      <c r="F681" s="187"/>
    </row>
    <row r="682" spans="1:6" x14ac:dyDescent="0.2">
      <c r="A682" s="275"/>
      <c r="B682" s="78"/>
      <c r="C682" s="189"/>
      <c r="D682" s="185"/>
      <c r="E682" s="186"/>
      <c r="F682" s="187"/>
    </row>
    <row r="683" spans="1:6" x14ac:dyDescent="0.2">
      <c r="A683" s="275"/>
      <c r="B683" s="78"/>
      <c r="C683" s="189"/>
      <c r="D683" s="185"/>
      <c r="E683" s="186"/>
      <c r="F683" s="187"/>
    </row>
    <row r="684" spans="1:6" x14ac:dyDescent="0.2">
      <c r="A684" s="275"/>
      <c r="B684" s="78"/>
      <c r="C684" s="189"/>
      <c r="D684" s="185"/>
      <c r="E684" s="186"/>
      <c r="F684" s="187"/>
    </row>
    <row r="685" spans="1:6" x14ac:dyDescent="0.2">
      <c r="A685" s="275"/>
      <c r="B685" s="78"/>
      <c r="C685" s="189"/>
      <c r="D685" s="185"/>
      <c r="E685" s="186"/>
      <c r="F685" s="187"/>
    </row>
    <row r="686" spans="1:6" x14ac:dyDescent="0.2">
      <c r="A686" s="275"/>
      <c r="B686" s="78"/>
      <c r="C686" s="189"/>
      <c r="D686" s="185"/>
      <c r="E686" s="186"/>
      <c r="F686" s="187"/>
    </row>
    <row r="687" spans="1:6" x14ac:dyDescent="0.2">
      <c r="A687" s="275"/>
      <c r="B687" s="78"/>
      <c r="C687" s="189"/>
      <c r="D687" s="185"/>
      <c r="E687" s="186"/>
      <c r="F687" s="187"/>
    </row>
    <row r="688" spans="1:6" x14ac:dyDescent="0.2">
      <c r="A688" s="275"/>
      <c r="B688" s="78"/>
      <c r="C688" s="189"/>
      <c r="D688" s="185"/>
      <c r="E688" s="186"/>
      <c r="F688" s="187"/>
    </row>
    <row r="689" spans="1:6" x14ac:dyDescent="0.2">
      <c r="A689" s="275"/>
      <c r="B689" s="78"/>
      <c r="C689" s="189"/>
      <c r="D689" s="185"/>
      <c r="E689" s="186"/>
      <c r="F689" s="187"/>
    </row>
    <row r="690" spans="1:6" x14ac:dyDescent="0.2">
      <c r="A690" s="275"/>
      <c r="B690" s="78"/>
      <c r="C690" s="189"/>
      <c r="D690" s="185"/>
      <c r="E690" s="186"/>
      <c r="F690" s="187"/>
    </row>
    <row r="691" spans="1:6" x14ac:dyDescent="0.2">
      <c r="A691" s="275"/>
      <c r="B691" s="78"/>
      <c r="C691" s="189"/>
      <c r="D691" s="185"/>
      <c r="E691" s="186"/>
      <c r="F691" s="187"/>
    </row>
    <row r="692" spans="1:6" x14ac:dyDescent="0.2">
      <c r="A692" s="275"/>
      <c r="B692" s="78"/>
      <c r="C692" s="189"/>
      <c r="D692" s="185"/>
      <c r="E692" s="186"/>
      <c r="F692" s="187"/>
    </row>
    <row r="693" spans="1:6" x14ac:dyDescent="0.2">
      <c r="A693" s="275"/>
      <c r="B693" s="78"/>
      <c r="C693" s="189"/>
      <c r="D693" s="185"/>
      <c r="E693" s="186"/>
      <c r="F693" s="187"/>
    </row>
    <row r="694" spans="1:6" x14ac:dyDescent="0.2">
      <c r="A694" s="275"/>
      <c r="B694" s="78"/>
      <c r="C694" s="189"/>
      <c r="D694" s="185"/>
      <c r="E694" s="186"/>
      <c r="F694" s="187"/>
    </row>
    <row r="695" spans="1:6" x14ac:dyDescent="0.2">
      <c r="A695" s="275"/>
      <c r="B695" s="78"/>
      <c r="C695" s="189"/>
      <c r="D695" s="185"/>
      <c r="E695" s="186"/>
      <c r="F695" s="187"/>
    </row>
    <row r="696" spans="1:6" x14ac:dyDescent="0.2">
      <c r="A696" s="275"/>
      <c r="B696" s="78"/>
      <c r="C696" s="189"/>
      <c r="D696" s="185"/>
      <c r="E696" s="186"/>
      <c r="F696" s="187"/>
    </row>
    <row r="697" spans="1:6" x14ac:dyDescent="0.2">
      <c r="A697" s="275"/>
      <c r="B697" s="78"/>
      <c r="C697" s="189"/>
      <c r="D697" s="185"/>
      <c r="E697" s="186"/>
      <c r="F697" s="187"/>
    </row>
    <row r="698" spans="1:6" x14ac:dyDescent="0.2">
      <c r="A698" s="275"/>
      <c r="B698" s="78"/>
      <c r="C698" s="189"/>
      <c r="D698" s="185"/>
      <c r="E698" s="186"/>
      <c r="F698" s="187"/>
    </row>
    <row r="699" spans="1:6" x14ac:dyDescent="0.2">
      <c r="A699" s="275"/>
      <c r="B699" s="78"/>
      <c r="C699" s="189"/>
      <c r="D699" s="185"/>
      <c r="E699" s="186"/>
      <c r="F699" s="187"/>
    </row>
    <row r="700" spans="1:6" x14ac:dyDescent="0.2">
      <c r="A700" s="275"/>
      <c r="B700" s="78"/>
      <c r="C700" s="189"/>
      <c r="D700" s="185"/>
      <c r="E700" s="186"/>
      <c r="F700" s="187"/>
    </row>
    <row r="701" spans="1:6" x14ac:dyDescent="0.2">
      <c r="A701" s="275"/>
      <c r="B701" s="78"/>
      <c r="C701" s="189"/>
      <c r="D701" s="185"/>
      <c r="E701" s="186"/>
      <c r="F701" s="187"/>
    </row>
    <row r="702" spans="1:6" x14ac:dyDescent="0.2">
      <c r="A702" s="275"/>
      <c r="B702" s="78"/>
      <c r="C702" s="189"/>
      <c r="D702" s="185"/>
      <c r="E702" s="186"/>
      <c r="F702" s="187"/>
    </row>
    <row r="703" spans="1:6" x14ac:dyDescent="0.2">
      <c r="A703" s="275"/>
      <c r="B703" s="78"/>
      <c r="C703" s="189"/>
      <c r="D703" s="185"/>
      <c r="E703" s="186"/>
      <c r="F703" s="187"/>
    </row>
    <row r="704" spans="1:6" x14ac:dyDescent="0.2">
      <c r="A704" s="275"/>
      <c r="B704" s="78"/>
      <c r="C704" s="189"/>
      <c r="D704" s="185"/>
      <c r="E704" s="186"/>
      <c r="F704" s="187"/>
    </row>
    <row r="705" spans="1:6" x14ac:dyDescent="0.2">
      <c r="A705" s="275"/>
      <c r="B705" s="78"/>
      <c r="C705" s="189"/>
      <c r="D705" s="185"/>
      <c r="E705" s="186"/>
      <c r="F705" s="187"/>
    </row>
    <row r="706" spans="1:6" x14ac:dyDescent="0.2">
      <c r="A706" s="275"/>
      <c r="B706" s="78"/>
      <c r="C706" s="189"/>
      <c r="D706" s="185"/>
      <c r="E706" s="186"/>
      <c r="F706" s="187"/>
    </row>
    <row r="707" spans="1:6" x14ac:dyDescent="0.2">
      <c r="A707" s="275"/>
      <c r="B707" s="78"/>
      <c r="C707" s="189"/>
      <c r="D707" s="185"/>
      <c r="E707" s="186"/>
      <c r="F707" s="187"/>
    </row>
    <row r="708" spans="1:6" x14ac:dyDescent="0.2">
      <c r="A708" s="275"/>
      <c r="B708" s="78"/>
      <c r="C708" s="189"/>
      <c r="D708" s="185"/>
      <c r="E708" s="186"/>
      <c r="F708" s="187"/>
    </row>
    <row r="709" spans="1:6" x14ac:dyDescent="0.2">
      <c r="A709" s="275"/>
      <c r="B709" s="78"/>
      <c r="C709" s="189"/>
      <c r="D709" s="185"/>
      <c r="E709" s="186"/>
      <c r="F709" s="187"/>
    </row>
    <row r="710" spans="1:6" x14ac:dyDescent="0.2">
      <c r="A710" s="275"/>
      <c r="B710" s="78"/>
      <c r="C710" s="189"/>
      <c r="D710" s="185"/>
      <c r="E710" s="186"/>
      <c r="F710" s="187"/>
    </row>
    <row r="711" spans="1:6" x14ac:dyDescent="0.2">
      <c r="A711" s="275"/>
      <c r="B711" s="78"/>
      <c r="C711" s="189"/>
      <c r="D711" s="185"/>
      <c r="E711" s="186"/>
      <c r="F711" s="187"/>
    </row>
    <row r="712" spans="1:6" x14ac:dyDescent="0.2">
      <c r="A712" s="275"/>
      <c r="B712" s="78"/>
      <c r="C712" s="189"/>
      <c r="D712" s="185"/>
      <c r="E712" s="186"/>
      <c r="F712" s="187"/>
    </row>
    <row r="713" spans="1:6" x14ac:dyDescent="0.2">
      <c r="A713" s="275"/>
      <c r="B713" s="78"/>
      <c r="C713" s="189"/>
      <c r="D713" s="185"/>
      <c r="E713" s="186"/>
      <c r="F713" s="187"/>
    </row>
    <row r="714" spans="1:6" x14ac:dyDescent="0.2">
      <c r="A714" s="275"/>
      <c r="B714" s="78"/>
      <c r="C714" s="189"/>
      <c r="D714" s="185"/>
      <c r="E714" s="186"/>
      <c r="F714" s="187"/>
    </row>
    <row r="715" spans="1:6" x14ac:dyDescent="0.2">
      <c r="A715" s="275"/>
      <c r="B715" s="78"/>
      <c r="C715" s="189"/>
      <c r="D715" s="185"/>
      <c r="E715" s="186"/>
      <c r="F715" s="187"/>
    </row>
    <row r="716" spans="1:6" x14ac:dyDescent="0.2">
      <c r="A716" s="275"/>
      <c r="B716" s="78"/>
      <c r="C716" s="189"/>
      <c r="D716" s="185"/>
      <c r="E716" s="186"/>
      <c r="F716" s="187"/>
    </row>
    <row r="717" spans="1:6" x14ac:dyDescent="0.2">
      <c r="A717" s="275"/>
      <c r="B717" s="78"/>
      <c r="C717" s="189"/>
      <c r="D717" s="185"/>
      <c r="E717" s="186"/>
      <c r="F717" s="187"/>
    </row>
    <row r="718" spans="1:6" x14ac:dyDescent="0.2">
      <c r="A718" s="275"/>
      <c r="B718" s="78"/>
      <c r="C718" s="189"/>
      <c r="D718" s="185"/>
      <c r="E718" s="186"/>
      <c r="F718" s="187"/>
    </row>
    <row r="719" spans="1:6" x14ac:dyDescent="0.2">
      <c r="A719" s="275"/>
      <c r="B719" s="78"/>
      <c r="C719" s="189"/>
      <c r="D719" s="185"/>
      <c r="E719" s="186"/>
      <c r="F719" s="187"/>
    </row>
    <row r="720" spans="1:6" x14ac:dyDescent="0.2">
      <c r="A720" s="275"/>
      <c r="B720" s="78"/>
      <c r="C720" s="189"/>
      <c r="D720" s="185"/>
      <c r="E720" s="186"/>
      <c r="F720" s="187"/>
    </row>
    <row r="721" spans="1:6" x14ac:dyDescent="0.2">
      <c r="A721" s="275"/>
      <c r="B721" s="78"/>
      <c r="C721" s="189"/>
      <c r="D721" s="185"/>
      <c r="E721" s="186"/>
      <c r="F721" s="187"/>
    </row>
    <row r="722" spans="1:6" x14ac:dyDescent="0.2">
      <c r="A722" s="275"/>
      <c r="B722" s="78"/>
      <c r="C722" s="189"/>
      <c r="D722" s="185"/>
      <c r="E722" s="186"/>
      <c r="F722" s="187"/>
    </row>
    <row r="723" spans="1:6" x14ac:dyDescent="0.2">
      <c r="A723" s="275"/>
      <c r="B723" s="78"/>
      <c r="C723" s="189"/>
      <c r="D723" s="185"/>
      <c r="E723" s="186"/>
      <c r="F723" s="187"/>
    </row>
    <row r="724" spans="1:6" x14ac:dyDescent="0.2">
      <c r="A724" s="275"/>
      <c r="B724" s="78"/>
      <c r="C724" s="189"/>
      <c r="D724" s="185"/>
      <c r="E724" s="186"/>
      <c r="F724" s="187"/>
    </row>
    <row r="725" spans="1:6" x14ac:dyDescent="0.2">
      <c r="A725" s="275"/>
      <c r="B725" s="78"/>
      <c r="C725" s="189"/>
      <c r="D725" s="185"/>
      <c r="E725" s="186"/>
      <c r="F725" s="187"/>
    </row>
    <row r="726" spans="1:6" x14ac:dyDescent="0.2">
      <c r="A726" s="275"/>
      <c r="B726" s="78"/>
      <c r="C726" s="189"/>
      <c r="D726" s="185"/>
      <c r="E726" s="186"/>
      <c r="F726" s="187"/>
    </row>
    <row r="727" spans="1:6" x14ac:dyDescent="0.2">
      <c r="A727" s="275"/>
      <c r="B727" s="78"/>
      <c r="C727" s="189"/>
      <c r="D727" s="185"/>
      <c r="E727" s="186"/>
      <c r="F727" s="187"/>
    </row>
    <row r="728" spans="1:6" x14ac:dyDescent="0.2">
      <c r="A728" s="275"/>
      <c r="B728" s="78"/>
      <c r="C728" s="189"/>
      <c r="D728" s="185"/>
      <c r="E728" s="186"/>
      <c r="F728" s="187"/>
    </row>
    <row r="729" spans="1:6" x14ac:dyDescent="0.2">
      <c r="A729" s="275"/>
      <c r="B729" s="78"/>
      <c r="C729" s="189"/>
      <c r="D729" s="185"/>
      <c r="E729" s="186"/>
      <c r="F729" s="187"/>
    </row>
    <row r="730" spans="1:6" x14ac:dyDescent="0.2">
      <c r="A730" s="275"/>
      <c r="B730" s="78"/>
      <c r="C730" s="189"/>
      <c r="D730" s="185"/>
      <c r="E730" s="186"/>
      <c r="F730" s="187"/>
    </row>
    <row r="731" spans="1:6" x14ac:dyDescent="0.2">
      <c r="A731" s="275"/>
      <c r="B731" s="78"/>
      <c r="C731" s="189"/>
      <c r="D731" s="185"/>
      <c r="E731" s="186"/>
      <c r="F731" s="187"/>
    </row>
    <row r="732" spans="1:6" x14ac:dyDescent="0.2">
      <c r="A732" s="275"/>
      <c r="B732" s="78"/>
      <c r="C732" s="189"/>
      <c r="D732" s="185"/>
      <c r="E732" s="186"/>
      <c r="F732" s="187"/>
    </row>
    <row r="733" spans="1:6" x14ac:dyDescent="0.2">
      <c r="A733" s="275"/>
      <c r="B733" s="78"/>
      <c r="C733" s="189"/>
      <c r="D733" s="185"/>
      <c r="E733" s="186"/>
      <c r="F733" s="187"/>
    </row>
    <row r="734" spans="1:6" x14ac:dyDescent="0.2">
      <c r="A734" s="275"/>
      <c r="B734" s="78"/>
      <c r="C734" s="189"/>
      <c r="D734" s="185"/>
      <c r="E734" s="186"/>
      <c r="F734" s="187"/>
    </row>
    <row r="735" spans="1:6" x14ac:dyDescent="0.2">
      <c r="A735" s="275"/>
      <c r="B735" s="78"/>
      <c r="C735" s="189"/>
      <c r="D735" s="185"/>
      <c r="E735" s="186"/>
      <c r="F735" s="187"/>
    </row>
    <row r="736" spans="1:6" x14ac:dyDescent="0.2">
      <c r="A736" s="275"/>
      <c r="B736" s="78"/>
      <c r="C736" s="189"/>
      <c r="D736" s="185"/>
      <c r="E736" s="186"/>
      <c r="F736" s="187"/>
    </row>
    <row r="737" spans="1:6" x14ac:dyDescent="0.2">
      <c r="A737" s="275"/>
      <c r="B737" s="78"/>
      <c r="C737" s="189"/>
      <c r="D737" s="185"/>
      <c r="E737" s="186"/>
      <c r="F737" s="187"/>
    </row>
    <row r="738" spans="1:6" x14ac:dyDescent="0.2">
      <c r="A738" s="275"/>
      <c r="B738" s="78"/>
      <c r="C738" s="189"/>
      <c r="D738" s="185"/>
      <c r="E738" s="186"/>
      <c r="F738" s="187"/>
    </row>
    <row r="739" spans="1:6" x14ac:dyDescent="0.2">
      <c r="A739" s="275"/>
      <c r="B739" s="78"/>
      <c r="C739" s="189"/>
      <c r="D739" s="185"/>
      <c r="E739" s="186"/>
      <c r="F739" s="187"/>
    </row>
    <row r="740" spans="1:6" x14ac:dyDescent="0.2">
      <c r="A740" s="275"/>
      <c r="B740" s="78"/>
      <c r="C740" s="189"/>
      <c r="D740" s="185"/>
      <c r="E740" s="186"/>
      <c r="F740" s="187"/>
    </row>
    <row r="741" spans="1:6" x14ac:dyDescent="0.2">
      <c r="A741" s="275"/>
      <c r="B741" s="78"/>
      <c r="C741" s="189"/>
      <c r="D741" s="185"/>
      <c r="E741" s="186"/>
      <c r="F741" s="187"/>
    </row>
    <row r="742" spans="1:6" x14ac:dyDescent="0.2">
      <c r="A742" s="275"/>
      <c r="B742" s="78"/>
      <c r="C742" s="189"/>
      <c r="D742" s="185"/>
      <c r="E742" s="186"/>
      <c r="F742" s="187"/>
    </row>
    <row r="743" spans="1:6" x14ac:dyDescent="0.2">
      <c r="A743" s="275"/>
      <c r="B743" s="78"/>
      <c r="C743" s="189"/>
      <c r="D743" s="185"/>
      <c r="E743" s="186"/>
      <c r="F743" s="187"/>
    </row>
    <row r="744" spans="1:6" x14ac:dyDescent="0.2">
      <c r="A744" s="275"/>
      <c r="B744" s="78"/>
      <c r="C744" s="189"/>
      <c r="D744" s="185"/>
      <c r="E744" s="186"/>
      <c r="F744" s="187"/>
    </row>
    <row r="745" spans="1:6" x14ac:dyDescent="0.2">
      <c r="A745" s="275"/>
      <c r="B745" s="78"/>
      <c r="C745" s="189"/>
      <c r="D745" s="185"/>
      <c r="E745" s="186"/>
      <c r="F745" s="187"/>
    </row>
    <row r="746" spans="1:6" x14ac:dyDescent="0.2">
      <c r="A746" s="275"/>
      <c r="B746" s="78"/>
      <c r="C746" s="189"/>
      <c r="D746" s="185"/>
      <c r="E746" s="186"/>
      <c r="F746" s="187"/>
    </row>
    <row r="747" spans="1:6" x14ac:dyDescent="0.2">
      <c r="A747" s="275"/>
      <c r="B747" s="78"/>
      <c r="C747" s="189"/>
      <c r="D747" s="185"/>
      <c r="E747" s="186"/>
      <c r="F747" s="187"/>
    </row>
    <row r="748" spans="1:6" x14ac:dyDescent="0.2">
      <c r="A748" s="275"/>
      <c r="B748" s="78"/>
      <c r="C748" s="189"/>
      <c r="D748" s="185"/>
      <c r="E748" s="186"/>
      <c r="F748" s="187"/>
    </row>
    <row r="749" spans="1:6" x14ac:dyDescent="0.2">
      <c r="A749" s="275"/>
      <c r="B749" s="78"/>
      <c r="C749" s="189"/>
      <c r="D749" s="185"/>
      <c r="E749" s="186"/>
      <c r="F749" s="187"/>
    </row>
    <row r="750" spans="1:6" x14ac:dyDescent="0.2">
      <c r="A750" s="275"/>
      <c r="B750" s="78"/>
      <c r="C750" s="189"/>
      <c r="D750" s="185"/>
      <c r="E750" s="186"/>
      <c r="F750" s="187"/>
    </row>
    <row r="751" spans="1:6" x14ac:dyDescent="0.2">
      <c r="A751" s="275"/>
      <c r="B751" s="78"/>
      <c r="C751" s="189"/>
      <c r="D751" s="185"/>
      <c r="E751" s="186"/>
      <c r="F751" s="187"/>
    </row>
    <row r="752" spans="1:6" x14ac:dyDescent="0.2">
      <c r="A752" s="275"/>
      <c r="B752" s="78"/>
      <c r="C752" s="189"/>
      <c r="D752" s="185"/>
      <c r="E752" s="186"/>
      <c r="F752" s="187"/>
    </row>
    <row r="753" spans="1:6" x14ac:dyDescent="0.2">
      <c r="A753" s="275"/>
      <c r="B753" s="78"/>
      <c r="C753" s="189"/>
      <c r="D753" s="185"/>
      <c r="E753" s="186"/>
      <c r="F753" s="187"/>
    </row>
    <row r="754" spans="1:6" x14ac:dyDescent="0.2">
      <c r="A754" s="275"/>
      <c r="B754" s="78"/>
      <c r="C754" s="189"/>
      <c r="D754" s="185"/>
      <c r="E754" s="186"/>
      <c r="F754" s="187"/>
    </row>
    <row r="755" spans="1:6" x14ac:dyDescent="0.2">
      <c r="A755" s="275"/>
      <c r="B755" s="78"/>
      <c r="C755" s="189"/>
      <c r="D755" s="185"/>
      <c r="E755" s="186"/>
      <c r="F755" s="187"/>
    </row>
    <row r="756" spans="1:6" x14ac:dyDescent="0.2">
      <c r="A756" s="275"/>
      <c r="B756" s="78"/>
      <c r="C756" s="189"/>
      <c r="D756" s="185"/>
      <c r="E756" s="186"/>
      <c r="F756" s="187"/>
    </row>
    <row r="757" spans="1:6" x14ac:dyDescent="0.2">
      <c r="A757" s="275"/>
      <c r="B757" s="78"/>
      <c r="C757" s="189"/>
      <c r="D757" s="185"/>
      <c r="E757" s="186"/>
      <c r="F757" s="187"/>
    </row>
    <row r="758" spans="1:6" x14ac:dyDescent="0.2">
      <c r="A758" s="275"/>
      <c r="B758" s="78"/>
      <c r="C758" s="189"/>
      <c r="D758" s="185"/>
      <c r="E758" s="186"/>
      <c r="F758" s="187"/>
    </row>
    <row r="759" spans="1:6" x14ac:dyDescent="0.2">
      <c r="A759" s="275"/>
      <c r="B759" s="78"/>
      <c r="C759" s="189"/>
      <c r="D759" s="185"/>
      <c r="E759" s="186"/>
      <c r="F759" s="187"/>
    </row>
    <row r="760" spans="1:6" x14ac:dyDescent="0.2">
      <c r="A760" s="275"/>
      <c r="B760" s="78"/>
      <c r="C760" s="189"/>
      <c r="D760" s="185"/>
      <c r="E760" s="186"/>
      <c r="F760" s="187"/>
    </row>
    <row r="761" spans="1:6" x14ac:dyDescent="0.2">
      <c r="A761" s="275"/>
      <c r="B761" s="78"/>
      <c r="C761" s="189"/>
      <c r="D761" s="185"/>
      <c r="E761" s="186"/>
      <c r="F761" s="187"/>
    </row>
    <row r="762" spans="1:6" x14ac:dyDescent="0.2">
      <c r="A762" s="275"/>
      <c r="B762" s="78"/>
      <c r="C762" s="189"/>
      <c r="D762" s="185"/>
      <c r="E762" s="186"/>
      <c r="F762" s="187"/>
    </row>
    <row r="763" spans="1:6" x14ac:dyDescent="0.2">
      <c r="A763" s="275"/>
      <c r="B763" s="78"/>
      <c r="C763" s="189"/>
      <c r="D763" s="185"/>
      <c r="E763" s="186"/>
      <c r="F763" s="187"/>
    </row>
    <row r="764" spans="1:6" x14ac:dyDescent="0.2">
      <c r="A764" s="275"/>
      <c r="B764" s="78"/>
      <c r="C764" s="189"/>
      <c r="D764" s="185"/>
      <c r="E764" s="186"/>
      <c r="F764" s="187"/>
    </row>
    <row r="765" spans="1:6" x14ac:dyDescent="0.2">
      <c r="A765" s="275"/>
      <c r="B765" s="78"/>
      <c r="C765" s="189"/>
      <c r="D765" s="185"/>
      <c r="E765" s="186"/>
      <c r="F765" s="187"/>
    </row>
    <row r="766" spans="1:6" x14ac:dyDescent="0.2">
      <c r="A766" s="275"/>
      <c r="B766" s="78"/>
      <c r="C766" s="189"/>
      <c r="D766" s="185"/>
      <c r="E766" s="186"/>
      <c r="F766" s="187"/>
    </row>
    <row r="767" spans="1:6" x14ac:dyDescent="0.2">
      <c r="A767" s="275"/>
      <c r="B767" s="78"/>
      <c r="C767" s="189"/>
      <c r="D767" s="185"/>
      <c r="E767" s="186"/>
      <c r="F767" s="187"/>
    </row>
    <row r="768" spans="1:6" x14ac:dyDescent="0.2">
      <c r="A768" s="275"/>
      <c r="B768" s="78"/>
      <c r="C768" s="189"/>
      <c r="D768" s="185"/>
      <c r="E768" s="186"/>
      <c r="F768" s="187"/>
    </row>
    <row r="769" spans="1:6" x14ac:dyDescent="0.2">
      <c r="A769" s="275"/>
      <c r="B769" s="78"/>
      <c r="C769" s="189"/>
      <c r="D769" s="185"/>
      <c r="E769" s="186"/>
      <c r="F769" s="187"/>
    </row>
    <row r="770" spans="1:6" x14ac:dyDescent="0.2">
      <c r="A770" s="275"/>
      <c r="B770" s="78"/>
      <c r="C770" s="189"/>
      <c r="D770" s="185"/>
      <c r="E770" s="186"/>
      <c r="F770" s="187"/>
    </row>
    <row r="771" spans="1:6" x14ac:dyDescent="0.2">
      <c r="A771" s="275"/>
      <c r="B771" s="78"/>
      <c r="C771" s="189"/>
      <c r="D771" s="185"/>
      <c r="E771" s="186"/>
      <c r="F771" s="187"/>
    </row>
    <row r="772" spans="1:6" x14ac:dyDescent="0.2">
      <c r="A772" s="275"/>
      <c r="B772" s="78"/>
      <c r="C772" s="189"/>
      <c r="D772" s="185"/>
      <c r="E772" s="186"/>
      <c r="F772" s="187"/>
    </row>
    <row r="773" spans="1:6" x14ac:dyDescent="0.2">
      <c r="A773" s="275"/>
      <c r="B773" s="78"/>
      <c r="C773" s="189"/>
      <c r="D773" s="185"/>
      <c r="E773" s="186"/>
      <c r="F773" s="187"/>
    </row>
    <row r="774" spans="1:6" x14ac:dyDescent="0.2">
      <c r="A774" s="275"/>
      <c r="B774" s="78"/>
      <c r="C774" s="189"/>
      <c r="D774" s="185"/>
      <c r="E774" s="186"/>
      <c r="F774" s="187"/>
    </row>
    <row r="775" spans="1:6" x14ac:dyDescent="0.2">
      <c r="A775" s="275"/>
      <c r="B775" s="78"/>
      <c r="C775" s="189"/>
      <c r="D775" s="185"/>
      <c r="E775" s="186"/>
      <c r="F775" s="187"/>
    </row>
    <row r="776" spans="1:6" x14ac:dyDescent="0.2">
      <c r="A776" s="275"/>
      <c r="B776" s="78"/>
      <c r="C776" s="189"/>
      <c r="D776" s="185"/>
      <c r="E776" s="186"/>
      <c r="F776" s="187"/>
    </row>
    <row r="777" spans="1:6" x14ac:dyDescent="0.2">
      <c r="A777" s="275"/>
      <c r="B777" s="78"/>
      <c r="C777" s="189"/>
      <c r="D777" s="185"/>
      <c r="E777" s="186"/>
      <c r="F777" s="187"/>
    </row>
    <row r="778" spans="1:6" x14ac:dyDescent="0.2">
      <c r="A778" s="275"/>
      <c r="B778" s="78"/>
      <c r="C778" s="189"/>
      <c r="D778" s="185"/>
      <c r="E778" s="186"/>
      <c r="F778" s="187"/>
    </row>
    <row r="779" spans="1:6" x14ac:dyDescent="0.2">
      <c r="A779" s="275"/>
      <c r="B779" s="78"/>
      <c r="C779" s="189"/>
      <c r="D779" s="185"/>
      <c r="E779" s="186"/>
      <c r="F779" s="187"/>
    </row>
    <row r="780" spans="1:6" x14ac:dyDescent="0.2">
      <c r="A780" s="275"/>
      <c r="B780" s="78"/>
      <c r="C780" s="189"/>
      <c r="D780" s="185"/>
      <c r="E780" s="186"/>
      <c r="F780" s="187"/>
    </row>
    <row r="781" spans="1:6" x14ac:dyDescent="0.2">
      <c r="A781" s="275"/>
      <c r="B781" s="78"/>
      <c r="C781" s="189"/>
      <c r="D781" s="185"/>
      <c r="E781" s="186"/>
      <c r="F781" s="187"/>
    </row>
    <row r="782" spans="1:6" x14ac:dyDescent="0.2">
      <c r="A782" s="275"/>
      <c r="B782" s="78"/>
      <c r="C782" s="189"/>
      <c r="D782" s="185"/>
      <c r="E782" s="186"/>
      <c r="F782" s="187"/>
    </row>
    <row r="783" spans="1:6" x14ac:dyDescent="0.2">
      <c r="A783" s="275"/>
      <c r="B783" s="78"/>
      <c r="C783" s="189"/>
      <c r="D783" s="185"/>
      <c r="E783" s="186"/>
      <c r="F783" s="187"/>
    </row>
    <row r="784" spans="1:6" x14ac:dyDescent="0.2">
      <c r="A784" s="275"/>
      <c r="B784" s="78"/>
      <c r="C784" s="189"/>
      <c r="D784" s="185"/>
      <c r="E784" s="186"/>
      <c r="F784" s="187"/>
    </row>
    <row r="785" spans="1:6" x14ac:dyDescent="0.2">
      <c r="A785" s="275"/>
      <c r="B785" s="78"/>
      <c r="C785" s="189"/>
      <c r="D785" s="185"/>
      <c r="E785" s="186"/>
      <c r="F785" s="187"/>
    </row>
    <row r="786" spans="1:6" x14ac:dyDescent="0.2">
      <c r="A786" s="275"/>
      <c r="B786" s="78"/>
      <c r="C786" s="189"/>
      <c r="D786" s="185"/>
      <c r="E786" s="186"/>
      <c r="F786" s="187"/>
    </row>
    <row r="787" spans="1:6" x14ac:dyDescent="0.2">
      <c r="A787" s="275"/>
      <c r="B787" s="78"/>
      <c r="C787" s="189"/>
      <c r="D787" s="185"/>
      <c r="E787" s="186"/>
      <c r="F787" s="187"/>
    </row>
    <row r="788" spans="1:6" x14ac:dyDescent="0.2">
      <c r="A788" s="275"/>
      <c r="B788" s="78"/>
      <c r="C788" s="189"/>
      <c r="D788" s="185"/>
      <c r="E788" s="186"/>
      <c r="F788" s="187"/>
    </row>
    <row r="789" spans="1:6" x14ac:dyDescent="0.2">
      <c r="A789" s="275"/>
      <c r="B789" s="78"/>
      <c r="C789" s="189"/>
      <c r="D789" s="185"/>
      <c r="E789" s="186"/>
      <c r="F789" s="187"/>
    </row>
    <row r="790" spans="1:6" x14ac:dyDescent="0.2">
      <c r="A790" s="275"/>
      <c r="B790" s="78"/>
      <c r="C790" s="189"/>
      <c r="D790" s="185"/>
      <c r="E790" s="186"/>
      <c r="F790" s="187"/>
    </row>
    <row r="791" spans="1:6" x14ac:dyDescent="0.2">
      <c r="A791" s="275"/>
      <c r="B791" s="78"/>
      <c r="C791" s="189"/>
      <c r="D791" s="185"/>
      <c r="E791" s="186"/>
      <c r="F791" s="187"/>
    </row>
    <row r="792" spans="1:6" x14ac:dyDescent="0.2">
      <c r="A792" s="275"/>
      <c r="B792" s="78"/>
      <c r="C792" s="189"/>
      <c r="D792" s="185"/>
      <c r="E792" s="186"/>
      <c r="F792" s="187"/>
    </row>
    <row r="793" spans="1:6" x14ac:dyDescent="0.2">
      <c r="A793" s="275"/>
      <c r="B793" s="78"/>
      <c r="C793" s="189"/>
      <c r="D793" s="185"/>
      <c r="E793" s="186"/>
      <c r="F793" s="187"/>
    </row>
    <row r="794" spans="1:6" x14ac:dyDescent="0.2">
      <c r="A794" s="275"/>
      <c r="B794" s="78"/>
      <c r="C794" s="189"/>
      <c r="D794" s="185"/>
      <c r="E794" s="186"/>
      <c r="F794" s="187"/>
    </row>
    <row r="795" spans="1:6" x14ac:dyDescent="0.2">
      <c r="A795" s="275"/>
      <c r="B795" s="78"/>
      <c r="C795" s="189"/>
      <c r="D795" s="185"/>
      <c r="E795" s="186"/>
      <c r="F795" s="187"/>
    </row>
    <row r="796" spans="1:6" x14ac:dyDescent="0.2">
      <c r="A796" s="275"/>
      <c r="B796" s="78"/>
      <c r="C796" s="189"/>
      <c r="D796" s="185"/>
      <c r="E796" s="186"/>
      <c r="F796" s="187"/>
    </row>
    <row r="797" spans="1:6" x14ac:dyDescent="0.2">
      <c r="A797" s="275"/>
      <c r="B797" s="78"/>
      <c r="C797" s="189"/>
      <c r="D797" s="185"/>
      <c r="E797" s="186"/>
      <c r="F797" s="187"/>
    </row>
    <row r="798" spans="1:6" x14ac:dyDescent="0.2">
      <c r="A798" s="275"/>
      <c r="B798" s="78"/>
      <c r="C798" s="189"/>
      <c r="D798" s="185"/>
      <c r="E798" s="186"/>
      <c r="F798" s="187"/>
    </row>
    <row r="799" spans="1:6" x14ac:dyDescent="0.2">
      <c r="A799" s="275"/>
      <c r="B799" s="78"/>
      <c r="C799" s="189"/>
      <c r="D799" s="185"/>
      <c r="E799" s="186"/>
      <c r="F799" s="187"/>
    </row>
    <row r="800" spans="1:6" x14ac:dyDescent="0.2">
      <c r="A800" s="275"/>
      <c r="B800" s="78"/>
      <c r="C800" s="189"/>
      <c r="D800" s="185"/>
      <c r="E800" s="186"/>
      <c r="F800" s="187"/>
    </row>
    <row r="801" spans="1:6" x14ac:dyDescent="0.2">
      <c r="A801" s="275"/>
      <c r="B801" s="78"/>
      <c r="C801" s="189"/>
      <c r="D801" s="185"/>
      <c r="E801" s="186"/>
      <c r="F801" s="187"/>
    </row>
    <row r="802" spans="1:6" x14ac:dyDescent="0.2">
      <c r="A802" s="275"/>
      <c r="B802" s="78"/>
      <c r="C802" s="189"/>
      <c r="D802" s="185"/>
      <c r="E802" s="186"/>
      <c r="F802" s="187"/>
    </row>
    <row r="803" spans="1:6" x14ac:dyDescent="0.2">
      <c r="A803" s="275"/>
      <c r="B803" s="78"/>
      <c r="C803" s="189"/>
      <c r="D803" s="185"/>
      <c r="E803" s="186"/>
      <c r="F803" s="187"/>
    </row>
    <row r="804" spans="1:6" x14ac:dyDescent="0.2">
      <c r="A804" s="275"/>
      <c r="B804" s="78"/>
      <c r="C804" s="189"/>
      <c r="D804" s="185"/>
      <c r="E804" s="186"/>
      <c r="F804" s="187"/>
    </row>
    <row r="805" spans="1:6" x14ac:dyDescent="0.2">
      <c r="A805" s="275"/>
      <c r="B805" s="78"/>
      <c r="C805" s="189"/>
      <c r="D805" s="185"/>
      <c r="E805" s="186"/>
      <c r="F805" s="187"/>
    </row>
    <row r="806" spans="1:6" x14ac:dyDescent="0.2">
      <c r="A806" s="275"/>
      <c r="B806" s="78"/>
      <c r="C806" s="189"/>
      <c r="D806" s="185"/>
      <c r="E806" s="186"/>
      <c r="F806" s="187"/>
    </row>
    <row r="807" spans="1:6" x14ac:dyDescent="0.2">
      <c r="A807" s="275"/>
      <c r="B807" s="78"/>
      <c r="C807" s="189"/>
      <c r="D807" s="185"/>
      <c r="E807" s="186"/>
      <c r="F807" s="187"/>
    </row>
    <row r="808" spans="1:6" x14ac:dyDescent="0.2">
      <c r="A808" s="275"/>
      <c r="B808" s="78"/>
      <c r="C808" s="189"/>
      <c r="D808" s="185"/>
      <c r="E808" s="186"/>
      <c r="F808" s="187"/>
    </row>
    <row r="809" spans="1:6" x14ac:dyDescent="0.2">
      <c r="A809" s="275"/>
      <c r="B809" s="78"/>
      <c r="C809" s="189"/>
      <c r="D809" s="185"/>
      <c r="E809" s="186"/>
      <c r="F809" s="187"/>
    </row>
    <row r="810" spans="1:6" x14ac:dyDescent="0.2">
      <c r="A810" s="275"/>
      <c r="B810" s="78"/>
      <c r="C810" s="189"/>
      <c r="D810" s="185"/>
      <c r="E810" s="186"/>
      <c r="F810" s="187"/>
    </row>
    <row r="811" spans="1:6" x14ac:dyDescent="0.2">
      <c r="A811" s="275"/>
      <c r="B811" s="78"/>
      <c r="C811" s="189"/>
      <c r="D811" s="185"/>
      <c r="E811" s="186"/>
      <c r="F811" s="187"/>
    </row>
    <row r="812" spans="1:6" x14ac:dyDescent="0.2">
      <c r="A812" s="275"/>
      <c r="B812" s="78"/>
      <c r="C812" s="189"/>
      <c r="D812" s="185"/>
      <c r="E812" s="186"/>
      <c r="F812" s="187"/>
    </row>
    <row r="813" spans="1:6" x14ac:dyDescent="0.2">
      <c r="A813" s="275"/>
      <c r="B813" s="78"/>
      <c r="C813" s="189"/>
      <c r="D813" s="185"/>
      <c r="E813" s="186"/>
      <c r="F813" s="187"/>
    </row>
    <row r="814" spans="1:6" x14ac:dyDescent="0.2">
      <c r="A814" s="275"/>
      <c r="B814" s="78"/>
      <c r="C814" s="189"/>
      <c r="D814" s="185"/>
      <c r="E814" s="186"/>
      <c r="F814" s="187"/>
    </row>
    <row r="815" spans="1:6" x14ac:dyDescent="0.2">
      <c r="A815" s="275"/>
      <c r="B815" s="78"/>
      <c r="C815" s="189"/>
      <c r="D815" s="185"/>
      <c r="E815" s="186"/>
      <c r="F815" s="187"/>
    </row>
    <row r="816" spans="1:6" x14ac:dyDescent="0.2">
      <c r="A816" s="275"/>
      <c r="B816" s="78"/>
      <c r="C816" s="189"/>
      <c r="D816" s="185"/>
      <c r="E816" s="186"/>
      <c r="F816" s="187"/>
    </row>
    <row r="817" spans="1:6" x14ac:dyDescent="0.2">
      <c r="A817" s="275"/>
      <c r="B817" s="78"/>
      <c r="C817" s="189"/>
      <c r="D817" s="185"/>
      <c r="E817" s="186"/>
      <c r="F817" s="187"/>
    </row>
    <row r="818" spans="1:6" x14ac:dyDescent="0.2">
      <c r="A818" s="275"/>
      <c r="B818" s="78"/>
      <c r="C818" s="189"/>
      <c r="D818" s="185"/>
      <c r="E818" s="186"/>
      <c r="F818" s="187"/>
    </row>
    <row r="819" spans="1:6" x14ac:dyDescent="0.2">
      <c r="A819" s="275"/>
      <c r="B819" s="78"/>
      <c r="C819" s="189"/>
      <c r="D819" s="185"/>
      <c r="E819" s="186"/>
      <c r="F819" s="187"/>
    </row>
    <row r="820" spans="1:6" x14ac:dyDescent="0.2">
      <c r="A820" s="275"/>
      <c r="B820" s="78"/>
      <c r="C820" s="189"/>
      <c r="D820" s="185"/>
      <c r="E820" s="186"/>
      <c r="F820" s="187"/>
    </row>
    <row r="821" spans="1:6" x14ac:dyDescent="0.2">
      <c r="A821" s="275"/>
      <c r="B821" s="78"/>
      <c r="C821" s="189"/>
      <c r="D821" s="185"/>
      <c r="E821" s="186"/>
      <c r="F821" s="187"/>
    </row>
    <row r="822" spans="1:6" x14ac:dyDescent="0.2">
      <c r="A822" s="275"/>
      <c r="B822" s="78"/>
      <c r="C822" s="189"/>
      <c r="D822" s="185"/>
      <c r="E822" s="186"/>
      <c r="F822" s="187"/>
    </row>
    <row r="823" spans="1:6" x14ac:dyDescent="0.2">
      <c r="A823" s="275"/>
      <c r="B823" s="78"/>
      <c r="C823" s="189"/>
      <c r="D823" s="185"/>
      <c r="E823" s="186"/>
      <c r="F823" s="187"/>
    </row>
    <row r="824" spans="1:6" x14ac:dyDescent="0.2">
      <c r="A824" s="275"/>
      <c r="B824" s="78"/>
      <c r="C824" s="189"/>
      <c r="D824" s="185"/>
      <c r="E824" s="186"/>
      <c r="F824" s="187"/>
    </row>
    <row r="825" spans="1:6" x14ac:dyDescent="0.2">
      <c r="A825" s="275"/>
      <c r="B825" s="78"/>
      <c r="C825" s="189"/>
      <c r="D825" s="185"/>
      <c r="E825" s="186"/>
      <c r="F825" s="187"/>
    </row>
    <row r="826" spans="1:6" x14ac:dyDescent="0.2">
      <c r="A826" s="275"/>
      <c r="B826" s="78"/>
      <c r="C826" s="189"/>
      <c r="D826" s="185"/>
      <c r="E826" s="186"/>
      <c r="F826" s="187"/>
    </row>
    <row r="827" spans="1:6" x14ac:dyDescent="0.2">
      <c r="A827" s="275"/>
      <c r="B827" s="78"/>
      <c r="C827" s="189"/>
      <c r="D827" s="185"/>
      <c r="E827" s="186"/>
      <c r="F827" s="187"/>
    </row>
    <row r="828" spans="1:6" x14ac:dyDescent="0.2">
      <c r="A828" s="275"/>
      <c r="B828" s="78"/>
      <c r="C828" s="189"/>
      <c r="D828" s="185"/>
      <c r="E828" s="186"/>
      <c r="F828" s="187"/>
    </row>
    <row r="829" spans="1:6" x14ac:dyDescent="0.2">
      <c r="A829" s="275"/>
      <c r="B829" s="78"/>
      <c r="C829" s="189"/>
      <c r="D829" s="185"/>
      <c r="E829" s="186"/>
      <c r="F829" s="187"/>
    </row>
    <row r="830" spans="1:6" x14ac:dyDescent="0.2">
      <c r="A830" s="275"/>
      <c r="B830" s="78"/>
      <c r="C830" s="189"/>
      <c r="D830" s="185"/>
      <c r="E830" s="186"/>
      <c r="F830" s="187"/>
    </row>
    <row r="831" spans="1:6" x14ac:dyDescent="0.2">
      <c r="A831" s="275"/>
      <c r="B831" s="78"/>
      <c r="C831" s="189"/>
      <c r="D831" s="185"/>
      <c r="E831" s="186"/>
      <c r="F831" s="187"/>
    </row>
    <row r="832" spans="1:6" x14ac:dyDescent="0.2">
      <c r="A832" s="275"/>
      <c r="B832" s="78"/>
      <c r="C832" s="189"/>
      <c r="D832" s="185"/>
      <c r="E832" s="186"/>
      <c r="F832" s="187"/>
    </row>
    <row r="833" spans="1:6" x14ac:dyDescent="0.2">
      <c r="A833" s="275"/>
      <c r="B833" s="78"/>
      <c r="C833" s="189"/>
      <c r="D833" s="185"/>
      <c r="E833" s="186"/>
      <c r="F833" s="187"/>
    </row>
    <row r="834" spans="1:6" x14ac:dyDescent="0.2">
      <c r="A834" s="275"/>
      <c r="B834" s="78"/>
      <c r="C834" s="189"/>
      <c r="D834" s="185"/>
      <c r="E834" s="186"/>
      <c r="F834" s="187"/>
    </row>
    <row r="835" spans="1:6" x14ac:dyDescent="0.2">
      <c r="A835" s="275"/>
      <c r="B835" s="78"/>
      <c r="C835" s="189"/>
      <c r="D835" s="185"/>
      <c r="E835" s="186"/>
      <c r="F835" s="187"/>
    </row>
    <row r="836" spans="1:6" x14ac:dyDescent="0.2">
      <c r="A836" s="275"/>
      <c r="B836" s="78"/>
      <c r="C836" s="189"/>
      <c r="D836" s="185"/>
      <c r="E836" s="186"/>
      <c r="F836" s="187"/>
    </row>
    <row r="837" spans="1:6" x14ac:dyDescent="0.2">
      <c r="A837" s="275"/>
      <c r="B837" s="78"/>
      <c r="C837" s="189"/>
      <c r="D837" s="185"/>
      <c r="E837" s="186"/>
      <c r="F837" s="187"/>
    </row>
    <row r="838" spans="1:6" x14ac:dyDescent="0.2">
      <c r="A838" s="275"/>
      <c r="B838" s="78"/>
      <c r="C838" s="189"/>
      <c r="D838" s="185"/>
      <c r="E838" s="186"/>
      <c r="F838" s="187"/>
    </row>
    <row r="839" spans="1:6" x14ac:dyDescent="0.2">
      <c r="A839" s="275"/>
      <c r="B839" s="78"/>
      <c r="C839" s="189"/>
      <c r="D839" s="185"/>
      <c r="E839" s="186"/>
      <c r="F839" s="187"/>
    </row>
    <row r="840" spans="1:6" x14ac:dyDescent="0.2">
      <c r="A840" s="275"/>
      <c r="B840" s="78"/>
      <c r="C840" s="189"/>
      <c r="D840" s="185"/>
      <c r="E840" s="186"/>
      <c r="F840" s="187"/>
    </row>
    <row r="841" spans="1:6" x14ac:dyDescent="0.2">
      <c r="A841" s="275"/>
      <c r="B841" s="78"/>
      <c r="C841" s="189"/>
      <c r="D841" s="185"/>
      <c r="E841" s="186"/>
      <c r="F841" s="187"/>
    </row>
    <row r="842" spans="1:6" x14ac:dyDescent="0.2">
      <c r="A842" s="275"/>
      <c r="B842" s="78"/>
      <c r="C842" s="189"/>
      <c r="D842" s="185"/>
      <c r="E842" s="186"/>
      <c r="F842" s="187"/>
    </row>
    <row r="843" spans="1:6" x14ac:dyDescent="0.2">
      <c r="A843" s="275"/>
      <c r="B843" s="78"/>
      <c r="C843" s="189"/>
      <c r="D843" s="185"/>
      <c r="E843" s="186"/>
      <c r="F843" s="187"/>
    </row>
    <row r="844" spans="1:6" x14ac:dyDescent="0.2">
      <c r="A844" s="275"/>
      <c r="B844" s="78"/>
      <c r="C844" s="189"/>
      <c r="D844" s="185"/>
      <c r="E844" s="186"/>
      <c r="F844" s="187"/>
    </row>
    <row r="845" spans="1:6" x14ac:dyDescent="0.2">
      <c r="A845" s="275"/>
      <c r="B845" s="78"/>
      <c r="C845" s="189"/>
      <c r="D845" s="185"/>
      <c r="E845" s="186"/>
      <c r="F845" s="187"/>
    </row>
    <row r="846" spans="1:6" x14ac:dyDescent="0.2">
      <c r="A846" s="275"/>
      <c r="B846" s="78"/>
      <c r="C846" s="189"/>
      <c r="D846" s="185"/>
      <c r="E846" s="186"/>
      <c r="F846" s="187"/>
    </row>
    <row r="847" spans="1:6" x14ac:dyDescent="0.2">
      <c r="A847" s="275"/>
      <c r="B847" s="78"/>
      <c r="C847" s="189"/>
      <c r="D847" s="185"/>
      <c r="E847" s="186"/>
      <c r="F847" s="187"/>
    </row>
    <row r="848" spans="1:6" x14ac:dyDescent="0.2">
      <c r="A848" s="275"/>
      <c r="B848" s="78"/>
      <c r="C848" s="189"/>
      <c r="D848" s="185"/>
      <c r="E848" s="186"/>
      <c r="F848" s="187"/>
    </row>
    <row r="849" spans="1:6" x14ac:dyDescent="0.2">
      <c r="A849" s="275"/>
      <c r="B849" s="78"/>
      <c r="C849" s="189"/>
      <c r="D849" s="185"/>
      <c r="E849" s="186"/>
      <c r="F849" s="187"/>
    </row>
    <row r="850" spans="1:6" x14ac:dyDescent="0.2">
      <c r="A850" s="275"/>
      <c r="B850" s="78"/>
      <c r="C850" s="189"/>
      <c r="D850" s="185"/>
      <c r="E850" s="186"/>
      <c r="F850" s="187"/>
    </row>
    <row r="851" spans="1:6" x14ac:dyDescent="0.2">
      <c r="A851" s="275"/>
      <c r="B851" s="78"/>
      <c r="C851" s="189"/>
      <c r="D851" s="185"/>
      <c r="E851" s="186"/>
      <c r="F851" s="187"/>
    </row>
    <row r="852" spans="1:6" x14ac:dyDescent="0.2">
      <c r="A852" s="275"/>
      <c r="B852" s="78"/>
      <c r="C852" s="189"/>
      <c r="D852" s="185"/>
      <c r="E852" s="186"/>
      <c r="F852" s="187"/>
    </row>
    <row r="853" spans="1:6" x14ac:dyDescent="0.2">
      <c r="A853" s="275"/>
      <c r="B853" s="78"/>
      <c r="C853" s="189"/>
      <c r="D853" s="185"/>
      <c r="E853" s="186"/>
      <c r="F853" s="187"/>
    </row>
    <row r="854" spans="1:6" x14ac:dyDescent="0.2">
      <c r="A854" s="275"/>
      <c r="B854" s="78"/>
      <c r="C854" s="189"/>
      <c r="D854" s="185"/>
      <c r="E854" s="186"/>
      <c r="F854" s="187"/>
    </row>
    <row r="855" spans="1:6" x14ac:dyDescent="0.2">
      <c r="A855" s="275"/>
      <c r="B855" s="78"/>
      <c r="C855" s="189"/>
      <c r="D855" s="185"/>
      <c r="E855" s="186"/>
      <c r="F855" s="187"/>
    </row>
    <row r="856" spans="1:6" x14ac:dyDescent="0.2">
      <c r="A856" s="275"/>
      <c r="B856" s="78"/>
      <c r="C856" s="189"/>
      <c r="D856" s="185"/>
      <c r="E856" s="186"/>
      <c r="F856" s="187"/>
    </row>
    <row r="857" spans="1:6" x14ac:dyDescent="0.2">
      <c r="A857" s="275"/>
      <c r="B857" s="78"/>
      <c r="C857" s="189"/>
      <c r="D857" s="185"/>
      <c r="E857" s="186"/>
      <c r="F857" s="187"/>
    </row>
    <row r="858" spans="1:6" x14ac:dyDescent="0.2">
      <c r="A858" s="275"/>
      <c r="B858" s="78"/>
      <c r="C858" s="189"/>
      <c r="D858" s="185"/>
      <c r="E858" s="186"/>
      <c r="F858" s="187"/>
    </row>
    <row r="859" spans="1:6" x14ac:dyDescent="0.2">
      <c r="A859" s="275"/>
      <c r="B859" s="78"/>
      <c r="C859" s="189"/>
      <c r="D859" s="185"/>
      <c r="E859" s="186"/>
      <c r="F859" s="187"/>
    </row>
    <row r="860" spans="1:6" x14ac:dyDescent="0.2">
      <c r="A860" s="275"/>
      <c r="B860" s="78"/>
      <c r="C860" s="189"/>
      <c r="D860" s="185"/>
      <c r="E860" s="186"/>
      <c r="F860" s="187"/>
    </row>
    <row r="861" spans="1:6" x14ac:dyDescent="0.2">
      <c r="A861" s="275"/>
      <c r="B861" s="78"/>
      <c r="C861" s="189"/>
      <c r="D861" s="185"/>
      <c r="E861" s="186"/>
      <c r="F861" s="187"/>
    </row>
    <row r="862" spans="1:6" x14ac:dyDescent="0.2">
      <c r="A862" s="275"/>
      <c r="B862" s="78"/>
      <c r="C862" s="189"/>
      <c r="D862" s="185"/>
      <c r="E862" s="186"/>
      <c r="F862" s="187"/>
    </row>
    <row r="863" spans="1:6" x14ac:dyDescent="0.2">
      <c r="A863" s="275"/>
      <c r="B863" s="78"/>
      <c r="C863" s="189"/>
      <c r="D863" s="185"/>
      <c r="E863" s="186"/>
      <c r="F863" s="187"/>
    </row>
    <row r="864" spans="1:6" x14ac:dyDescent="0.2">
      <c r="A864" s="275"/>
      <c r="B864" s="78"/>
      <c r="C864" s="189"/>
      <c r="D864" s="185"/>
      <c r="E864" s="186"/>
      <c r="F864" s="187"/>
    </row>
    <row r="865" spans="1:6" x14ac:dyDescent="0.2">
      <c r="A865" s="275"/>
      <c r="B865" s="78"/>
      <c r="C865" s="189"/>
      <c r="D865" s="185"/>
      <c r="E865" s="186"/>
      <c r="F865" s="187"/>
    </row>
    <row r="866" spans="1:6" x14ac:dyDescent="0.2">
      <c r="A866" s="275"/>
      <c r="B866" s="78"/>
      <c r="C866" s="189"/>
      <c r="D866" s="185"/>
      <c r="E866" s="186"/>
      <c r="F866" s="187"/>
    </row>
    <row r="867" spans="1:6" x14ac:dyDescent="0.2">
      <c r="A867" s="275"/>
      <c r="B867" s="78"/>
      <c r="C867" s="189"/>
      <c r="D867" s="185"/>
      <c r="E867" s="186"/>
      <c r="F867" s="187"/>
    </row>
    <row r="868" spans="1:6" x14ac:dyDescent="0.2">
      <c r="A868" s="275"/>
      <c r="B868" s="78"/>
      <c r="C868" s="189"/>
      <c r="D868" s="185"/>
      <c r="E868" s="186"/>
      <c r="F868" s="187"/>
    </row>
    <row r="869" spans="1:6" x14ac:dyDescent="0.2">
      <c r="A869" s="275"/>
      <c r="B869" s="78"/>
      <c r="C869" s="189"/>
      <c r="D869" s="185"/>
      <c r="E869" s="186"/>
      <c r="F869" s="187"/>
    </row>
    <row r="870" spans="1:6" x14ac:dyDescent="0.2">
      <c r="A870" s="275"/>
      <c r="B870" s="78"/>
      <c r="C870" s="189"/>
      <c r="D870" s="185"/>
      <c r="E870" s="186"/>
      <c r="F870" s="187"/>
    </row>
    <row r="871" spans="1:6" x14ac:dyDescent="0.2">
      <c r="A871" s="275"/>
      <c r="B871" s="78"/>
      <c r="C871" s="189"/>
      <c r="D871" s="185"/>
      <c r="E871" s="186"/>
      <c r="F871" s="187"/>
    </row>
    <row r="872" spans="1:6" x14ac:dyDescent="0.2">
      <c r="A872" s="275"/>
      <c r="B872" s="78"/>
      <c r="C872" s="189"/>
      <c r="D872" s="185"/>
      <c r="E872" s="186"/>
      <c r="F872" s="187"/>
    </row>
    <row r="873" spans="1:6" x14ac:dyDescent="0.2">
      <c r="A873" s="275"/>
      <c r="B873" s="78"/>
      <c r="C873" s="189"/>
      <c r="D873" s="185"/>
      <c r="E873" s="186"/>
      <c r="F873" s="187"/>
    </row>
    <row r="874" spans="1:6" x14ac:dyDescent="0.2">
      <c r="A874" s="275"/>
      <c r="B874" s="78"/>
      <c r="C874" s="189"/>
      <c r="D874" s="185"/>
      <c r="E874" s="186"/>
      <c r="F874" s="187"/>
    </row>
    <row r="875" spans="1:6" x14ac:dyDescent="0.2">
      <c r="A875" s="275"/>
      <c r="B875" s="78"/>
      <c r="C875" s="189"/>
      <c r="D875" s="185"/>
      <c r="E875" s="186"/>
      <c r="F875" s="187"/>
    </row>
    <row r="876" spans="1:6" x14ac:dyDescent="0.2">
      <c r="A876" s="275"/>
      <c r="B876" s="78"/>
      <c r="C876" s="189"/>
      <c r="D876" s="185"/>
      <c r="E876" s="186"/>
      <c r="F876" s="187"/>
    </row>
    <row r="877" spans="1:6" x14ac:dyDescent="0.2">
      <c r="A877" s="275"/>
      <c r="B877" s="78"/>
      <c r="C877" s="189"/>
      <c r="D877" s="185"/>
      <c r="E877" s="186"/>
      <c r="F877" s="187"/>
    </row>
    <row r="878" spans="1:6" x14ac:dyDescent="0.2">
      <c r="A878" s="275"/>
      <c r="B878" s="78"/>
      <c r="C878" s="189"/>
      <c r="D878" s="185"/>
      <c r="E878" s="186"/>
      <c r="F878" s="187"/>
    </row>
    <row r="879" spans="1:6" x14ac:dyDescent="0.2">
      <c r="A879" s="275"/>
      <c r="B879" s="78"/>
      <c r="C879" s="189"/>
      <c r="D879" s="185"/>
      <c r="E879" s="186"/>
      <c r="F879" s="187"/>
    </row>
    <row r="880" spans="1:6" x14ac:dyDescent="0.2">
      <c r="A880" s="275"/>
      <c r="B880" s="78"/>
      <c r="C880" s="189"/>
      <c r="D880" s="185"/>
      <c r="E880" s="186"/>
      <c r="F880" s="187"/>
    </row>
    <row r="881" spans="1:6" x14ac:dyDescent="0.2">
      <c r="A881" s="275"/>
      <c r="B881" s="78"/>
      <c r="C881" s="189"/>
      <c r="D881" s="185"/>
      <c r="E881" s="186"/>
      <c r="F881" s="187"/>
    </row>
    <row r="882" spans="1:6" x14ac:dyDescent="0.2">
      <c r="A882" s="275"/>
      <c r="B882" s="78"/>
      <c r="C882" s="189"/>
      <c r="D882" s="185"/>
      <c r="E882" s="186"/>
      <c r="F882" s="187"/>
    </row>
    <row r="883" spans="1:6" x14ac:dyDescent="0.2">
      <c r="A883" s="275"/>
      <c r="B883" s="78"/>
      <c r="C883" s="189"/>
      <c r="D883" s="185"/>
      <c r="E883" s="186"/>
      <c r="F883" s="187"/>
    </row>
    <row r="884" spans="1:6" x14ac:dyDescent="0.2">
      <c r="A884" s="275"/>
      <c r="B884" s="78"/>
      <c r="C884" s="189"/>
      <c r="D884" s="185"/>
      <c r="E884" s="186"/>
      <c r="F884" s="187"/>
    </row>
    <row r="885" spans="1:6" x14ac:dyDescent="0.2">
      <c r="A885" s="275"/>
      <c r="B885" s="78"/>
      <c r="C885" s="189"/>
      <c r="D885" s="185"/>
      <c r="E885" s="186"/>
      <c r="F885" s="187"/>
    </row>
    <row r="886" spans="1:6" x14ac:dyDescent="0.2">
      <c r="A886" s="275"/>
      <c r="B886" s="78"/>
      <c r="C886" s="189"/>
      <c r="D886" s="185"/>
      <c r="E886" s="186"/>
      <c r="F886" s="187"/>
    </row>
    <row r="887" spans="1:6" x14ac:dyDescent="0.2">
      <c r="A887" s="275"/>
      <c r="B887" s="78"/>
      <c r="C887" s="189"/>
      <c r="D887" s="185"/>
      <c r="E887" s="186"/>
      <c r="F887" s="187"/>
    </row>
    <row r="888" spans="1:6" x14ac:dyDescent="0.2">
      <c r="A888" s="275"/>
      <c r="B888" s="78"/>
      <c r="C888" s="189"/>
      <c r="D888" s="185"/>
      <c r="E888" s="186"/>
      <c r="F888" s="187"/>
    </row>
    <row r="889" spans="1:6" x14ac:dyDescent="0.2">
      <c r="A889" s="275"/>
      <c r="B889" s="78"/>
      <c r="C889" s="189"/>
      <c r="D889" s="185"/>
      <c r="E889" s="186"/>
      <c r="F889" s="187"/>
    </row>
    <row r="890" spans="1:6" x14ac:dyDescent="0.2">
      <c r="A890" s="275"/>
      <c r="B890" s="78"/>
      <c r="C890" s="189"/>
      <c r="D890" s="185"/>
      <c r="E890" s="186"/>
      <c r="F890" s="187"/>
    </row>
    <row r="891" spans="1:6" x14ac:dyDescent="0.2">
      <c r="A891" s="275"/>
      <c r="B891" s="78"/>
      <c r="C891" s="189"/>
      <c r="D891" s="185"/>
      <c r="E891" s="186"/>
      <c r="F891" s="187"/>
    </row>
    <row r="892" spans="1:6" x14ac:dyDescent="0.2">
      <c r="A892" s="275"/>
      <c r="B892" s="78"/>
      <c r="C892" s="189"/>
      <c r="D892" s="185"/>
      <c r="E892" s="186"/>
      <c r="F892" s="187"/>
    </row>
    <row r="893" spans="1:6" x14ac:dyDescent="0.2">
      <c r="A893" s="275"/>
      <c r="B893" s="78"/>
      <c r="C893" s="189"/>
      <c r="D893" s="185"/>
      <c r="E893" s="186"/>
      <c r="F893" s="187"/>
    </row>
    <row r="894" spans="1:6" x14ac:dyDescent="0.2">
      <c r="A894" s="275"/>
      <c r="B894" s="78"/>
      <c r="C894" s="189"/>
      <c r="D894" s="185"/>
      <c r="E894" s="186"/>
      <c r="F894" s="187"/>
    </row>
    <row r="895" spans="1:6" x14ac:dyDescent="0.2">
      <c r="A895" s="275"/>
      <c r="B895" s="78"/>
      <c r="C895" s="189"/>
      <c r="D895" s="185"/>
      <c r="E895" s="186"/>
      <c r="F895" s="187"/>
    </row>
    <row r="896" spans="1:6" x14ac:dyDescent="0.2">
      <c r="A896" s="275"/>
      <c r="B896" s="78"/>
      <c r="C896" s="189"/>
      <c r="D896" s="185"/>
      <c r="E896" s="186"/>
      <c r="F896" s="187"/>
    </row>
    <row r="897" spans="1:6" x14ac:dyDescent="0.2">
      <c r="A897" s="275"/>
      <c r="B897" s="78"/>
      <c r="C897" s="189"/>
      <c r="D897" s="185"/>
      <c r="E897" s="186"/>
      <c r="F897" s="187"/>
    </row>
    <row r="898" spans="1:6" x14ac:dyDescent="0.2">
      <c r="A898" s="275"/>
      <c r="B898" s="78"/>
      <c r="C898" s="189"/>
      <c r="D898" s="185"/>
      <c r="E898" s="186"/>
      <c r="F898" s="187"/>
    </row>
    <row r="899" spans="1:6" x14ac:dyDescent="0.2">
      <c r="A899" s="275"/>
      <c r="B899" s="78"/>
      <c r="C899" s="189"/>
      <c r="D899" s="185"/>
      <c r="E899" s="186"/>
      <c r="F899" s="187"/>
    </row>
    <row r="900" spans="1:6" x14ac:dyDescent="0.2">
      <c r="A900" s="275"/>
      <c r="B900" s="78"/>
      <c r="C900" s="189"/>
      <c r="D900" s="185"/>
      <c r="E900" s="186"/>
      <c r="F900" s="187"/>
    </row>
    <row r="901" spans="1:6" x14ac:dyDescent="0.2">
      <c r="A901" s="275"/>
      <c r="B901" s="78"/>
      <c r="C901" s="189"/>
      <c r="D901" s="185"/>
      <c r="E901" s="186"/>
      <c r="F901" s="187"/>
    </row>
    <row r="902" spans="1:6" x14ac:dyDescent="0.2">
      <c r="A902" s="275"/>
      <c r="B902" s="78"/>
      <c r="C902" s="189"/>
      <c r="D902" s="185"/>
      <c r="E902" s="186"/>
      <c r="F902" s="187"/>
    </row>
    <row r="903" spans="1:6" x14ac:dyDescent="0.2">
      <c r="A903" s="275"/>
      <c r="B903" s="78"/>
      <c r="C903" s="189"/>
      <c r="D903" s="185"/>
      <c r="E903" s="186"/>
      <c r="F903" s="187"/>
    </row>
    <row r="904" spans="1:6" x14ac:dyDescent="0.2">
      <c r="A904" s="275"/>
      <c r="B904" s="78"/>
      <c r="C904" s="189"/>
      <c r="D904" s="185"/>
      <c r="E904" s="186"/>
      <c r="F904" s="187"/>
    </row>
    <row r="905" spans="1:6" x14ac:dyDescent="0.2">
      <c r="A905" s="275"/>
      <c r="B905" s="78"/>
      <c r="C905" s="189"/>
      <c r="D905" s="185"/>
      <c r="E905" s="186"/>
      <c r="F905" s="187"/>
    </row>
    <row r="906" spans="1:6" x14ac:dyDescent="0.2">
      <c r="A906" s="275"/>
      <c r="B906" s="78"/>
      <c r="C906" s="189"/>
      <c r="D906" s="185"/>
      <c r="E906" s="186"/>
      <c r="F906" s="187"/>
    </row>
    <row r="907" spans="1:6" x14ac:dyDescent="0.2">
      <c r="A907" s="275"/>
      <c r="B907" s="78"/>
      <c r="C907" s="189"/>
      <c r="D907" s="185"/>
      <c r="E907" s="186"/>
      <c r="F907" s="187"/>
    </row>
    <row r="908" spans="1:6" x14ac:dyDescent="0.2">
      <c r="A908" s="275"/>
      <c r="B908" s="78"/>
      <c r="C908" s="189"/>
      <c r="D908" s="185"/>
      <c r="E908" s="186"/>
      <c r="F908" s="187"/>
    </row>
    <row r="909" spans="1:6" x14ac:dyDescent="0.2">
      <c r="A909" s="275"/>
      <c r="B909" s="78"/>
      <c r="C909" s="189"/>
      <c r="D909" s="185"/>
      <c r="E909" s="186"/>
      <c r="F909" s="187"/>
    </row>
    <row r="910" spans="1:6" x14ac:dyDescent="0.2">
      <c r="A910" s="275"/>
      <c r="B910" s="78"/>
      <c r="C910" s="189"/>
      <c r="D910" s="185"/>
      <c r="E910" s="186"/>
      <c r="F910" s="187"/>
    </row>
    <row r="911" spans="1:6" x14ac:dyDescent="0.2">
      <c r="A911" s="275"/>
      <c r="B911" s="78"/>
      <c r="C911" s="189"/>
      <c r="D911" s="185"/>
      <c r="E911" s="186"/>
      <c r="F911" s="187"/>
    </row>
    <row r="912" spans="1:6" x14ac:dyDescent="0.2">
      <c r="A912" s="275"/>
      <c r="B912" s="78"/>
      <c r="C912" s="189"/>
      <c r="D912" s="185"/>
      <c r="E912" s="186"/>
      <c r="F912" s="187"/>
    </row>
    <row r="913" spans="1:6" x14ac:dyDescent="0.2">
      <c r="A913" s="275"/>
      <c r="B913" s="78"/>
      <c r="C913" s="189"/>
      <c r="D913" s="185"/>
      <c r="E913" s="186"/>
      <c r="F913" s="187"/>
    </row>
    <row r="914" spans="1:6" x14ac:dyDescent="0.2">
      <c r="A914" s="275"/>
      <c r="B914" s="78"/>
      <c r="C914" s="189"/>
      <c r="D914" s="185"/>
      <c r="E914" s="186"/>
      <c r="F914" s="187"/>
    </row>
    <row r="915" spans="1:6" x14ac:dyDescent="0.2">
      <c r="A915" s="275"/>
      <c r="B915" s="78"/>
      <c r="C915" s="189"/>
      <c r="D915" s="185"/>
      <c r="E915" s="186"/>
      <c r="F915" s="187"/>
    </row>
    <row r="916" spans="1:6" x14ac:dyDescent="0.2">
      <c r="A916" s="275"/>
      <c r="B916" s="78"/>
      <c r="C916" s="189"/>
      <c r="D916" s="185"/>
      <c r="E916" s="186"/>
      <c r="F916" s="187"/>
    </row>
    <row r="917" spans="1:6" x14ac:dyDescent="0.2">
      <c r="A917" s="275"/>
      <c r="B917" s="78"/>
      <c r="C917" s="189"/>
      <c r="D917" s="185"/>
      <c r="E917" s="186"/>
      <c r="F917" s="187"/>
    </row>
    <row r="918" spans="1:6" x14ac:dyDescent="0.2">
      <c r="A918" s="275"/>
      <c r="B918" s="78"/>
      <c r="C918" s="189"/>
      <c r="D918" s="185"/>
      <c r="E918" s="186"/>
      <c r="F918" s="187"/>
    </row>
    <row r="919" spans="1:6" x14ac:dyDescent="0.2">
      <c r="A919" s="275"/>
      <c r="B919" s="78"/>
      <c r="C919" s="189"/>
      <c r="D919" s="185"/>
      <c r="E919" s="186"/>
      <c r="F919" s="187"/>
    </row>
    <row r="920" spans="1:6" x14ac:dyDescent="0.2">
      <c r="A920" s="275"/>
      <c r="B920" s="78"/>
      <c r="C920" s="189"/>
      <c r="D920" s="185"/>
      <c r="E920" s="186"/>
      <c r="F920" s="187"/>
    </row>
    <row r="921" spans="1:6" x14ac:dyDescent="0.2">
      <c r="A921" s="275"/>
      <c r="B921" s="78"/>
      <c r="C921" s="189"/>
      <c r="D921" s="185"/>
      <c r="E921" s="186"/>
      <c r="F921" s="187"/>
    </row>
    <row r="922" spans="1:6" x14ac:dyDescent="0.2">
      <c r="A922" s="275"/>
      <c r="B922" s="78"/>
      <c r="C922" s="189"/>
      <c r="D922" s="185"/>
      <c r="E922" s="186"/>
      <c r="F922" s="187"/>
    </row>
    <row r="923" spans="1:6" x14ac:dyDescent="0.2">
      <c r="A923" s="275"/>
      <c r="B923" s="78"/>
      <c r="C923" s="189"/>
      <c r="D923" s="185"/>
      <c r="E923" s="186"/>
      <c r="F923" s="187"/>
    </row>
    <row r="924" spans="1:6" x14ac:dyDescent="0.2">
      <c r="A924" s="275"/>
      <c r="B924" s="78"/>
      <c r="C924" s="189"/>
      <c r="D924" s="185"/>
      <c r="E924" s="186"/>
      <c r="F924" s="187"/>
    </row>
    <row r="925" spans="1:6" x14ac:dyDescent="0.2">
      <c r="A925" s="275"/>
      <c r="B925" s="78"/>
      <c r="C925" s="189"/>
      <c r="D925" s="185"/>
      <c r="E925" s="186"/>
      <c r="F925" s="187"/>
    </row>
    <row r="926" spans="1:6" x14ac:dyDescent="0.2">
      <c r="A926" s="275"/>
      <c r="B926" s="78"/>
      <c r="C926" s="189"/>
      <c r="D926" s="185"/>
      <c r="E926" s="186"/>
      <c r="F926" s="187"/>
    </row>
    <row r="927" spans="1:6" x14ac:dyDescent="0.2">
      <c r="A927" s="275"/>
      <c r="B927" s="78"/>
      <c r="C927" s="189"/>
      <c r="D927" s="185"/>
      <c r="E927" s="186"/>
      <c r="F927" s="187"/>
    </row>
    <row r="928" spans="1:6" x14ac:dyDescent="0.2">
      <c r="A928" s="275"/>
      <c r="B928" s="78"/>
      <c r="C928" s="189"/>
      <c r="D928" s="185"/>
      <c r="E928" s="186"/>
      <c r="F928" s="187"/>
    </row>
    <row r="929" spans="1:6" x14ac:dyDescent="0.2">
      <c r="A929" s="275"/>
      <c r="B929" s="78"/>
      <c r="C929" s="189"/>
      <c r="D929" s="185"/>
      <c r="E929" s="186"/>
      <c r="F929" s="187"/>
    </row>
    <row r="930" spans="1:6" x14ac:dyDescent="0.2">
      <c r="A930" s="275"/>
      <c r="B930" s="78"/>
      <c r="C930" s="189"/>
      <c r="D930" s="185"/>
      <c r="E930" s="186"/>
      <c r="F930" s="187"/>
    </row>
    <row r="931" spans="1:6" x14ac:dyDescent="0.2">
      <c r="A931" s="275"/>
      <c r="B931" s="78"/>
      <c r="C931" s="189"/>
      <c r="D931" s="185"/>
      <c r="E931" s="186"/>
      <c r="F931" s="187"/>
    </row>
    <row r="932" spans="1:6" x14ac:dyDescent="0.2">
      <c r="A932" s="275"/>
      <c r="B932" s="78"/>
      <c r="C932" s="189"/>
      <c r="D932" s="185"/>
      <c r="E932" s="186"/>
      <c r="F932" s="187"/>
    </row>
    <row r="933" spans="1:6" x14ac:dyDescent="0.2">
      <c r="A933" s="275"/>
      <c r="B933" s="78"/>
      <c r="C933" s="189"/>
      <c r="D933" s="185"/>
      <c r="E933" s="186"/>
      <c r="F933" s="187"/>
    </row>
    <row r="934" spans="1:6" x14ac:dyDescent="0.2">
      <c r="A934" s="275"/>
      <c r="B934" s="78"/>
      <c r="C934" s="189"/>
      <c r="D934" s="185"/>
      <c r="E934" s="186"/>
      <c r="F934" s="187"/>
    </row>
    <row r="935" spans="1:6" x14ac:dyDescent="0.2">
      <c r="A935" s="275"/>
      <c r="B935" s="78"/>
      <c r="C935" s="189"/>
      <c r="D935" s="185"/>
      <c r="E935" s="186"/>
      <c r="F935" s="187"/>
    </row>
    <row r="936" spans="1:6" x14ac:dyDescent="0.2">
      <c r="A936" s="275"/>
      <c r="B936" s="78"/>
      <c r="C936" s="189"/>
      <c r="D936" s="185"/>
      <c r="E936" s="186"/>
      <c r="F936" s="187"/>
    </row>
    <row r="937" spans="1:6" x14ac:dyDescent="0.2">
      <c r="A937" s="275"/>
      <c r="B937" s="78"/>
      <c r="C937" s="189"/>
      <c r="D937" s="185"/>
      <c r="E937" s="186"/>
      <c r="F937" s="187"/>
    </row>
    <row r="938" spans="1:6" x14ac:dyDescent="0.2">
      <c r="A938" s="275"/>
      <c r="B938" s="78"/>
      <c r="C938" s="189"/>
      <c r="D938" s="185"/>
      <c r="E938" s="186"/>
      <c r="F938" s="187"/>
    </row>
    <row r="939" spans="1:6" x14ac:dyDescent="0.2">
      <c r="A939" s="275"/>
      <c r="B939" s="78"/>
      <c r="C939" s="189"/>
      <c r="D939" s="185"/>
      <c r="E939" s="186"/>
      <c r="F939" s="187"/>
    </row>
    <row r="940" spans="1:6" x14ac:dyDescent="0.2">
      <c r="A940" s="275"/>
      <c r="B940" s="78"/>
      <c r="C940" s="189"/>
      <c r="D940" s="185"/>
      <c r="E940" s="186"/>
      <c r="F940" s="187"/>
    </row>
    <row r="941" spans="1:6" x14ac:dyDescent="0.2">
      <c r="A941" s="275"/>
      <c r="B941" s="78"/>
      <c r="C941" s="189"/>
      <c r="D941" s="185"/>
      <c r="E941" s="186"/>
      <c r="F941" s="187"/>
    </row>
    <row r="942" spans="1:6" x14ac:dyDescent="0.2">
      <c r="A942" s="275"/>
      <c r="B942" s="78"/>
      <c r="C942" s="189"/>
      <c r="D942" s="185"/>
      <c r="E942" s="186"/>
      <c r="F942" s="187"/>
    </row>
    <row r="943" spans="1:6" x14ac:dyDescent="0.2">
      <c r="A943" s="275"/>
      <c r="B943" s="78"/>
      <c r="C943" s="189"/>
      <c r="D943" s="185"/>
      <c r="E943" s="186"/>
      <c r="F943" s="187"/>
    </row>
    <row r="944" spans="1:6" x14ac:dyDescent="0.2">
      <c r="A944" s="275"/>
      <c r="B944" s="78"/>
      <c r="C944" s="189"/>
      <c r="D944" s="185"/>
      <c r="E944" s="186"/>
      <c r="F944" s="187"/>
    </row>
    <row r="945" spans="1:6" x14ac:dyDescent="0.2">
      <c r="A945" s="275"/>
      <c r="B945" s="78"/>
      <c r="C945" s="189"/>
      <c r="D945" s="185"/>
      <c r="E945" s="186"/>
      <c r="F945" s="187"/>
    </row>
    <row r="946" spans="1:6" x14ac:dyDescent="0.2">
      <c r="A946" s="275"/>
      <c r="B946" s="78"/>
      <c r="C946" s="189"/>
      <c r="D946" s="185"/>
      <c r="E946" s="186"/>
      <c r="F946" s="187"/>
    </row>
    <row r="947" spans="1:6" x14ac:dyDescent="0.2">
      <c r="A947" s="275"/>
      <c r="B947" s="78"/>
      <c r="C947" s="189"/>
      <c r="D947" s="185"/>
      <c r="E947" s="186"/>
      <c r="F947" s="187"/>
    </row>
    <row r="948" spans="1:6" x14ac:dyDescent="0.2">
      <c r="A948" s="275"/>
      <c r="B948" s="78"/>
      <c r="C948" s="189"/>
      <c r="D948" s="185"/>
      <c r="E948" s="186"/>
      <c r="F948" s="187"/>
    </row>
    <row r="949" spans="1:6" x14ac:dyDescent="0.2">
      <c r="A949" s="275"/>
      <c r="B949" s="78"/>
      <c r="C949" s="189"/>
      <c r="D949" s="185"/>
      <c r="E949" s="186"/>
      <c r="F949" s="187"/>
    </row>
    <row r="950" spans="1:6" x14ac:dyDescent="0.2">
      <c r="A950" s="275"/>
      <c r="B950" s="78"/>
      <c r="C950" s="189"/>
      <c r="D950" s="185"/>
      <c r="E950" s="186"/>
      <c r="F950" s="187"/>
    </row>
    <row r="951" spans="1:6" x14ac:dyDescent="0.2">
      <c r="A951" s="275"/>
      <c r="B951" s="78"/>
      <c r="C951" s="189"/>
      <c r="D951" s="185"/>
      <c r="E951" s="186"/>
      <c r="F951" s="187"/>
    </row>
    <row r="952" spans="1:6" x14ac:dyDescent="0.2">
      <c r="A952" s="275"/>
      <c r="B952" s="78"/>
      <c r="C952" s="189"/>
      <c r="D952" s="185"/>
      <c r="E952" s="186"/>
      <c r="F952" s="187"/>
    </row>
    <row r="953" spans="1:6" x14ac:dyDescent="0.2">
      <c r="A953" s="275"/>
      <c r="B953" s="78"/>
      <c r="C953" s="189"/>
      <c r="D953" s="185"/>
      <c r="E953" s="186"/>
      <c r="F953" s="187"/>
    </row>
    <row r="954" spans="1:6" x14ac:dyDescent="0.2">
      <c r="A954" s="275"/>
      <c r="B954" s="78"/>
      <c r="C954" s="189"/>
      <c r="D954" s="185"/>
      <c r="E954" s="186"/>
      <c r="F954" s="187"/>
    </row>
    <row r="955" spans="1:6" x14ac:dyDescent="0.2">
      <c r="A955" s="275"/>
      <c r="B955" s="78"/>
      <c r="C955" s="189"/>
      <c r="D955" s="185"/>
      <c r="E955" s="186"/>
      <c r="F955" s="187"/>
    </row>
    <row r="956" spans="1:6" x14ac:dyDescent="0.2">
      <c r="A956" s="275"/>
      <c r="B956" s="78"/>
      <c r="C956" s="189"/>
      <c r="D956" s="185"/>
      <c r="E956" s="186"/>
      <c r="F956" s="187"/>
    </row>
    <row r="957" spans="1:6" x14ac:dyDescent="0.2">
      <c r="A957" s="275"/>
      <c r="B957" s="78"/>
      <c r="C957" s="189"/>
      <c r="D957" s="185"/>
      <c r="E957" s="186"/>
      <c r="F957" s="187"/>
    </row>
    <row r="958" spans="1:6" x14ac:dyDescent="0.2">
      <c r="A958" s="275"/>
      <c r="B958" s="78"/>
      <c r="C958" s="189"/>
      <c r="D958" s="185"/>
      <c r="E958" s="186"/>
      <c r="F958" s="187"/>
    </row>
    <row r="959" spans="1:6" x14ac:dyDescent="0.2">
      <c r="A959" s="275"/>
      <c r="B959" s="78"/>
      <c r="C959" s="189"/>
      <c r="D959" s="185"/>
      <c r="E959" s="186"/>
      <c r="F959" s="187"/>
    </row>
    <row r="960" spans="1:6" x14ac:dyDescent="0.2">
      <c r="A960" s="275"/>
      <c r="B960" s="78"/>
      <c r="C960" s="189"/>
      <c r="D960" s="185"/>
      <c r="E960" s="186"/>
      <c r="F960" s="187"/>
    </row>
    <row r="961" spans="1:6" x14ac:dyDescent="0.2">
      <c r="A961" s="275"/>
      <c r="B961" s="78"/>
      <c r="C961" s="189"/>
      <c r="D961" s="185"/>
      <c r="E961" s="186"/>
      <c r="F961" s="187"/>
    </row>
    <row r="962" spans="1:6" x14ac:dyDescent="0.2">
      <c r="A962" s="275"/>
      <c r="B962" s="78"/>
      <c r="C962" s="189"/>
      <c r="D962" s="185"/>
      <c r="E962" s="186"/>
      <c r="F962" s="187"/>
    </row>
    <row r="963" spans="1:6" x14ac:dyDescent="0.2">
      <c r="A963" s="275"/>
      <c r="B963" s="78"/>
      <c r="C963" s="189"/>
      <c r="D963" s="185"/>
      <c r="E963" s="186"/>
      <c r="F963" s="187"/>
    </row>
    <row r="964" spans="1:6" x14ac:dyDescent="0.2">
      <c r="A964" s="275"/>
      <c r="B964" s="78"/>
      <c r="C964" s="189"/>
      <c r="D964" s="185"/>
      <c r="E964" s="186"/>
      <c r="F964" s="187"/>
    </row>
    <row r="965" spans="1:6" x14ac:dyDescent="0.2">
      <c r="A965" s="275"/>
      <c r="B965" s="78"/>
      <c r="C965" s="189"/>
      <c r="D965" s="185"/>
      <c r="E965" s="186"/>
      <c r="F965" s="187"/>
    </row>
    <row r="966" spans="1:6" x14ac:dyDescent="0.2">
      <c r="A966" s="275"/>
      <c r="B966" s="78"/>
      <c r="C966" s="189"/>
      <c r="D966" s="185"/>
      <c r="E966" s="186"/>
      <c r="F966" s="187"/>
    </row>
    <row r="967" spans="1:6" x14ac:dyDescent="0.2">
      <c r="A967" s="275"/>
      <c r="B967" s="78"/>
      <c r="C967" s="189"/>
      <c r="D967" s="185"/>
      <c r="E967" s="186"/>
      <c r="F967" s="187"/>
    </row>
    <row r="968" spans="1:6" x14ac:dyDescent="0.2">
      <c r="A968" s="275"/>
      <c r="B968" s="78"/>
      <c r="C968" s="189"/>
      <c r="D968" s="185"/>
      <c r="E968" s="186"/>
      <c r="F968" s="187"/>
    </row>
    <row r="969" spans="1:6" x14ac:dyDescent="0.2">
      <c r="A969" s="275"/>
      <c r="B969" s="78"/>
      <c r="C969" s="189"/>
      <c r="D969" s="185"/>
      <c r="E969" s="186"/>
      <c r="F969" s="187"/>
    </row>
    <row r="970" spans="1:6" x14ac:dyDescent="0.2">
      <c r="A970" s="275"/>
      <c r="B970" s="78"/>
      <c r="C970" s="189"/>
      <c r="D970" s="185"/>
      <c r="E970" s="186"/>
      <c r="F970" s="187"/>
    </row>
    <row r="971" spans="1:6" x14ac:dyDescent="0.2">
      <c r="A971" s="275"/>
      <c r="B971" s="78"/>
      <c r="C971" s="189"/>
      <c r="D971" s="185"/>
      <c r="E971" s="186"/>
      <c r="F971" s="187"/>
    </row>
    <row r="972" spans="1:6" x14ac:dyDescent="0.2">
      <c r="A972" s="275"/>
      <c r="B972" s="78"/>
      <c r="C972" s="189"/>
      <c r="D972" s="185"/>
      <c r="E972" s="186"/>
      <c r="F972" s="187"/>
    </row>
    <row r="973" spans="1:6" x14ac:dyDescent="0.2">
      <c r="A973" s="275"/>
      <c r="B973" s="78"/>
      <c r="C973" s="189"/>
      <c r="D973" s="185"/>
      <c r="E973" s="186"/>
      <c r="F973" s="187"/>
    </row>
    <row r="974" spans="1:6" x14ac:dyDescent="0.2">
      <c r="A974" s="275"/>
      <c r="B974" s="78"/>
      <c r="C974" s="189"/>
      <c r="D974" s="185"/>
      <c r="E974" s="186"/>
      <c r="F974" s="187"/>
    </row>
    <row r="975" spans="1:6" x14ac:dyDescent="0.2">
      <c r="A975" s="275"/>
      <c r="B975" s="78"/>
      <c r="C975" s="189"/>
      <c r="D975" s="185"/>
      <c r="E975" s="186"/>
      <c r="F975" s="187"/>
    </row>
    <row r="976" spans="1:6" x14ac:dyDescent="0.2">
      <c r="A976" s="275"/>
      <c r="B976" s="78"/>
      <c r="C976" s="189"/>
      <c r="D976" s="185"/>
      <c r="E976" s="186"/>
      <c r="F976" s="187"/>
    </row>
    <row r="977" spans="1:6" x14ac:dyDescent="0.2">
      <c r="A977" s="275"/>
      <c r="B977" s="78"/>
      <c r="C977" s="189"/>
      <c r="D977" s="185"/>
      <c r="E977" s="186"/>
      <c r="F977" s="187"/>
    </row>
    <row r="978" spans="1:6" x14ac:dyDescent="0.2">
      <c r="A978" s="275"/>
      <c r="B978" s="78"/>
      <c r="C978" s="189"/>
      <c r="D978" s="185"/>
      <c r="E978" s="186"/>
      <c r="F978" s="187"/>
    </row>
    <row r="979" spans="1:6" x14ac:dyDescent="0.2">
      <c r="A979" s="275"/>
      <c r="B979" s="78"/>
      <c r="C979" s="189"/>
      <c r="D979" s="185"/>
      <c r="E979" s="186"/>
      <c r="F979" s="187"/>
    </row>
    <row r="980" spans="1:6" x14ac:dyDescent="0.2">
      <c r="A980" s="275"/>
      <c r="B980" s="78"/>
      <c r="C980" s="189"/>
      <c r="D980" s="185"/>
      <c r="E980" s="186"/>
      <c r="F980" s="187"/>
    </row>
    <row r="981" spans="1:6" x14ac:dyDescent="0.2">
      <c r="A981" s="275"/>
      <c r="B981" s="78"/>
      <c r="C981" s="189"/>
      <c r="D981" s="185"/>
      <c r="E981" s="186"/>
      <c r="F981" s="187"/>
    </row>
    <row r="982" spans="1:6" x14ac:dyDescent="0.2">
      <c r="A982" s="275"/>
      <c r="B982" s="78"/>
      <c r="C982" s="189"/>
      <c r="D982" s="185"/>
      <c r="E982" s="186"/>
      <c r="F982" s="187"/>
    </row>
    <row r="983" spans="1:6" x14ac:dyDescent="0.2">
      <c r="A983" s="275"/>
      <c r="B983" s="78"/>
      <c r="C983" s="189"/>
      <c r="D983" s="185"/>
      <c r="E983" s="186"/>
      <c r="F983" s="187"/>
    </row>
    <row r="984" spans="1:6" x14ac:dyDescent="0.2">
      <c r="A984" s="275"/>
      <c r="B984" s="78"/>
      <c r="C984" s="189"/>
      <c r="D984" s="185"/>
      <c r="E984" s="186"/>
      <c r="F984" s="187"/>
    </row>
    <row r="985" spans="1:6" x14ac:dyDescent="0.2">
      <c r="A985" s="275"/>
      <c r="B985" s="78"/>
      <c r="C985" s="189"/>
      <c r="D985" s="185"/>
      <c r="E985" s="186"/>
      <c r="F985" s="187"/>
    </row>
    <row r="986" spans="1:6" x14ac:dyDescent="0.2">
      <c r="A986" s="275"/>
      <c r="B986" s="78"/>
      <c r="C986" s="189"/>
      <c r="D986" s="185"/>
      <c r="E986" s="186"/>
      <c r="F986" s="187"/>
    </row>
    <row r="987" spans="1:6" x14ac:dyDescent="0.2">
      <c r="A987" s="275"/>
      <c r="B987" s="78"/>
      <c r="C987" s="189"/>
      <c r="D987" s="185"/>
      <c r="E987" s="186"/>
      <c r="F987" s="187"/>
    </row>
    <row r="988" spans="1:6" x14ac:dyDescent="0.2">
      <c r="A988" s="275"/>
      <c r="B988" s="78"/>
      <c r="C988" s="189"/>
      <c r="D988" s="185"/>
      <c r="E988" s="186"/>
      <c r="F988" s="187"/>
    </row>
    <row r="989" spans="1:6" x14ac:dyDescent="0.2">
      <c r="A989" s="275"/>
      <c r="B989" s="78"/>
      <c r="C989" s="189"/>
      <c r="D989" s="185"/>
      <c r="E989" s="186"/>
      <c r="F989" s="187"/>
    </row>
    <row r="990" spans="1:6" x14ac:dyDescent="0.2">
      <c r="A990" s="275"/>
      <c r="B990" s="78"/>
      <c r="C990" s="189"/>
      <c r="D990" s="185"/>
      <c r="E990" s="186"/>
      <c r="F990" s="187"/>
    </row>
    <row r="991" spans="1:6" x14ac:dyDescent="0.2">
      <c r="A991" s="275"/>
      <c r="B991" s="78"/>
      <c r="C991" s="189"/>
      <c r="D991" s="185"/>
      <c r="E991" s="186"/>
      <c r="F991" s="187"/>
    </row>
    <row r="992" spans="1:6" x14ac:dyDescent="0.2">
      <c r="A992" s="275"/>
      <c r="B992" s="78"/>
      <c r="C992" s="189"/>
      <c r="D992" s="185"/>
      <c r="E992" s="186"/>
      <c r="F992" s="187"/>
    </row>
    <row r="993" spans="1:6" x14ac:dyDescent="0.2">
      <c r="A993" s="275"/>
      <c r="B993" s="78"/>
      <c r="C993" s="189"/>
      <c r="D993" s="185"/>
      <c r="E993" s="186"/>
      <c r="F993" s="187"/>
    </row>
    <row r="994" spans="1:6" x14ac:dyDescent="0.2">
      <c r="A994" s="275"/>
      <c r="B994" s="78"/>
      <c r="C994" s="189"/>
      <c r="D994" s="185"/>
      <c r="E994" s="186"/>
      <c r="F994" s="187"/>
    </row>
    <row r="995" spans="1:6" x14ac:dyDescent="0.2">
      <c r="A995" s="275"/>
      <c r="B995" s="78"/>
      <c r="C995" s="189"/>
      <c r="D995" s="185"/>
      <c r="E995" s="186"/>
      <c r="F995" s="187"/>
    </row>
    <row r="996" spans="1:6" x14ac:dyDescent="0.2">
      <c r="A996" s="275"/>
      <c r="B996" s="78"/>
      <c r="C996" s="189"/>
      <c r="D996" s="185"/>
      <c r="E996" s="186"/>
      <c r="F996" s="187"/>
    </row>
    <row r="997" spans="1:6" x14ac:dyDescent="0.2">
      <c r="A997" s="275"/>
      <c r="B997" s="78"/>
      <c r="C997" s="189"/>
      <c r="D997" s="185"/>
      <c r="E997" s="186"/>
      <c r="F997" s="187"/>
    </row>
    <row r="998" spans="1:6" x14ac:dyDescent="0.2">
      <c r="A998" s="275"/>
      <c r="B998" s="78"/>
      <c r="C998" s="189"/>
      <c r="D998" s="185"/>
      <c r="E998" s="186"/>
      <c r="F998" s="187"/>
    </row>
    <row r="999" spans="1:6" x14ac:dyDescent="0.2">
      <c r="A999" s="275"/>
      <c r="B999" s="78"/>
      <c r="C999" s="189"/>
      <c r="D999" s="185"/>
      <c r="E999" s="186"/>
      <c r="F999" s="187"/>
    </row>
    <row r="1000" spans="1:6" x14ac:dyDescent="0.2">
      <c r="A1000" s="275"/>
      <c r="B1000" s="78"/>
      <c r="C1000" s="189"/>
      <c r="D1000" s="185"/>
      <c r="E1000" s="186"/>
      <c r="F1000" s="187"/>
    </row>
    <row r="1001" spans="1:6" x14ac:dyDescent="0.2">
      <c r="A1001" s="275"/>
      <c r="B1001" s="78"/>
      <c r="C1001" s="189"/>
      <c r="D1001" s="185"/>
      <c r="E1001" s="186"/>
      <c r="F1001" s="187"/>
    </row>
    <row r="1002" spans="1:6" x14ac:dyDescent="0.2">
      <c r="A1002" s="275"/>
      <c r="B1002" s="78"/>
      <c r="C1002" s="189"/>
      <c r="D1002" s="185"/>
      <c r="E1002" s="186"/>
      <c r="F1002" s="187"/>
    </row>
    <row r="1003" spans="1:6" x14ac:dyDescent="0.2">
      <c r="A1003" s="275"/>
      <c r="B1003" s="78"/>
      <c r="C1003" s="189"/>
      <c r="D1003" s="185"/>
      <c r="E1003" s="186"/>
      <c r="F1003" s="187"/>
    </row>
    <row r="1004" spans="1:6" x14ac:dyDescent="0.2">
      <c r="A1004" s="275"/>
      <c r="B1004" s="78"/>
      <c r="C1004" s="189"/>
      <c r="D1004" s="185"/>
      <c r="E1004" s="186"/>
      <c r="F1004" s="187"/>
    </row>
    <row r="1005" spans="1:6" x14ac:dyDescent="0.2">
      <c r="A1005" s="275"/>
      <c r="B1005" s="78"/>
      <c r="C1005" s="189"/>
      <c r="D1005" s="185"/>
      <c r="E1005" s="186"/>
      <c r="F1005" s="187"/>
    </row>
    <row r="1006" spans="1:6" x14ac:dyDescent="0.2">
      <c r="A1006" s="275"/>
      <c r="B1006" s="78"/>
      <c r="C1006" s="189"/>
      <c r="D1006" s="185"/>
      <c r="E1006" s="186"/>
      <c r="F1006" s="187"/>
    </row>
    <row r="1007" spans="1:6" x14ac:dyDescent="0.2">
      <c r="A1007" s="275"/>
      <c r="B1007" s="78"/>
      <c r="C1007" s="189"/>
      <c r="D1007" s="185"/>
      <c r="E1007" s="186"/>
      <c r="F1007" s="187"/>
    </row>
    <row r="1008" spans="1:6" x14ac:dyDescent="0.2">
      <c r="A1008" s="275"/>
      <c r="B1008" s="78"/>
      <c r="C1008" s="189"/>
      <c r="D1008" s="185"/>
      <c r="E1008" s="186"/>
      <c r="F1008" s="187"/>
    </row>
    <row r="1009" spans="1:6" x14ac:dyDescent="0.2">
      <c r="A1009" s="275"/>
      <c r="B1009" s="78"/>
      <c r="C1009" s="189"/>
      <c r="D1009" s="185"/>
      <c r="E1009" s="186"/>
      <c r="F1009" s="187"/>
    </row>
    <row r="1010" spans="1:6" x14ac:dyDescent="0.2">
      <c r="A1010" s="275"/>
      <c r="B1010" s="78"/>
      <c r="C1010" s="189"/>
      <c r="D1010" s="185"/>
      <c r="E1010" s="186"/>
      <c r="F1010" s="187"/>
    </row>
    <row r="1011" spans="1:6" x14ac:dyDescent="0.2">
      <c r="A1011" s="275"/>
      <c r="B1011" s="78"/>
      <c r="C1011" s="189"/>
      <c r="D1011" s="185"/>
      <c r="E1011" s="186"/>
      <c r="F1011" s="187"/>
    </row>
    <row r="1012" spans="1:6" x14ac:dyDescent="0.2">
      <c r="A1012" s="275"/>
      <c r="B1012" s="78"/>
      <c r="C1012" s="189"/>
      <c r="D1012" s="185"/>
      <c r="E1012" s="186"/>
      <c r="F1012" s="187"/>
    </row>
    <row r="1013" spans="1:6" x14ac:dyDescent="0.2">
      <c r="A1013" s="275"/>
      <c r="B1013" s="78"/>
      <c r="C1013" s="189"/>
      <c r="D1013" s="185"/>
      <c r="E1013" s="186"/>
      <c r="F1013" s="187"/>
    </row>
    <row r="1014" spans="1:6" x14ac:dyDescent="0.2">
      <c r="A1014" s="275"/>
      <c r="B1014" s="78"/>
      <c r="C1014" s="189"/>
      <c r="D1014" s="185"/>
      <c r="E1014" s="186"/>
      <c r="F1014" s="187"/>
    </row>
    <row r="1015" spans="1:6" x14ac:dyDescent="0.2">
      <c r="A1015" s="275"/>
      <c r="B1015" s="78"/>
      <c r="C1015" s="189"/>
      <c r="D1015" s="185"/>
      <c r="E1015" s="186"/>
      <c r="F1015" s="187"/>
    </row>
    <row r="1016" spans="1:6" x14ac:dyDescent="0.2">
      <c r="A1016" s="275"/>
      <c r="B1016" s="78"/>
      <c r="C1016" s="189"/>
      <c r="D1016" s="185"/>
      <c r="E1016" s="186"/>
      <c r="F1016" s="187"/>
    </row>
    <row r="1017" spans="1:6" x14ac:dyDescent="0.2">
      <c r="A1017" s="275"/>
      <c r="B1017" s="78"/>
      <c r="C1017" s="189"/>
      <c r="D1017" s="185"/>
      <c r="E1017" s="186"/>
      <c r="F1017" s="187"/>
    </row>
    <row r="1018" spans="1:6" x14ac:dyDescent="0.2">
      <c r="A1018" s="275"/>
      <c r="B1018" s="78"/>
      <c r="C1018" s="189"/>
      <c r="D1018" s="185"/>
      <c r="E1018" s="186"/>
      <c r="F1018" s="187"/>
    </row>
    <row r="1019" spans="1:6" x14ac:dyDescent="0.2">
      <c r="A1019" s="275"/>
      <c r="B1019" s="78"/>
      <c r="C1019" s="189"/>
      <c r="D1019" s="185"/>
      <c r="E1019" s="186"/>
      <c r="F1019" s="187"/>
    </row>
    <row r="1020" spans="1:6" x14ac:dyDescent="0.2">
      <c r="A1020" s="275"/>
      <c r="B1020" s="78"/>
      <c r="C1020" s="189"/>
      <c r="D1020" s="185"/>
      <c r="E1020" s="186"/>
      <c r="F1020" s="187"/>
    </row>
    <row r="1021" spans="1:6" x14ac:dyDescent="0.2">
      <c r="A1021" s="275"/>
      <c r="B1021" s="78"/>
      <c r="C1021" s="189"/>
      <c r="D1021" s="185"/>
      <c r="E1021" s="186"/>
      <c r="F1021" s="187"/>
    </row>
    <row r="1022" spans="1:6" x14ac:dyDescent="0.2">
      <c r="A1022" s="275"/>
      <c r="B1022" s="78"/>
      <c r="C1022" s="189"/>
      <c r="D1022" s="185"/>
      <c r="E1022" s="186"/>
      <c r="F1022" s="187"/>
    </row>
    <row r="1023" spans="1:6" x14ac:dyDescent="0.2">
      <c r="A1023" s="275"/>
      <c r="B1023" s="78"/>
      <c r="C1023" s="189"/>
      <c r="D1023" s="185"/>
      <c r="E1023" s="186"/>
      <c r="F1023" s="187"/>
    </row>
    <row r="1024" spans="1:6" x14ac:dyDescent="0.2">
      <c r="A1024" s="275"/>
      <c r="B1024" s="78"/>
      <c r="C1024" s="189"/>
      <c r="D1024" s="185"/>
      <c r="E1024" s="186"/>
      <c r="F1024" s="187"/>
    </row>
    <row r="1025" spans="1:6" x14ac:dyDescent="0.2">
      <c r="A1025" s="275"/>
      <c r="B1025" s="78"/>
      <c r="C1025" s="189"/>
      <c r="D1025" s="185"/>
      <c r="E1025" s="186"/>
      <c r="F1025" s="187"/>
    </row>
    <row r="1026" spans="1:6" x14ac:dyDescent="0.2">
      <c r="A1026" s="275"/>
      <c r="B1026" s="78"/>
      <c r="C1026" s="189"/>
      <c r="D1026" s="185"/>
      <c r="E1026" s="186"/>
      <c r="F1026" s="187"/>
    </row>
    <row r="1027" spans="1:6" x14ac:dyDescent="0.2">
      <c r="A1027" s="275"/>
      <c r="B1027" s="78"/>
      <c r="C1027" s="189"/>
      <c r="D1027" s="185"/>
      <c r="E1027" s="186"/>
      <c r="F1027" s="187"/>
    </row>
    <row r="1028" spans="1:6" x14ac:dyDescent="0.2">
      <c r="A1028" s="275"/>
      <c r="B1028" s="78"/>
      <c r="C1028" s="189"/>
      <c r="D1028" s="185"/>
      <c r="E1028" s="186"/>
      <c r="F1028" s="187"/>
    </row>
    <row r="1029" spans="1:6" x14ac:dyDescent="0.2">
      <c r="A1029" s="275"/>
      <c r="B1029" s="78"/>
      <c r="C1029" s="189"/>
      <c r="D1029" s="185"/>
      <c r="E1029" s="186"/>
      <c r="F1029" s="187"/>
    </row>
    <row r="1030" spans="1:6" x14ac:dyDescent="0.2">
      <c r="A1030" s="275"/>
      <c r="B1030" s="78"/>
      <c r="C1030" s="189"/>
      <c r="D1030" s="185"/>
      <c r="E1030" s="186"/>
      <c r="F1030" s="187"/>
    </row>
    <row r="1031" spans="1:6" x14ac:dyDescent="0.2">
      <c r="A1031" s="275"/>
      <c r="B1031" s="78"/>
      <c r="C1031" s="189"/>
      <c r="D1031" s="185"/>
      <c r="E1031" s="186"/>
      <c r="F1031" s="187"/>
    </row>
    <row r="1032" spans="1:6" x14ac:dyDescent="0.2">
      <c r="A1032" s="275"/>
      <c r="B1032" s="78"/>
      <c r="C1032" s="189"/>
      <c r="D1032" s="185"/>
      <c r="E1032" s="186"/>
      <c r="F1032" s="187"/>
    </row>
    <row r="1033" spans="1:6" x14ac:dyDescent="0.2">
      <c r="A1033" s="275"/>
      <c r="B1033" s="78"/>
      <c r="C1033" s="189"/>
      <c r="D1033" s="185"/>
      <c r="E1033" s="186"/>
      <c r="F1033" s="187"/>
    </row>
    <row r="1034" spans="1:6" x14ac:dyDescent="0.2">
      <c r="A1034" s="275"/>
      <c r="B1034" s="78"/>
      <c r="C1034" s="189"/>
      <c r="D1034" s="185"/>
      <c r="E1034" s="186"/>
      <c r="F1034" s="187"/>
    </row>
    <row r="1035" spans="1:6" x14ac:dyDescent="0.2">
      <c r="A1035" s="275"/>
      <c r="B1035" s="78"/>
      <c r="C1035" s="189"/>
      <c r="D1035" s="185"/>
      <c r="E1035" s="186"/>
      <c r="F1035" s="187"/>
    </row>
    <row r="1036" spans="1:6" x14ac:dyDescent="0.2">
      <c r="A1036" s="275"/>
      <c r="B1036" s="78"/>
      <c r="C1036" s="189"/>
      <c r="D1036" s="185"/>
      <c r="E1036" s="186"/>
      <c r="F1036" s="187"/>
    </row>
    <row r="1037" spans="1:6" x14ac:dyDescent="0.2">
      <c r="A1037" s="275"/>
      <c r="B1037" s="78"/>
      <c r="C1037" s="189"/>
      <c r="D1037" s="185"/>
      <c r="E1037" s="186"/>
      <c r="F1037" s="187"/>
    </row>
    <row r="1038" spans="1:6" x14ac:dyDescent="0.2">
      <c r="A1038" s="275"/>
      <c r="B1038" s="78"/>
      <c r="C1038" s="189"/>
      <c r="D1038" s="185"/>
      <c r="E1038" s="186"/>
      <c r="F1038" s="187"/>
    </row>
    <row r="1039" spans="1:6" x14ac:dyDescent="0.2">
      <c r="A1039" s="275"/>
      <c r="B1039" s="78"/>
      <c r="C1039" s="189"/>
      <c r="D1039" s="185"/>
      <c r="E1039" s="186"/>
      <c r="F1039" s="187"/>
    </row>
    <row r="1040" spans="1:6" x14ac:dyDescent="0.2">
      <c r="A1040" s="275"/>
      <c r="B1040" s="78"/>
      <c r="C1040" s="189"/>
      <c r="D1040" s="185"/>
      <c r="E1040" s="186"/>
      <c r="F1040" s="187"/>
    </row>
    <row r="1041" spans="1:6" x14ac:dyDescent="0.2">
      <c r="A1041" s="275"/>
      <c r="B1041" s="78"/>
      <c r="C1041" s="189"/>
      <c r="D1041" s="185"/>
      <c r="E1041" s="186"/>
      <c r="F1041" s="187"/>
    </row>
    <row r="1042" spans="1:6" x14ac:dyDescent="0.2">
      <c r="A1042" s="275"/>
      <c r="B1042" s="78"/>
      <c r="C1042" s="189"/>
      <c r="D1042" s="185"/>
      <c r="E1042" s="186"/>
      <c r="F1042" s="187"/>
    </row>
    <row r="1043" spans="1:6" x14ac:dyDescent="0.2">
      <c r="A1043" s="275"/>
      <c r="B1043" s="78"/>
      <c r="C1043" s="189"/>
      <c r="D1043" s="185"/>
      <c r="E1043" s="186"/>
      <c r="F1043" s="187"/>
    </row>
    <row r="1044" spans="1:6" x14ac:dyDescent="0.2">
      <c r="A1044" s="275"/>
      <c r="B1044" s="78"/>
      <c r="C1044" s="189"/>
      <c r="D1044" s="185"/>
      <c r="E1044" s="186"/>
      <c r="F1044" s="187"/>
    </row>
    <row r="1045" spans="1:6" x14ac:dyDescent="0.2">
      <c r="A1045" s="275"/>
      <c r="B1045" s="78"/>
      <c r="C1045" s="189"/>
      <c r="D1045" s="185"/>
      <c r="E1045" s="186"/>
      <c r="F1045" s="187"/>
    </row>
    <row r="1046" spans="1:6" x14ac:dyDescent="0.2">
      <c r="A1046" s="275"/>
      <c r="B1046" s="78"/>
      <c r="C1046" s="189"/>
      <c r="D1046" s="185"/>
      <c r="E1046" s="186"/>
      <c r="F1046" s="187"/>
    </row>
    <row r="1047" spans="1:6" x14ac:dyDescent="0.2">
      <c r="A1047" s="275"/>
      <c r="B1047" s="78"/>
      <c r="C1047" s="189"/>
      <c r="D1047" s="185"/>
      <c r="E1047" s="186"/>
      <c r="F1047" s="187"/>
    </row>
    <row r="1048" spans="1:6" x14ac:dyDescent="0.2">
      <c r="A1048" s="275"/>
      <c r="B1048" s="78"/>
      <c r="C1048" s="189"/>
      <c r="D1048" s="185"/>
      <c r="E1048" s="186"/>
      <c r="F1048" s="187"/>
    </row>
    <row r="1049" spans="1:6" x14ac:dyDescent="0.2">
      <c r="A1049" s="275"/>
      <c r="B1049" s="78"/>
      <c r="C1049" s="189"/>
      <c r="D1049" s="185"/>
      <c r="E1049" s="186"/>
      <c r="F1049" s="187"/>
    </row>
    <row r="1050" spans="1:6" x14ac:dyDescent="0.2">
      <c r="A1050" s="275"/>
      <c r="B1050" s="78"/>
      <c r="C1050" s="189"/>
      <c r="D1050" s="185"/>
      <c r="E1050" s="186"/>
      <c r="F1050" s="187"/>
    </row>
    <row r="1051" spans="1:6" x14ac:dyDescent="0.2">
      <c r="A1051" s="275"/>
      <c r="B1051" s="78"/>
      <c r="C1051" s="189"/>
      <c r="D1051" s="185"/>
      <c r="E1051" s="186"/>
      <c r="F1051" s="187"/>
    </row>
    <row r="1052" spans="1:6" x14ac:dyDescent="0.2">
      <c r="A1052" s="275"/>
      <c r="B1052" s="78"/>
      <c r="C1052" s="189"/>
      <c r="D1052" s="185"/>
      <c r="E1052" s="186"/>
      <c r="F1052" s="187"/>
    </row>
    <row r="1053" spans="1:6" x14ac:dyDescent="0.2">
      <c r="A1053" s="275"/>
      <c r="B1053" s="78"/>
      <c r="C1053" s="189"/>
      <c r="D1053" s="185"/>
      <c r="E1053" s="186"/>
      <c r="F1053" s="187"/>
    </row>
    <row r="1054" spans="1:6" x14ac:dyDescent="0.2">
      <c r="A1054" s="275"/>
      <c r="B1054" s="78"/>
      <c r="C1054" s="189"/>
      <c r="D1054" s="185"/>
      <c r="E1054" s="186"/>
      <c r="F1054" s="187"/>
    </row>
    <row r="1055" spans="1:6" x14ac:dyDescent="0.2">
      <c r="A1055" s="275"/>
      <c r="B1055" s="78"/>
      <c r="C1055" s="189"/>
      <c r="D1055" s="185"/>
      <c r="E1055" s="186"/>
      <c r="F1055" s="187"/>
    </row>
    <row r="1056" spans="1:6" x14ac:dyDescent="0.2">
      <c r="A1056" s="275"/>
      <c r="B1056" s="78"/>
      <c r="C1056" s="189"/>
      <c r="D1056" s="185"/>
      <c r="E1056" s="186"/>
      <c r="F1056" s="187"/>
    </row>
    <row r="1057" spans="1:6" x14ac:dyDescent="0.2">
      <c r="A1057" s="275"/>
      <c r="B1057" s="78"/>
      <c r="C1057" s="189"/>
      <c r="D1057" s="185"/>
      <c r="E1057" s="186"/>
      <c r="F1057" s="187"/>
    </row>
    <row r="1058" spans="1:6" x14ac:dyDescent="0.2">
      <c r="A1058" s="275"/>
      <c r="B1058" s="78"/>
      <c r="C1058" s="189"/>
      <c r="D1058" s="185"/>
      <c r="E1058" s="186"/>
      <c r="F1058" s="187"/>
    </row>
    <row r="1059" spans="1:6" x14ac:dyDescent="0.2">
      <c r="A1059" s="275"/>
      <c r="B1059" s="78"/>
      <c r="C1059" s="189"/>
      <c r="D1059" s="185"/>
      <c r="E1059" s="186"/>
      <c r="F1059" s="187"/>
    </row>
    <row r="1060" spans="1:6" x14ac:dyDescent="0.2">
      <c r="A1060" s="275"/>
      <c r="B1060" s="78"/>
      <c r="C1060" s="189"/>
      <c r="D1060" s="185"/>
      <c r="E1060" s="186"/>
      <c r="F1060" s="187"/>
    </row>
    <row r="1061" spans="1:6" x14ac:dyDescent="0.2">
      <c r="A1061" s="275"/>
      <c r="B1061" s="78"/>
      <c r="C1061" s="189"/>
      <c r="D1061" s="185"/>
      <c r="E1061" s="186"/>
      <c r="F1061" s="187"/>
    </row>
    <row r="1062" spans="1:6" x14ac:dyDescent="0.2">
      <c r="A1062" s="275"/>
      <c r="B1062" s="78"/>
      <c r="C1062" s="189"/>
      <c r="D1062" s="185"/>
      <c r="E1062" s="186"/>
      <c r="F1062" s="187"/>
    </row>
    <row r="1063" spans="1:6" x14ac:dyDescent="0.2">
      <c r="A1063" s="275"/>
      <c r="B1063" s="78"/>
      <c r="C1063" s="189"/>
      <c r="D1063" s="185"/>
      <c r="E1063" s="186"/>
      <c r="F1063" s="187"/>
    </row>
    <row r="1064" spans="1:6" x14ac:dyDescent="0.2">
      <c r="A1064" s="275"/>
      <c r="B1064" s="78"/>
      <c r="C1064" s="189"/>
      <c r="D1064" s="185"/>
      <c r="E1064" s="186"/>
      <c r="F1064" s="187"/>
    </row>
    <row r="1065" spans="1:6" x14ac:dyDescent="0.2">
      <c r="A1065" s="275"/>
      <c r="B1065" s="78"/>
      <c r="C1065" s="189"/>
      <c r="D1065" s="185"/>
      <c r="E1065" s="186"/>
      <c r="F1065" s="187"/>
    </row>
    <row r="1066" spans="1:6" x14ac:dyDescent="0.2">
      <c r="A1066" s="275"/>
      <c r="B1066" s="78"/>
      <c r="C1066" s="189"/>
      <c r="D1066" s="185"/>
      <c r="E1066" s="186"/>
      <c r="F1066" s="187"/>
    </row>
    <row r="1067" spans="1:6" x14ac:dyDescent="0.2">
      <c r="A1067" s="275"/>
      <c r="B1067" s="78"/>
      <c r="C1067" s="189"/>
      <c r="D1067" s="185"/>
      <c r="E1067" s="186"/>
      <c r="F1067" s="187"/>
    </row>
    <row r="1068" spans="1:6" x14ac:dyDescent="0.2">
      <c r="A1068" s="275"/>
      <c r="B1068" s="78"/>
      <c r="C1068" s="189"/>
      <c r="D1068" s="185"/>
      <c r="E1068" s="186"/>
      <c r="F1068" s="187"/>
    </row>
    <row r="1069" spans="1:6" x14ac:dyDescent="0.2">
      <c r="A1069" s="275"/>
      <c r="B1069" s="78"/>
      <c r="C1069" s="189"/>
      <c r="D1069" s="185"/>
      <c r="E1069" s="186"/>
      <c r="F1069" s="187"/>
    </row>
    <row r="1070" spans="1:6" x14ac:dyDescent="0.2">
      <c r="A1070" s="275"/>
      <c r="B1070" s="78"/>
      <c r="C1070" s="189"/>
      <c r="D1070" s="185"/>
      <c r="E1070" s="186"/>
      <c r="F1070" s="187"/>
    </row>
    <row r="1071" spans="1:6" x14ac:dyDescent="0.2">
      <c r="A1071" s="275"/>
      <c r="B1071" s="78"/>
      <c r="C1071" s="189"/>
      <c r="D1071" s="185"/>
      <c r="E1071" s="186"/>
      <c r="F1071" s="187"/>
    </row>
    <row r="1072" spans="1:6" x14ac:dyDescent="0.2">
      <c r="A1072" s="275"/>
      <c r="B1072" s="78"/>
      <c r="C1072" s="189"/>
      <c r="D1072" s="185"/>
      <c r="E1072" s="186"/>
      <c r="F1072" s="187"/>
    </row>
    <row r="1073" spans="1:6" x14ac:dyDescent="0.2">
      <c r="A1073" s="275"/>
      <c r="B1073" s="78"/>
      <c r="C1073" s="189"/>
      <c r="D1073" s="185"/>
      <c r="E1073" s="186"/>
      <c r="F1073" s="187"/>
    </row>
    <row r="1074" spans="1:6" x14ac:dyDescent="0.2">
      <c r="A1074" s="275"/>
      <c r="B1074" s="78"/>
      <c r="C1074" s="189"/>
      <c r="D1074" s="185"/>
      <c r="E1074" s="186"/>
      <c r="F1074" s="187"/>
    </row>
    <row r="1075" spans="1:6" x14ac:dyDescent="0.2">
      <c r="A1075" s="275"/>
      <c r="B1075" s="78"/>
      <c r="C1075" s="189"/>
      <c r="D1075" s="185"/>
      <c r="E1075" s="186"/>
      <c r="F1075" s="187"/>
    </row>
    <row r="1076" spans="1:6" x14ac:dyDescent="0.2">
      <c r="A1076" s="275"/>
      <c r="B1076" s="78"/>
      <c r="C1076" s="189"/>
      <c r="D1076" s="185"/>
      <c r="E1076" s="186"/>
      <c r="F1076" s="187"/>
    </row>
    <row r="1077" spans="1:6" x14ac:dyDescent="0.2">
      <c r="A1077" s="275"/>
      <c r="B1077" s="78"/>
      <c r="C1077" s="189"/>
      <c r="D1077" s="185"/>
      <c r="E1077" s="186"/>
      <c r="F1077" s="187"/>
    </row>
    <row r="1078" spans="1:6" x14ac:dyDescent="0.2">
      <c r="A1078" s="275"/>
      <c r="B1078" s="78"/>
      <c r="C1078" s="189"/>
      <c r="D1078" s="185"/>
      <c r="E1078" s="186"/>
      <c r="F1078" s="187"/>
    </row>
    <row r="1079" spans="1:6" x14ac:dyDescent="0.2">
      <c r="A1079" s="275"/>
      <c r="B1079" s="78"/>
      <c r="C1079" s="189"/>
      <c r="D1079" s="185"/>
      <c r="E1079" s="186"/>
      <c r="F1079" s="187"/>
    </row>
    <row r="1080" spans="1:6" x14ac:dyDescent="0.2">
      <c r="A1080" s="275"/>
      <c r="B1080" s="78"/>
      <c r="C1080" s="189"/>
      <c r="D1080" s="185"/>
      <c r="E1080" s="186"/>
      <c r="F1080" s="187"/>
    </row>
    <row r="1081" spans="1:6" x14ac:dyDescent="0.2">
      <c r="A1081" s="275"/>
      <c r="B1081" s="78"/>
      <c r="C1081" s="189"/>
      <c r="D1081" s="185"/>
      <c r="E1081" s="186"/>
      <c r="F1081" s="187"/>
    </row>
    <row r="1082" spans="1:6" x14ac:dyDescent="0.2">
      <c r="A1082" s="275"/>
      <c r="B1082" s="78"/>
      <c r="C1082" s="189"/>
      <c r="D1082" s="185"/>
      <c r="E1082" s="186"/>
      <c r="F1082" s="187"/>
    </row>
    <row r="1083" spans="1:6" x14ac:dyDescent="0.2">
      <c r="A1083" s="275"/>
      <c r="B1083" s="78"/>
      <c r="C1083" s="189"/>
      <c r="D1083" s="185"/>
      <c r="E1083" s="186"/>
      <c r="F1083" s="187"/>
    </row>
    <row r="1084" spans="1:6" x14ac:dyDescent="0.2">
      <c r="A1084" s="275"/>
      <c r="B1084" s="78"/>
      <c r="C1084" s="189"/>
      <c r="D1084" s="185"/>
      <c r="E1084" s="186"/>
      <c r="F1084" s="187"/>
    </row>
    <row r="1085" spans="1:6" x14ac:dyDescent="0.2">
      <c r="A1085" s="275"/>
      <c r="B1085" s="78"/>
      <c r="C1085" s="189"/>
      <c r="D1085" s="185"/>
      <c r="E1085" s="186"/>
      <c r="F1085" s="187"/>
    </row>
    <row r="1086" spans="1:6" x14ac:dyDescent="0.2">
      <c r="A1086" s="275"/>
      <c r="B1086" s="78"/>
      <c r="C1086" s="189"/>
      <c r="D1086" s="185"/>
      <c r="E1086" s="186"/>
      <c r="F1086" s="187"/>
    </row>
    <row r="1087" spans="1:6" x14ac:dyDescent="0.2">
      <c r="A1087" s="275"/>
      <c r="B1087" s="78"/>
      <c r="C1087" s="189"/>
      <c r="D1087" s="185"/>
      <c r="E1087" s="186"/>
      <c r="F1087" s="187"/>
    </row>
    <row r="1088" spans="1:6" x14ac:dyDescent="0.2">
      <c r="A1088" s="275"/>
      <c r="B1088" s="78"/>
      <c r="C1088" s="189"/>
      <c r="D1088" s="185"/>
      <c r="E1088" s="186"/>
      <c r="F1088" s="187"/>
    </row>
    <row r="1089" spans="1:6" x14ac:dyDescent="0.2">
      <c r="A1089" s="275"/>
      <c r="B1089" s="78"/>
      <c r="C1089" s="189"/>
      <c r="D1089" s="185"/>
      <c r="E1089" s="186"/>
      <c r="F1089" s="187"/>
    </row>
    <row r="1090" spans="1:6" x14ac:dyDescent="0.2">
      <c r="A1090" s="275"/>
      <c r="B1090" s="78"/>
      <c r="C1090" s="189"/>
      <c r="D1090" s="185"/>
      <c r="E1090" s="186"/>
      <c r="F1090" s="187"/>
    </row>
    <row r="1091" spans="1:6" x14ac:dyDescent="0.2">
      <c r="A1091" s="275"/>
      <c r="B1091" s="78"/>
      <c r="C1091" s="189"/>
      <c r="D1091" s="185"/>
      <c r="E1091" s="186"/>
      <c r="F1091" s="187"/>
    </row>
    <row r="1092" spans="1:6" x14ac:dyDescent="0.2">
      <c r="A1092" s="275"/>
      <c r="B1092" s="78"/>
      <c r="C1092" s="189"/>
      <c r="D1092" s="185"/>
      <c r="E1092" s="186"/>
      <c r="F1092" s="187"/>
    </row>
    <row r="1093" spans="1:6" x14ac:dyDescent="0.2">
      <c r="A1093" s="275"/>
      <c r="B1093" s="78"/>
      <c r="C1093" s="189"/>
      <c r="D1093" s="185"/>
      <c r="E1093" s="186"/>
      <c r="F1093" s="187"/>
    </row>
    <row r="1094" spans="1:6" x14ac:dyDescent="0.2">
      <c r="A1094" s="275"/>
      <c r="B1094" s="78"/>
      <c r="C1094" s="189"/>
      <c r="D1094" s="185"/>
      <c r="E1094" s="186"/>
      <c r="F1094" s="187"/>
    </row>
    <row r="1095" spans="1:6" x14ac:dyDescent="0.2">
      <c r="A1095" s="275"/>
      <c r="B1095" s="78"/>
      <c r="C1095" s="189"/>
      <c r="D1095" s="185"/>
      <c r="E1095" s="186"/>
      <c r="F1095" s="187"/>
    </row>
    <row r="1096" spans="1:6" x14ac:dyDescent="0.2">
      <c r="A1096" s="275"/>
      <c r="B1096" s="78"/>
      <c r="C1096" s="189"/>
      <c r="D1096" s="185"/>
      <c r="E1096" s="186"/>
      <c r="F1096" s="187"/>
    </row>
    <row r="1097" spans="1:6" x14ac:dyDescent="0.2">
      <c r="A1097" s="275"/>
      <c r="B1097" s="78"/>
      <c r="C1097" s="189"/>
      <c r="D1097" s="185"/>
      <c r="E1097" s="186"/>
      <c r="F1097" s="187"/>
    </row>
    <row r="1098" spans="1:6" x14ac:dyDescent="0.2">
      <c r="A1098" s="275"/>
      <c r="B1098" s="78"/>
      <c r="C1098" s="189"/>
      <c r="D1098" s="185"/>
      <c r="E1098" s="186"/>
      <c r="F1098" s="187"/>
    </row>
    <row r="1099" spans="1:6" x14ac:dyDescent="0.2">
      <c r="A1099" s="275"/>
      <c r="B1099" s="78"/>
      <c r="C1099" s="189"/>
      <c r="D1099" s="185"/>
      <c r="E1099" s="186"/>
      <c r="F1099" s="187"/>
    </row>
    <row r="1100" spans="1:6" x14ac:dyDescent="0.2">
      <c r="A1100" s="275"/>
      <c r="B1100" s="78"/>
      <c r="C1100" s="189"/>
      <c r="D1100" s="185"/>
      <c r="E1100" s="186"/>
      <c r="F1100" s="187"/>
    </row>
    <row r="1101" spans="1:6" x14ac:dyDescent="0.2">
      <c r="A1101" s="275"/>
      <c r="B1101" s="78"/>
      <c r="C1101" s="189"/>
      <c r="D1101" s="185"/>
      <c r="E1101" s="186"/>
      <c r="F1101" s="187"/>
    </row>
    <row r="1102" spans="1:6" x14ac:dyDescent="0.2">
      <c r="A1102" s="275"/>
      <c r="B1102" s="78"/>
      <c r="C1102" s="189"/>
      <c r="D1102" s="185"/>
      <c r="E1102" s="186"/>
      <c r="F1102" s="187"/>
    </row>
    <row r="1103" spans="1:6" x14ac:dyDescent="0.2">
      <c r="A1103" s="275"/>
      <c r="B1103" s="78"/>
      <c r="C1103" s="189"/>
      <c r="D1103" s="185"/>
      <c r="E1103" s="186"/>
      <c r="F1103" s="187"/>
    </row>
    <row r="1104" spans="1:6" x14ac:dyDescent="0.2">
      <c r="A1104" s="275"/>
      <c r="B1104" s="78"/>
      <c r="C1104" s="189"/>
      <c r="D1104" s="185"/>
      <c r="E1104" s="186"/>
      <c r="F1104" s="187"/>
    </row>
    <row r="1105" spans="1:6" x14ac:dyDescent="0.2">
      <c r="A1105" s="275"/>
      <c r="B1105" s="78"/>
      <c r="C1105" s="189"/>
      <c r="D1105" s="185"/>
      <c r="E1105" s="186"/>
      <c r="F1105" s="187"/>
    </row>
    <row r="1106" spans="1:6" x14ac:dyDescent="0.2">
      <c r="A1106" s="275"/>
      <c r="B1106" s="78"/>
      <c r="C1106" s="189"/>
      <c r="D1106" s="185"/>
      <c r="E1106" s="186"/>
      <c r="F1106" s="187"/>
    </row>
    <row r="1107" spans="1:6" x14ac:dyDescent="0.2">
      <c r="A1107" s="275"/>
      <c r="B1107" s="78"/>
      <c r="C1107" s="189"/>
      <c r="D1107" s="185"/>
      <c r="E1107" s="186"/>
      <c r="F1107" s="187"/>
    </row>
    <row r="1108" spans="1:6" x14ac:dyDescent="0.2">
      <c r="A1108" s="275"/>
      <c r="B1108" s="78"/>
      <c r="C1108" s="189"/>
      <c r="D1108" s="185"/>
      <c r="E1108" s="186"/>
      <c r="F1108" s="187"/>
    </row>
    <row r="1109" spans="1:6" x14ac:dyDescent="0.2">
      <c r="A1109" s="275"/>
      <c r="B1109" s="78"/>
      <c r="C1109" s="189"/>
      <c r="D1109" s="185"/>
      <c r="E1109" s="186"/>
      <c r="F1109" s="187"/>
    </row>
    <row r="1110" spans="1:6" x14ac:dyDescent="0.2">
      <c r="A1110" s="275"/>
      <c r="B1110" s="78"/>
      <c r="C1110" s="189"/>
      <c r="D1110" s="185"/>
      <c r="E1110" s="186"/>
      <c r="F1110" s="187"/>
    </row>
    <row r="1111" spans="1:6" x14ac:dyDescent="0.2">
      <c r="A1111" s="275"/>
      <c r="B1111" s="78"/>
      <c r="C1111" s="189"/>
      <c r="D1111" s="185"/>
      <c r="E1111" s="186"/>
      <c r="F1111" s="187"/>
    </row>
    <row r="1112" spans="1:6" x14ac:dyDescent="0.2">
      <c r="A1112" s="275"/>
      <c r="B1112" s="78"/>
      <c r="C1112" s="189"/>
      <c r="D1112" s="185"/>
      <c r="E1112" s="186"/>
      <c r="F1112" s="187"/>
    </row>
    <row r="1113" spans="1:6" x14ac:dyDescent="0.2">
      <c r="A1113" s="275"/>
      <c r="B1113" s="78"/>
      <c r="C1113" s="189"/>
      <c r="D1113" s="185"/>
      <c r="E1113" s="186"/>
      <c r="F1113" s="187"/>
    </row>
    <row r="1114" spans="1:6" x14ac:dyDescent="0.2">
      <c r="A1114" s="275"/>
      <c r="B1114" s="78"/>
      <c r="C1114" s="189"/>
      <c r="D1114" s="185"/>
      <c r="E1114" s="186"/>
      <c r="F1114" s="187"/>
    </row>
    <row r="1115" spans="1:6" x14ac:dyDescent="0.2">
      <c r="A1115" s="275"/>
      <c r="B1115" s="78"/>
      <c r="C1115" s="189"/>
      <c r="D1115" s="185"/>
      <c r="E1115" s="186"/>
      <c r="F1115" s="187"/>
    </row>
    <row r="1116" spans="1:6" x14ac:dyDescent="0.2">
      <c r="A1116" s="275"/>
      <c r="B1116" s="78"/>
      <c r="C1116" s="189"/>
      <c r="D1116" s="185"/>
      <c r="E1116" s="186"/>
      <c r="F1116" s="187"/>
    </row>
    <row r="1117" spans="1:6" x14ac:dyDescent="0.2">
      <c r="A1117" s="275"/>
      <c r="B1117" s="78"/>
      <c r="C1117" s="189"/>
      <c r="D1117" s="185"/>
      <c r="E1117" s="186"/>
      <c r="F1117" s="187"/>
    </row>
    <row r="1118" spans="1:6" x14ac:dyDescent="0.2">
      <c r="A1118" s="275"/>
      <c r="B1118" s="78"/>
      <c r="C1118" s="189"/>
      <c r="D1118" s="185"/>
      <c r="E1118" s="186"/>
      <c r="F1118" s="187"/>
    </row>
    <row r="1119" spans="1:6" x14ac:dyDescent="0.2">
      <c r="A1119" s="275"/>
      <c r="B1119" s="78"/>
      <c r="C1119" s="189"/>
      <c r="D1119" s="185"/>
      <c r="E1119" s="186"/>
      <c r="F1119" s="187"/>
    </row>
    <row r="1120" spans="1:6" x14ac:dyDescent="0.2">
      <c r="A1120" s="275"/>
      <c r="B1120" s="78"/>
      <c r="C1120" s="189"/>
      <c r="D1120" s="185"/>
      <c r="E1120" s="186"/>
      <c r="F1120" s="187"/>
    </row>
    <row r="1121" spans="1:6" x14ac:dyDescent="0.2">
      <c r="A1121" s="275"/>
      <c r="B1121" s="78"/>
      <c r="C1121" s="189"/>
      <c r="D1121" s="185"/>
      <c r="E1121" s="186"/>
      <c r="F1121" s="187"/>
    </row>
    <row r="1122" spans="1:6" x14ac:dyDescent="0.2">
      <c r="A1122" s="275"/>
      <c r="B1122" s="78"/>
      <c r="C1122" s="189"/>
      <c r="D1122" s="185"/>
      <c r="E1122" s="186"/>
      <c r="F1122" s="187"/>
    </row>
    <row r="1123" spans="1:6" x14ac:dyDescent="0.2">
      <c r="A1123" s="275"/>
      <c r="B1123" s="78"/>
      <c r="C1123" s="189"/>
      <c r="D1123" s="185"/>
      <c r="E1123" s="186"/>
      <c r="F1123" s="187"/>
    </row>
    <row r="1124" spans="1:6" x14ac:dyDescent="0.2">
      <c r="A1124" s="275"/>
      <c r="B1124" s="78"/>
      <c r="C1124" s="189"/>
      <c r="D1124" s="185"/>
      <c r="E1124" s="186"/>
      <c r="F1124" s="187"/>
    </row>
    <row r="1125" spans="1:6" x14ac:dyDescent="0.2">
      <c r="A1125" s="275"/>
      <c r="B1125" s="78"/>
      <c r="C1125" s="189"/>
      <c r="D1125" s="185"/>
      <c r="E1125" s="186"/>
      <c r="F1125" s="187"/>
    </row>
    <row r="1126" spans="1:6" x14ac:dyDescent="0.2">
      <c r="A1126" s="275"/>
      <c r="B1126" s="78"/>
      <c r="C1126" s="189"/>
      <c r="D1126" s="185"/>
      <c r="E1126" s="186"/>
      <c r="F1126" s="187"/>
    </row>
    <row r="1127" spans="1:6" x14ac:dyDescent="0.2">
      <c r="A1127" s="275"/>
      <c r="B1127" s="78"/>
      <c r="C1127" s="189"/>
      <c r="D1127" s="185"/>
      <c r="E1127" s="186"/>
      <c r="F1127" s="187"/>
    </row>
    <row r="1128" spans="1:6" x14ac:dyDescent="0.2">
      <c r="A1128" s="275"/>
      <c r="B1128" s="78"/>
      <c r="C1128" s="189"/>
      <c r="D1128" s="185"/>
      <c r="E1128" s="186"/>
      <c r="F1128" s="187"/>
    </row>
    <row r="1129" spans="1:6" x14ac:dyDescent="0.2">
      <c r="A1129" s="275"/>
      <c r="B1129" s="78"/>
      <c r="C1129" s="189"/>
      <c r="D1129" s="185"/>
      <c r="E1129" s="186"/>
      <c r="F1129" s="187"/>
    </row>
    <row r="1130" spans="1:6" x14ac:dyDescent="0.2">
      <c r="A1130" s="275"/>
      <c r="B1130" s="78"/>
      <c r="C1130" s="189"/>
      <c r="D1130" s="185"/>
      <c r="E1130" s="186"/>
      <c r="F1130" s="187"/>
    </row>
    <row r="1131" spans="1:6" x14ac:dyDescent="0.2">
      <c r="A1131" s="275"/>
      <c r="B1131" s="78"/>
      <c r="C1131" s="189"/>
      <c r="D1131" s="185"/>
      <c r="E1131" s="186"/>
      <c r="F1131" s="187"/>
    </row>
    <row r="1132" spans="1:6" x14ac:dyDescent="0.2">
      <c r="A1132" s="275"/>
      <c r="B1132" s="78"/>
      <c r="C1132" s="189"/>
      <c r="D1132" s="185"/>
      <c r="E1132" s="186"/>
      <c r="F1132" s="187"/>
    </row>
    <row r="1133" spans="1:6" x14ac:dyDescent="0.2">
      <c r="A1133" s="275"/>
      <c r="B1133" s="78"/>
      <c r="C1133" s="189"/>
      <c r="D1133" s="185"/>
      <c r="E1133" s="186"/>
      <c r="F1133" s="187"/>
    </row>
    <row r="1134" spans="1:6" x14ac:dyDescent="0.2">
      <c r="A1134" s="275"/>
      <c r="B1134" s="78"/>
      <c r="C1134" s="189"/>
      <c r="D1134" s="185"/>
      <c r="E1134" s="186"/>
      <c r="F1134" s="187"/>
    </row>
    <row r="1135" spans="1:6" x14ac:dyDescent="0.2">
      <c r="A1135" s="275"/>
      <c r="B1135" s="78"/>
      <c r="C1135" s="189"/>
      <c r="D1135" s="185"/>
      <c r="E1135" s="186"/>
      <c r="F1135" s="187"/>
    </row>
    <row r="1136" spans="1:6" x14ac:dyDescent="0.2">
      <c r="A1136" s="275"/>
      <c r="B1136" s="78"/>
      <c r="C1136" s="189"/>
      <c r="D1136" s="185"/>
      <c r="E1136" s="186"/>
      <c r="F1136" s="187"/>
    </row>
    <row r="1137" spans="1:6" x14ac:dyDescent="0.2">
      <c r="A1137" s="275"/>
      <c r="B1137" s="78"/>
      <c r="C1137" s="189"/>
      <c r="D1137" s="185"/>
      <c r="E1137" s="186"/>
      <c r="F1137" s="187"/>
    </row>
    <row r="1138" spans="1:6" x14ac:dyDescent="0.2">
      <c r="A1138" s="275"/>
      <c r="B1138" s="78"/>
      <c r="C1138" s="189"/>
      <c r="D1138" s="185"/>
      <c r="E1138" s="186"/>
      <c r="F1138" s="187"/>
    </row>
    <row r="1139" spans="1:6" x14ac:dyDescent="0.2">
      <c r="A1139" s="275"/>
      <c r="B1139" s="78"/>
      <c r="C1139" s="189"/>
      <c r="D1139" s="185"/>
      <c r="E1139" s="186"/>
      <c r="F1139" s="187"/>
    </row>
    <row r="1140" spans="1:6" x14ac:dyDescent="0.2">
      <c r="A1140" s="275"/>
      <c r="B1140" s="78"/>
      <c r="C1140" s="189"/>
      <c r="D1140" s="185"/>
      <c r="E1140" s="186"/>
      <c r="F1140" s="187"/>
    </row>
    <row r="1141" spans="1:6" x14ac:dyDescent="0.2">
      <c r="A1141" s="275"/>
      <c r="B1141" s="78"/>
      <c r="C1141" s="189"/>
      <c r="D1141" s="185"/>
      <c r="E1141" s="186"/>
      <c r="F1141" s="187"/>
    </row>
    <row r="1142" spans="1:6" x14ac:dyDescent="0.2">
      <c r="A1142" s="275"/>
      <c r="B1142" s="78"/>
      <c r="C1142" s="189"/>
      <c r="D1142" s="185"/>
      <c r="E1142" s="186"/>
      <c r="F1142" s="187"/>
    </row>
    <row r="1143" spans="1:6" x14ac:dyDescent="0.2">
      <c r="A1143" s="275"/>
      <c r="B1143" s="78"/>
      <c r="C1143" s="189"/>
      <c r="D1143" s="185"/>
      <c r="E1143" s="186"/>
      <c r="F1143" s="187"/>
    </row>
    <row r="1144" spans="1:6" x14ac:dyDescent="0.2">
      <c r="A1144" s="275"/>
      <c r="B1144" s="78"/>
      <c r="C1144" s="189"/>
      <c r="D1144" s="185"/>
      <c r="E1144" s="186"/>
      <c r="F1144" s="187"/>
    </row>
    <row r="1145" spans="1:6" x14ac:dyDescent="0.2">
      <c r="A1145" s="275"/>
      <c r="B1145" s="78"/>
      <c r="C1145" s="189"/>
      <c r="D1145" s="185"/>
      <c r="E1145" s="186"/>
      <c r="F1145" s="187"/>
    </row>
    <row r="1146" spans="1:6" x14ac:dyDescent="0.2">
      <c r="A1146" s="275"/>
      <c r="B1146" s="78"/>
      <c r="C1146" s="189"/>
      <c r="D1146" s="185"/>
      <c r="E1146" s="186"/>
      <c r="F1146" s="187"/>
    </row>
    <row r="1147" spans="1:6" x14ac:dyDescent="0.2">
      <c r="A1147" s="275"/>
      <c r="B1147" s="78"/>
      <c r="C1147" s="189"/>
      <c r="D1147" s="185"/>
      <c r="E1147" s="186"/>
      <c r="F1147" s="187"/>
    </row>
    <row r="1148" spans="1:6" x14ac:dyDescent="0.2">
      <c r="A1148" s="275"/>
      <c r="B1148" s="78"/>
      <c r="C1148" s="189"/>
      <c r="D1148" s="185"/>
      <c r="E1148" s="186"/>
      <c r="F1148" s="187"/>
    </row>
    <row r="1149" spans="1:6" x14ac:dyDescent="0.2">
      <c r="A1149" s="275"/>
      <c r="B1149" s="78"/>
      <c r="C1149" s="189"/>
      <c r="D1149" s="185"/>
      <c r="E1149" s="186"/>
      <c r="F1149" s="187"/>
    </row>
    <row r="1150" spans="1:6" x14ac:dyDescent="0.2">
      <c r="A1150" s="275"/>
      <c r="B1150" s="78"/>
      <c r="C1150" s="189"/>
      <c r="D1150" s="185"/>
      <c r="E1150" s="186"/>
      <c r="F1150" s="187"/>
    </row>
    <row r="1151" spans="1:6" x14ac:dyDescent="0.2">
      <c r="A1151" s="275"/>
      <c r="B1151" s="78"/>
      <c r="C1151" s="189"/>
      <c r="D1151" s="185"/>
      <c r="E1151" s="186"/>
      <c r="F1151" s="187"/>
    </row>
    <row r="1152" spans="1:6" x14ac:dyDescent="0.2">
      <c r="A1152" s="275"/>
      <c r="B1152" s="78"/>
      <c r="C1152" s="189"/>
      <c r="D1152" s="185"/>
      <c r="E1152" s="186"/>
      <c r="F1152" s="187"/>
    </row>
    <row r="1153" spans="1:6" x14ac:dyDescent="0.2">
      <c r="A1153" s="275"/>
      <c r="B1153" s="78"/>
      <c r="C1153" s="189"/>
      <c r="D1153" s="185"/>
      <c r="E1153" s="186"/>
      <c r="F1153" s="187"/>
    </row>
    <row r="1154" spans="1:6" x14ac:dyDescent="0.2">
      <c r="A1154" s="275"/>
      <c r="B1154" s="78"/>
      <c r="C1154" s="189"/>
      <c r="D1154" s="185"/>
      <c r="E1154" s="186"/>
      <c r="F1154" s="187"/>
    </row>
    <row r="1155" spans="1:6" x14ac:dyDescent="0.2">
      <c r="A1155" s="275"/>
      <c r="B1155" s="78"/>
      <c r="C1155" s="189"/>
      <c r="D1155" s="185"/>
      <c r="E1155" s="186"/>
      <c r="F1155" s="187"/>
    </row>
    <row r="1156" spans="1:6" x14ac:dyDescent="0.2">
      <c r="A1156" s="275"/>
      <c r="B1156" s="78"/>
      <c r="C1156" s="189"/>
      <c r="D1156" s="185"/>
      <c r="E1156" s="186"/>
      <c r="F1156" s="187"/>
    </row>
    <row r="1157" spans="1:6" x14ac:dyDescent="0.2">
      <c r="A1157" s="275"/>
      <c r="B1157" s="78"/>
      <c r="C1157" s="189"/>
      <c r="D1157" s="185"/>
      <c r="E1157" s="186"/>
      <c r="F1157" s="187"/>
    </row>
    <row r="1158" spans="1:6" x14ac:dyDescent="0.2">
      <c r="A1158" s="275"/>
      <c r="B1158" s="78"/>
      <c r="C1158" s="189"/>
      <c r="D1158" s="185"/>
      <c r="E1158" s="186"/>
      <c r="F1158" s="187"/>
    </row>
    <row r="1159" spans="1:6" x14ac:dyDescent="0.2">
      <c r="A1159" s="275"/>
      <c r="B1159" s="78"/>
      <c r="C1159" s="189"/>
      <c r="D1159" s="185"/>
      <c r="E1159" s="186"/>
      <c r="F1159" s="187"/>
    </row>
    <row r="1160" spans="1:6" x14ac:dyDescent="0.2">
      <c r="A1160" s="275"/>
      <c r="B1160" s="78"/>
      <c r="C1160" s="189"/>
      <c r="D1160" s="185"/>
      <c r="E1160" s="186"/>
      <c r="F1160" s="187"/>
    </row>
    <row r="1161" spans="1:6" x14ac:dyDescent="0.2">
      <c r="A1161" s="275"/>
      <c r="B1161" s="78"/>
      <c r="C1161" s="189"/>
      <c r="D1161" s="185"/>
      <c r="E1161" s="186"/>
      <c r="F1161" s="187"/>
    </row>
    <row r="1162" spans="1:6" x14ac:dyDescent="0.2">
      <c r="A1162" s="275"/>
      <c r="B1162" s="78"/>
      <c r="C1162" s="189"/>
      <c r="D1162" s="185"/>
      <c r="E1162" s="186"/>
      <c r="F1162" s="187"/>
    </row>
    <row r="1163" spans="1:6" x14ac:dyDescent="0.2">
      <c r="A1163" s="275"/>
      <c r="B1163" s="78"/>
      <c r="C1163" s="189"/>
      <c r="D1163" s="185"/>
      <c r="E1163" s="186"/>
      <c r="F1163" s="187"/>
    </row>
    <row r="1164" spans="1:6" x14ac:dyDescent="0.2">
      <c r="A1164" s="275"/>
      <c r="B1164" s="78"/>
      <c r="C1164" s="189"/>
      <c r="D1164" s="185"/>
      <c r="E1164" s="186"/>
      <c r="F1164" s="187"/>
    </row>
    <row r="1165" spans="1:6" x14ac:dyDescent="0.2">
      <c r="A1165" s="275"/>
      <c r="B1165" s="78"/>
      <c r="C1165" s="189"/>
      <c r="D1165" s="185"/>
      <c r="E1165" s="186"/>
      <c r="F1165" s="187"/>
    </row>
    <row r="1166" spans="1:6" x14ac:dyDescent="0.2">
      <c r="A1166" s="275"/>
      <c r="B1166" s="78"/>
      <c r="C1166" s="189"/>
      <c r="D1166" s="185"/>
      <c r="E1166" s="186"/>
      <c r="F1166" s="187"/>
    </row>
    <row r="1167" spans="1:6" x14ac:dyDescent="0.2">
      <c r="A1167" s="275"/>
      <c r="B1167" s="78"/>
      <c r="C1167" s="189"/>
      <c r="D1167" s="185"/>
      <c r="E1167" s="186"/>
      <c r="F1167" s="187"/>
    </row>
    <row r="1168" spans="1:6" x14ac:dyDescent="0.2">
      <c r="A1168" s="275"/>
      <c r="B1168" s="78"/>
      <c r="C1168" s="189"/>
      <c r="D1168" s="185"/>
      <c r="E1168" s="186"/>
      <c r="F1168" s="187"/>
    </row>
    <row r="1169" spans="1:6" x14ac:dyDescent="0.2">
      <c r="A1169" s="275"/>
      <c r="B1169" s="78"/>
      <c r="C1169" s="189"/>
      <c r="D1169" s="185"/>
      <c r="E1169" s="186"/>
      <c r="F1169" s="187"/>
    </row>
    <row r="1170" spans="1:6" x14ac:dyDescent="0.2">
      <c r="A1170" s="275"/>
      <c r="B1170" s="78"/>
      <c r="C1170" s="189"/>
      <c r="D1170" s="185"/>
      <c r="E1170" s="186"/>
      <c r="F1170" s="187"/>
    </row>
    <row r="1171" spans="1:6" x14ac:dyDescent="0.2">
      <c r="A1171" s="275"/>
      <c r="B1171" s="78"/>
      <c r="C1171" s="189"/>
      <c r="D1171" s="185"/>
      <c r="E1171" s="186"/>
      <c r="F1171" s="187"/>
    </row>
    <row r="1172" spans="1:6" x14ac:dyDescent="0.2">
      <c r="A1172" s="275"/>
      <c r="B1172" s="78"/>
      <c r="C1172" s="189"/>
      <c r="D1172" s="185"/>
      <c r="E1172" s="186"/>
      <c r="F1172" s="187"/>
    </row>
    <row r="1173" spans="1:6" x14ac:dyDescent="0.2">
      <c r="A1173" s="275"/>
      <c r="B1173" s="78"/>
      <c r="C1173" s="189"/>
      <c r="D1173" s="185"/>
      <c r="E1173" s="186"/>
      <c r="F1173" s="187"/>
    </row>
    <row r="1174" spans="1:6" x14ac:dyDescent="0.2">
      <c r="A1174" s="275"/>
      <c r="B1174" s="78"/>
      <c r="C1174" s="189"/>
      <c r="D1174" s="185"/>
      <c r="E1174" s="186"/>
      <c r="F1174" s="187"/>
    </row>
    <row r="1175" spans="1:6" x14ac:dyDescent="0.2">
      <c r="A1175" s="275"/>
      <c r="B1175" s="78"/>
      <c r="C1175" s="189"/>
      <c r="D1175" s="185"/>
      <c r="E1175" s="186"/>
      <c r="F1175" s="187"/>
    </row>
    <row r="1176" spans="1:6" x14ac:dyDescent="0.2">
      <c r="A1176" s="275"/>
      <c r="B1176" s="78"/>
      <c r="C1176" s="189"/>
      <c r="D1176" s="185"/>
      <c r="E1176" s="186"/>
      <c r="F1176" s="187"/>
    </row>
    <row r="1177" spans="1:6" x14ac:dyDescent="0.2">
      <c r="A1177" s="275"/>
      <c r="B1177" s="78"/>
      <c r="C1177" s="189"/>
      <c r="D1177" s="185"/>
      <c r="E1177" s="186"/>
      <c r="F1177" s="187"/>
    </row>
    <row r="1178" spans="1:6" x14ac:dyDescent="0.2">
      <c r="A1178" s="275"/>
      <c r="B1178" s="78"/>
      <c r="C1178" s="189"/>
      <c r="D1178" s="185"/>
      <c r="E1178" s="186"/>
      <c r="F1178" s="187"/>
    </row>
    <row r="1179" spans="1:6" x14ac:dyDescent="0.2">
      <c r="A1179" s="275"/>
      <c r="B1179" s="78"/>
      <c r="C1179" s="189"/>
      <c r="D1179" s="185"/>
      <c r="E1179" s="186"/>
      <c r="F1179" s="187"/>
    </row>
    <row r="1180" spans="1:6" x14ac:dyDescent="0.2">
      <c r="A1180" s="275"/>
      <c r="B1180" s="78"/>
      <c r="C1180" s="189"/>
      <c r="D1180" s="185"/>
      <c r="E1180" s="186"/>
      <c r="F1180" s="187"/>
    </row>
    <row r="1181" spans="1:6" x14ac:dyDescent="0.2">
      <c r="A1181" s="275"/>
      <c r="B1181" s="78"/>
      <c r="C1181" s="189"/>
      <c r="D1181" s="185"/>
      <c r="E1181" s="186"/>
      <c r="F1181" s="187"/>
    </row>
    <row r="1182" spans="1:6" x14ac:dyDescent="0.2">
      <c r="A1182" s="275"/>
      <c r="B1182" s="78"/>
      <c r="C1182" s="189"/>
      <c r="D1182" s="185"/>
      <c r="E1182" s="186"/>
      <c r="F1182" s="187"/>
    </row>
    <row r="1183" spans="1:6" x14ac:dyDescent="0.2">
      <c r="A1183" s="275"/>
      <c r="B1183" s="78"/>
      <c r="C1183" s="189"/>
      <c r="D1183" s="185"/>
      <c r="E1183" s="186"/>
      <c r="F1183" s="187"/>
    </row>
    <row r="1184" spans="1:6" x14ac:dyDescent="0.2">
      <c r="A1184" s="275"/>
      <c r="B1184" s="78"/>
      <c r="C1184" s="189"/>
      <c r="D1184" s="185"/>
      <c r="E1184" s="186"/>
      <c r="F1184" s="187"/>
    </row>
    <row r="1185" spans="1:6" x14ac:dyDescent="0.2">
      <c r="A1185" s="275"/>
      <c r="B1185" s="78"/>
      <c r="C1185" s="189"/>
      <c r="D1185" s="185"/>
      <c r="E1185" s="186"/>
      <c r="F1185" s="187"/>
    </row>
    <row r="1186" spans="1:6" x14ac:dyDescent="0.2">
      <c r="A1186" s="275"/>
      <c r="B1186" s="78"/>
      <c r="C1186" s="189"/>
      <c r="D1186" s="185"/>
      <c r="E1186" s="186"/>
      <c r="F1186" s="187"/>
    </row>
    <row r="1187" spans="1:6" x14ac:dyDescent="0.2">
      <c r="A1187" s="275"/>
      <c r="B1187" s="78"/>
      <c r="C1187" s="189"/>
      <c r="D1187" s="185"/>
      <c r="E1187" s="186"/>
      <c r="F1187" s="187"/>
    </row>
    <row r="1188" spans="1:6" x14ac:dyDescent="0.2">
      <c r="A1188" s="275"/>
      <c r="B1188" s="78"/>
      <c r="C1188" s="189"/>
      <c r="D1188" s="185"/>
      <c r="E1188" s="186"/>
      <c r="F1188" s="187"/>
    </row>
    <row r="1189" spans="1:6" x14ac:dyDescent="0.2">
      <c r="A1189" s="275"/>
      <c r="B1189" s="78"/>
      <c r="C1189" s="189"/>
      <c r="D1189" s="185"/>
      <c r="E1189" s="186"/>
      <c r="F1189" s="187"/>
    </row>
    <row r="1190" spans="1:6" x14ac:dyDescent="0.2">
      <c r="A1190" s="275"/>
      <c r="B1190" s="78"/>
      <c r="C1190" s="189"/>
      <c r="D1190" s="185"/>
      <c r="E1190" s="186"/>
      <c r="F1190" s="187"/>
    </row>
    <row r="1191" spans="1:6" x14ac:dyDescent="0.2">
      <c r="A1191" s="275"/>
      <c r="B1191" s="78"/>
      <c r="C1191" s="189"/>
      <c r="D1191" s="185"/>
      <c r="E1191" s="186"/>
      <c r="F1191" s="187"/>
    </row>
    <row r="1192" spans="1:6" x14ac:dyDescent="0.2">
      <c r="A1192" s="275"/>
      <c r="B1192" s="78"/>
      <c r="C1192" s="189"/>
      <c r="D1192" s="185"/>
      <c r="E1192" s="186"/>
      <c r="F1192" s="187"/>
    </row>
    <row r="1193" spans="1:6" x14ac:dyDescent="0.2">
      <c r="A1193" s="275"/>
      <c r="B1193" s="78"/>
      <c r="C1193" s="189"/>
      <c r="D1193" s="185"/>
      <c r="E1193" s="186"/>
      <c r="F1193" s="187"/>
    </row>
    <row r="1194" spans="1:6" x14ac:dyDescent="0.2">
      <c r="A1194" s="275"/>
      <c r="B1194" s="78"/>
      <c r="C1194" s="189"/>
      <c r="D1194" s="185"/>
      <c r="E1194" s="186"/>
      <c r="F1194" s="187"/>
    </row>
    <row r="1195" spans="1:6" x14ac:dyDescent="0.2">
      <c r="A1195" s="275"/>
      <c r="B1195" s="78"/>
      <c r="C1195" s="189"/>
      <c r="D1195" s="185"/>
      <c r="E1195" s="186"/>
      <c r="F1195" s="187"/>
    </row>
    <row r="1196" spans="1:6" x14ac:dyDescent="0.2">
      <c r="A1196" s="275"/>
      <c r="B1196" s="78"/>
      <c r="C1196" s="189"/>
      <c r="D1196" s="185"/>
      <c r="E1196" s="186"/>
      <c r="F1196" s="187"/>
    </row>
    <row r="1197" spans="1:6" x14ac:dyDescent="0.2">
      <c r="A1197" s="275"/>
      <c r="B1197" s="78"/>
      <c r="C1197" s="189"/>
      <c r="D1197" s="185"/>
      <c r="E1197" s="186"/>
      <c r="F1197" s="187"/>
    </row>
    <row r="1198" spans="1:6" x14ac:dyDescent="0.2">
      <c r="A1198" s="275"/>
      <c r="B1198" s="78"/>
      <c r="C1198" s="189"/>
      <c r="D1198" s="185"/>
      <c r="E1198" s="186"/>
      <c r="F1198" s="187"/>
    </row>
    <row r="1199" spans="1:6" x14ac:dyDescent="0.2">
      <c r="A1199" s="275"/>
      <c r="B1199" s="78"/>
      <c r="C1199" s="189"/>
      <c r="D1199" s="185"/>
      <c r="E1199" s="186"/>
      <c r="F1199" s="187"/>
    </row>
    <row r="1200" spans="1:6" x14ac:dyDescent="0.2">
      <c r="A1200" s="275"/>
      <c r="B1200" s="78"/>
      <c r="C1200" s="189"/>
      <c r="D1200" s="185"/>
      <c r="E1200" s="186"/>
      <c r="F1200" s="187"/>
    </row>
    <row r="1201" spans="1:6" x14ac:dyDescent="0.2">
      <c r="A1201" s="275"/>
      <c r="B1201" s="78"/>
      <c r="C1201" s="189"/>
      <c r="D1201" s="185"/>
      <c r="E1201" s="186"/>
      <c r="F1201" s="187"/>
    </row>
    <row r="1202" spans="1:6" x14ac:dyDescent="0.2">
      <c r="A1202" s="275"/>
      <c r="B1202" s="78"/>
      <c r="C1202" s="189"/>
      <c r="D1202" s="185"/>
      <c r="E1202" s="186"/>
      <c r="F1202" s="187"/>
    </row>
    <row r="1203" spans="1:6" x14ac:dyDescent="0.2">
      <c r="A1203" s="275"/>
      <c r="B1203" s="78"/>
      <c r="C1203" s="189"/>
      <c r="D1203" s="185"/>
      <c r="E1203" s="186"/>
      <c r="F1203" s="187"/>
    </row>
    <row r="1204" spans="1:6" x14ac:dyDescent="0.2">
      <c r="A1204" s="275"/>
      <c r="B1204" s="78"/>
      <c r="C1204" s="189"/>
      <c r="D1204" s="185"/>
      <c r="E1204" s="186"/>
      <c r="F1204" s="187"/>
    </row>
    <row r="1205" spans="1:6" x14ac:dyDescent="0.2">
      <c r="A1205" s="275"/>
      <c r="B1205" s="78"/>
      <c r="C1205" s="189"/>
      <c r="D1205" s="185"/>
      <c r="E1205" s="186"/>
      <c r="F1205" s="187"/>
    </row>
    <row r="1206" spans="1:6" x14ac:dyDescent="0.2">
      <c r="A1206" s="275"/>
      <c r="B1206" s="78"/>
      <c r="C1206" s="189"/>
      <c r="D1206" s="185"/>
      <c r="E1206" s="186"/>
      <c r="F1206" s="187"/>
    </row>
    <row r="1207" spans="1:6" x14ac:dyDescent="0.2">
      <c r="A1207" s="275"/>
      <c r="B1207" s="78"/>
      <c r="C1207" s="189"/>
      <c r="D1207" s="185"/>
      <c r="E1207" s="186"/>
      <c r="F1207" s="187"/>
    </row>
    <row r="1208" spans="1:6" x14ac:dyDescent="0.2">
      <c r="A1208" s="275"/>
      <c r="B1208" s="78"/>
      <c r="C1208" s="189"/>
      <c r="D1208" s="185"/>
      <c r="E1208" s="186"/>
      <c r="F1208" s="187"/>
    </row>
    <row r="1209" spans="1:6" x14ac:dyDescent="0.2">
      <c r="A1209" s="275"/>
      <c r="B1209" s="78"/>
      <c r="C1209" s="189"/>
      <c r="D1209" s="185"/>
      <c r="E1209" s="186"/>
      <c r="F1209" s="187"/>
    </row>
    <row r="1210" spans="1:6" x14ac:dyDescent="0.2">
      <c r="A1210" s="275"/>
      <c r="B1210" s="78"/>
      <c r="C1210" s="189"/>
      <c r="D1210" s="185"/>
      <c r="E1210" s="186"/>
      <c r="F1210" s="187"/>
    </row>
    <row r="1211" spans="1:6" x14ac:dyDescent="0.2">
      <c r="A1211" s="275"/>
      <c r="B1211" s="78"/>
      <c r="C1211" s="189"/>
      <c r="D1211" s="185"/>
      <c r="E1211" s="186"/>
      <c r="F1211" s="187"/>
    </row>
    <row r="1212" spans="1:6" x14ac:dyDescent="0.2">
      <c r="A1212" s="275"/>
      <c r="B1212" s="78"/>
      <c r="C1212" s="189"/>
      <c r="D1212" s="185"/>
      <c r="E1212" s="186"/>
      <c r="F1212" s="187"/>
    </row>
    <row r="1213" spans="1:6" x14ac:dyDescent="0.2">
      <c r="A1213" s="275"/>
      <c r="B1213" s="78"/>
      <c r="C1213" s="189"/>
      <c r="D1213" s="185"/>
      <c r="E1213" s="186"/>
      <c r="F1213" s="187"/>
    </row>
    <row r="1214" spans="1:6" x14ac:dyDescent="0.2">
      <c r="A1214" s="275"/>
      <c r="B1214" s="78"/>
      <c r="C1214" s="189"/>
      <c r="D1214" s="185"/>
      <c r="E1214" s="186"/>
      <c r="F1214" s="187"/>
    </row>
    <row r="1215" spans="1:6" x14ac:dyDescent="0.2">
      <c r="A1215" s="275"/>
      <c r="B1215" s="78"/>
      <c r="C1215" s="189"/>
      <c r="D1215" s="185"/>
      <c r="E1215" s="186"/>
      <c r="F1215" s="187"/>
    </row>
    <row r="1216" spans="1:6" x14ac:dyDescent="0.2">
      <c r="A1216" s="275"/>
      <c r="B1216" s="78"/>
      <c r="C1216" s="189"/>
      <c r="D1216" s="185"/>
      <c r="E1216" s="186"/>
      <c r="F1216" s="187"/>
    </row>
    <row r="1217" spans="1:6" x14ac:dyDescent="0.2">
      <c r="A1217" s="275"/>
      <c r="B1217" s="78"/>
      <c r="C1217" s="189"/>
      <c r="D1217" s="185"/>
      <c r="E1217" s="186"/>
      <c r="F1217" s="187"/>
    </row>
    <row r="1218" spans="1:6" x14ac:dyDescent="0.2">
      <c r="A1218" s="275"/>
      <c r="B1218" s="78"/>
      <c r="C1218" s="189"/>
      <c r="D1218" s="185"/>
      <c r="E1218" s="186"/>
      <c r="F1218" s="187"/>
    </row>
    <row r="1219" spans="1:6" x14ac:dyDescent="0.2">
      <c r="A1219" s="275"/>
      <c r="B1219" s="78"/>
      <c r="C1219" s="189"/>
      <c r="D1219" s="185"/>
      <c r="E1219" s="186"/>
      <c r="F1219" s="187"/>
    </row>
    <row r="1220" spans="1:6" x14ac:dyDescent="0.2">
      <c r="A1220" s="275"/>
      <c r="B1220" s="78"/>
      <c r="C1220" s="189"/>
      <c r="D1220" s="185"/>
      <c r="E1220" s="186"/>
      <c r="F1220" s="187"/>
    </row>
    <row r="1221" spans="1:6" x14ac:dyDescent="0.2">
      <c r="A1221" s="275"/>
      <c r="B1221" s="78"/>
      <c r="C1221" s="189"/>
      <c r="D1221" s="185"/>
      <c r="E1221" s="186"/>
      <c r="F1221" s="187"/>
    </row>
    <row r="1222" spans="1:6" x14ac:dyDescent="0.2">
      <c r="A1222" s="275"/>
      <c r="B1222" s="78"/>
      <c r="C1222" s="189"/>
      <c r="D1222" s="185"/>
      <c r="E1222" s="186"/>
      <c r="F1222" s="187"/>
    </row>
    <row r="1223" spans="1:6" x14ac:dyDescent="0.2">
      <c r="A1223" s="275"/>
      <c r="B1223" s="78"/>
      <c r="C1223" s="189"/>
      <c r="D1223" s="185"/>
      <c r="E1223" s="186"/>
      <c r="F1223" s="187"/>
    </row>
    <row r="1224" spans="1:6" x14ac:dyDescent="0.2">
      <c r="A1224" s="275"/>
      <c r="B1224" s="78"/>
      <c r="C1224" s="189"/>
      <c r="D1224" s="185"/>
      <c r="E1224" s="186"/>
      <c r="F1224" s="187"/>
    </row>
    <row r="1225" spans="1:6" x14ac:dyDescent="0.2">
      <c r="A1225" s="275"/>
      <c r="B1225" s="78"/>
      <c r="C1225" s="189"/>
      <c r="D1225" s="185"/>
      <c r="E1225" s="186"/>
      <c r="F1225" s="187"/>
    </row>
    <row r="1226" spans="1:6" x14ac:dyDescent="0.2">
      <c r="A1226" s="275"/>
      <c r="B1226" s="78"/>
      <c r="C1226" s="189"/>
      <c r="D1226" s="185"/>
      <c r="E1226" s="186"/>
      <c r="F1226" s="187"/>
    </row>
    <row r="1227" spans="1:6" x14ac:dyDescent="0.2">
      <c r="A1227" s="275"/>
      <c r="B1227" s="78"/>
      <c r="C1227" s="189"/>
      <c r="D1227" s="185"/>
      <c r="E1227" s="186"/>
      <c r="F1227" s="187"/>
    </row>
    <row r="1228" spans="1:6" x14ac:dyDescent="0.2">
      <c r="A1228" s="275"/>
      <c r="B1228" s="78"/>
      <c r="C1228" s="189"/>
      <c r="D1228" s="185"/>
      <c r="E1228" s="186"/>
      <c r="F1228" s="187"/>
    </row>
    <row r="1229" spans="1:6" x14ac:dyDescent="0.2">
      <c r="A1229" s="275"/>
      <c r="B1229" s="78"/>
      <c r="C1229" s="189"/>
      <c r="D1229" s="185"/>
      <c r="E1229" s="186"/>
      <c r="F1229" s="187"/>
    </row>
    <row r="1230" spans="1:6" x14ac:dyDescent="0.2">
      <c r="A1230" s="275"/>
      <c r="B1230" s="78"/>
      <c r="C1230" s="189"/>
      <c r="D1230" s="185"/>
      <c r="E1230" s="186"/>
      <c r="F1230" s="187"/>
    </row>
    <row r="1231" spans="1:6" x14ac:dyDescent="0.2">
      <c r="A1231" s="275"/>
      <c r="B1231" s="78"/>
      <c r="C1231" s="189"/>
      <c r="D1231" s="185"/>
      <c r="E1231" s="186"/>
      <c r="F1231" s="187"/>
    </row>
    <row r="1232" spans="1:6" x14ac:dyDescent="0.2">
      <c r="A1232" s="275"/>
      <c r="B1232" s="78"/>
      <c r="C1232" s="189"/>
      <c r="D1232" s="185"/>
      <c r="E1232" s="186"/>
      <c r="F1232" s="187"/>
    </row>
    <row r="1233" spans="1:6" x14ac:dyDescent="0.2">
      <c r="A1233" s="275"/>
      <c r="B1233" s="78"/>
      <c r="C1233" s="189"/>
      <c r="D1233" s="185"/>
      <c r="E1233" s="186"/>
      <c r="F1233" s="187"/>
    </row>
    <row r="1234" spans="1:6" x14ac:dyDescent="0.2">
      <c r="A1234" s="275"/>
      <c r="B1234" s="78"/>
      <c r="C1234" s="189"/>
      <c r="D1234" s="185"/>
      <c r="E1234" s="186"/>
      <c r="F1234" s="187"/>
    </row>
    <row r="1235" spans="1:6" x14ac:dyDescent="0.2">
      <c r="A1235" s="275"/>
      <c r="B1235" s="78"/>
      <c r="C1235" s="189"/>
      <c r="D1235" s="185"/>
      <c r="E1235" s="186"/>
      <c r="F1235" s="187"/>
    </row>
    <row r="1236" spans="1:6" x14ac:dyDescent="0.2">
      <c r="A1236" s="275"/>
      <c r="B1236" s="78"/>
      <c r="C1236" s="189"/>
      <c r="D1236" s="185"/>
      <c r="E1236" s="186"/>
      <c r="F1236" s="187"/>
    </row>
    <row r="1237" spans="1:6" x14ac:dyDescent="0.2">
      <c r="A1237" s="275"/>
      <c r="B1237" s="78"/>
      <c r="C1237" s="189"/>
      <c r="D1237" s="185"/>
      <c r="E1237" s="186"/>
      <c r="F1237" s="187"/>
    </row>
    <row r="1238" spans="1:6" x14ac:dyDescent="0.2">
      <c r="A1238" s="275"/>
      <c r="B1238" s="78"/>
      <c r="C1238" s="189"/>
      <c r="D1238" s="185"/>
      <c r="E1238" s="186"/>
      <c r="F1238" s="187"/>
    </row>
    <row r="1239" spans="1:6" x14ac:dyDescent="0.2">
      <c r="A1239" s="275"/>
      <c r="B1239" s="78"/>
      <c r="C1239" s="189"/>
      <c r="D1239" s="185"/>
      <c r="E1239" s="186"/>
      <c r="F1239" s="187"/>
    </row>
    <row r="1240" spans="1:6" x14ac:dyDescent="0.2">
      <c r="A1240" s="275"/>
      <c r="B1240" s="78"/>
      <c r="C1240" s="189"/>
      <c r="D1240" s="185"/>
      <c r="E1240" s="186"/>
      <c r="F1240" s="187"/>
    </row>
    <row r="1241" spans="1:6" x14ac:dyDescent="0.2">
      <c r="A1241" s="275"/>
      <c r="B1241" s="78"/>
      <c r="C1241" s="189"/>
      <c r="D1241" s="185"/>
      <c r="E1241" s="186"/>
      <c r="F1241" s="187"/>
    </row>
    <row r="1242" spans="1:6" x14ac:dyDescent="0.2">
      <c r="A1242" s="275"/>
      <c r="B1242" s="78"/>
      <c r="C1242" s="189"/>
      <c r="D1242" s="185"/>
      <c r="E1242" s="186"/>
      <c r="F1242" s="187"/>
    </row>
    <row r="1243" spans="1:6" x14ac:dyDescent="0.2">
      <c r="A1243" s="275"/>
      <c r="B1243" s="78"/>
      <c r="C1243" s="189"/>
      <c r="D1243" s="185"/>
      <c r="E1243" s="186"/>
      <c r="F1243" s="187"/>
    </row>
    <row r="1244" spans="1:6" x14ac:dyDescent="0.2">
      <c r="A1244" s="275"/>
      <c r="B1244" s="78"/>
      <c r="C1244" s="189"/>
      <c r="D1244" s="185"/>
      <c r="E1244" s="186"/>
      <c r="F1244" s="187"/>
    </row>
    <row r="1245" spans="1:6" x14ac:dyDescent="0.2">
      <c r="A1245" s="275"/>
      <c r="B1245" s="78"/>
      <c r="C1245" s="189"/>
      <c r="D1245" s="185"/>
      <c r="E1245" s="186"/>
      <c r="F1245" s="187"/>
    </row>
    <row r="1246" spans="1:6" x14ac:dyDescent="0.2">
      <c r="A1246" s="275"/>
      <c r="B1246" s="78"/>
      <c r="C1246" s="189"/>
      <c r="D1246" s="185"/>
      <c r="E1246" s="186"/>
      <c r="F1246" s="187"/>
    </row>
    <row r="1247" spans="1:6" x14ac:dyDescent="0.2">
      <c r="A1247" s="275"/>
      <c r="B1247" s="78"/>
      <c r="C1247" s="189"/>
      <c r="D1247" s="185"/>
      <c r="E1247" s="186"/>
      <c r="F1247" s="187"/>
    </row>
    <row r="1248" spans="1:6" x14ac:dyDescent="0.2">
      <c r="A1248" s="275"/>
      <c r="B1248" s="78"/>
      <c r="C1248" s="189"/>
      <c r="D1248" s="185"/>
      <c r="E1248" s="186"/>
      <c r="F1248" s="187"/>
    </row>
    <row r="1249" spans="1:6" x14ac:dyDescent="0.2">
      <c r="A1249" s="275"/>
      <c r="B1249" s="78"/>
      <c r="C1249" s="189"/>
      <c r="D1249" s="185"/>
      <c r="E1249" s="186"/>
      <c r="F1249" s="187"/>
    </row>
    <row r="1250" spans="1:6" x14ac:dyDescent="0.2">
      <c r="A1250" s="275"/>
      <c r="B1250" s="78"/>
      <c r="C1250" s="189"/>
      <c r="D1250" s="185"/>
      <c r="E1250" s="186"/>
      <c r="F1250" s="187"/>
    </row>
    <row r="1251" spans="1:6" x14ac:dyDescent="0.2">
      <c r="A1251" s="275"/>
      <c r="B1251" s="78"/>
      <c r="C1251" s="189"/>
      <c r="D1251" s="185"/>
      <c r="E1251" s="186"/>
      <c r="F1251" s="187"/>
    </row>
    <row r="1252" spans="1:6" x14ac:dyDescent="0.2">
      <c r="A1252" s="275"/>
      <c r="B1252" s="78"/>
      <c r="C1252" s="189"/>
      <c r="D1252" s="185"/>
      <c r="E1252" s="186"/>
      <c r="F1252" s="187"/>
    </row>
    <row r="1253" spans="1:6" x14ac:dyDescent="0.2">
      <c r="A1253" s="275"/>
      <c r="B1253" s="78"/>
      <c r="C1253" s="189"/>
      <c r="D1253" s="185"/>
      <c r="E1253" s="186"/>
      <c r="F1253" s="187"/>
    </row>
    <row r="1254" spans="1:6" x14ac:dyDescent="0.2">
      <c r="A1254" s="275"/>
      <c r="B1254" s="78"/>
      <c r="C1254" s="189"/>
      <c r="D1254" s="185"/>
      <c r="E1254" s="186"/>
      <c r="F1254" s="187"/>
    </row>
    <row r="1255" spans="1:6" x14ac:dyDescent="0.2">
      <c r="A1255" s="275"/>
      <c r="B1255" s="78"/>
      <c r="C1255" s="189"/>
      <c r="D1255" s="185"/>
      <c r="E1255" s="186"/>
      <c r="F1255" s="187"/>
    </row>
    <row r="1256" spans="1:6" x14ac:dyDescent="0.2">
      <c r="A1256" s="275"/>
      <c r="B1256" s="78"/>
      <c r="C1256" s="189"/>
      <c r="D1256" s="185"/>
      <c r="E1256" s="186"/>
      <c r="F1256" s="187"/>
    </row>
    <row r="1257" spans="1:6" x14ac:dyDescent="0.2">
      <c r="A1257" s="275"/>
      <c r="B1257" s="78"/>
      <c r="C1257" s="189"/>
      <c r="D1257" s="185"/>
      <c r="E1257" s="186"/>
      <c r="F1257" s="187"/>
    </row>
    <row r="1258" spans="1:6" x14ac:dyDescent="0.2">
      <c r="A1258" s="275"/>
      <c r="B1258" s="78"/>
      <c r="C1258" s="189"/>
      <c r="D1258" s="185"/>
      <c r="E1258" s="186"/>
      <c r="F1258" s="187"/>
    </row>
    <row r="1259" spans="1:6" x14ac:dyDescent="0.2">
      <c r="A1259" s="275"/>
      <c r="B1259" s="78"/>
      <c r="C1259" s="189"/>
      <c r="D1259" s="185"/>
      <c r="E1259" s="186"/>
      <c r="F1259" s="187"/>
    </row>
    <row r="1260" spans="1:6" x14ac:dyDescent="0.2">
      <c r="A1260" s="275"/>
      <c r="B1260" s="78"/>
      <c r="C1260" s="189"/>
      <c r="D1260" s="185"/>
      <c r="E1260" s="186"/>
      <c r="F1260" s="187"/>
    </row>
    <row r="1261" spans="1:6" x14ac:dyDescent="0.2">
      <c r="A1261" s="275"/>
      <c r="B1261" s="78"/>
      <c r="C1261" s="189"/>
      <c r="D1261" s="185"/>
      <c r="E1261" s="186"/>
      <c r="F1261" s="187"/>
    </row>
    <row r="1262" spans="1:6" x14ac:dyDescent="0.2">
      <c r="A1262" s="275"/>
      <c r="B1262" s="78"/>
      <c r="C1262" s="189"/>
      <c r="D1262" s="185"/>
      <c r="E1262" s="186"/>
      <c r="F1262" s="187"/>
    </row>
    <row r="1263" spans="1:6" x14ac:dyDescent="0.2">
      <c r="A1263" s="275"/>
      <c r="B1263" s="78"/>
      <c r="C1263" s="189"/>
      <c r="D1263" s="185"/>
      <c r="E1263" s="186"/>
      <c r="F1263" s="187"/>
    </row>
    <row r="1264" spans="1:6" x14ac:dyDescent="0.2">
      <c r="A1264" s="275"/>
      <c r="B1264" s="78"/>
      <c r="C1264" s="189"/>
      <c r="D1264" s="185"/>
      <c r="E1264" s="186"/>
      <c r="F1264" s="187"/>
    </row>
    <row r="1265" spans="1:6" x14ac:dyDescent="0.2">
      <c r="A1265" s="275"/>
      <c r="B1265" s="78"/>
      <c r="C1265" s="189"/>
      <c r="D1265" s="185"/>
      <c r="E1265" s="186"/>
      <c r="F1265" s="187"/>
    </row>
    <row r="1266" spans="1:6" x14ac:dyDescent="0.2">
      <c r="A1266" s="275"/>
      <c r="B1266" s="78"/>
      <c r="C1266" s="189"/>
      <c r="D1266" s="185"/>
      <c r="E1266" s="186"/>
      <c r="F1266" s="187"/>
    </row>
    <row r="1267" spans="1:6" x14ac:dyDescent="0.2">
      <c r="A1267" s="275"/>
      <c r="B1267" s="78"/>
      <c r="C1267" s="189"/>
      <c r="D1267" s="185"/>
      <c r="E1267" s="186"/>
      <c r="F1267" s="187"/>
    </row>
    <row r="1268" spans="1:6" x14ac:dyDescent="0.2">
      <c r="A1268" s="275"/>
      <c r="B1268" s="78"/>
      <c r="C1268" s="189"/>
      <c r="D1268" s="185"/>
      <c r="E1268" s="186"/>
      <c r="F1268" s="187"/>
    </row>
    <row r="1269" spans="1:6" x14ac:dyDescent="0.2">
      <c r="A1269" s="275"/>
      <c r="B1269" s="78"/>
      <c r="C1269" s="189"/>
      <c r="D1269" s="185"/>
      <c r="E1269" s="186"/>
      <c r="F1269" s="187"/>
    </row>
    <row r="1270" spans="1:6" x14ac:dyDescent="0.2">
      <c r="A1270" s="275"/>
      <c r="B1270" s="78"/>
      <c r="C1270" s="189"/>
      <c r="D1270" s="185"/>
      <c r="E1270" s="186"/>
      <c r="F1270" s="187"/>
    </row>
    <row r="1271" spans="1:6" x14ac:dyDescent="0.2">
      <c r="A1271" s="275"/>
      <c r="B1271" s="78"/>
      <c r="C1271" s="189"/>
      <c r="D1271" s="185"/>
      <c r="E1271" s="186"/>
      <c r="F1271" s="187"/>
    </row>
    <row r="1272" spans="1:6" x14ac:dyDescent="0.2">
      <c r="A1272" s="275"/>
      <c r="B1272" s="78"/>
      <c r="C1272" s="189"/>
      <c r="D1272" s="185"/>
      <c r="E1272" s="186"/>
      <c r="F1272" s="187"/>
    </row>
    <row r="1273" spans="1:6" x14ac:dyDescent="0.2">
      <c r="A1273" s="275"/>
      <c r="B1273" s="78"/>
      <c r="C1273" s="189"/>
      <c r="D1273" s="185"/>
      <c r="E1273" s="186"/>
      <c r="F1273" s="187"/>
    </row>
    <row r="1274" spans="1:6" x14ac:dyDescent="0.2">
      <c r="A1274" s="275"/>
      <c r="B1274" s="78"/>
      <c r="C1274" s="189"/>
      <c r="D1274" s="185"/>
      <c r="E1274" s="186"/>
      <c r="F1274" s="187"/>
    </row>
    <row r="1275" spans="1:6" x14ac:dyDescent="0.2">
      <c r="A1275" s="275"/>
      <c r="B1275" s="78"/>
      <c r="C1275" s="189"/>
      <c r="D1275" s="185"/>
      <c r="E1275" s="186"/>
      <c r="F1275" s="187"/>
    </row>
    <row r="1276" spans="1:6" x14ac:dyDescent="0.2">
      <c r="A1276" s="275"/>
      <c r="B1276" s="78"/>
      <c r="C1276" s="189"/>
      <c r="D1276" s="185"/>
      <c r="E1276" s="186"/>
      <c r="F1276" s="187"/>
    </row>
    <row r="1277" spans="1:6" x14ac:dyDescent="0.2">
      <c r="A1277" s="275"/>
      <c r="B1277" s="78"/>
      <c r="C1277" s="189"/>
      <c r="D1277" s="185"/>
      <c r="E1277" s="186"/>
      <c r="F1277" s="187"/>
    </row>
    <row r="1278" spans="1:6" x14ac:dyDescent="0.2">
      <c r="A1278" s="275"/>
      <c r="B1278" s="78"/>
      <c r="C1278" s="189"/>
      <c r="D1278" s="185"/>
      <c r="E1278" s="186"/>
      <c r="F1278" s="187"/>
    </row>
    <row r="1279" spans="1:6" x14ac:dyDescent="0.2">
      <c r="A1279" s="275"/>
      <c r="B1279" s="78"/>
      <c r="C1279" s="189"/>
      <c r="D1279" s="185"/>
      <c r="E1279" s="186"/>
      <c r="F1279" s="187"/>
    </row>
    <row r="1280" spans="1:6" x14ac:dyDescent="0.2">
      <c r="A1280" s="275"/>
      <c r="B1280" s="78"/>
      <c r="C1280" s="189"/>
      <c r="D1280" s="185"/>
      <c r="E1280" s="186"/>
      <c r="F1280" s="187"/>
    </row>
    <row r="1281" spans="1:6" x14ac:dyDescent="0.2">
      <c r="A1281" s="275"/>
      <c r="B1281" s="78"/>
      <c r="C1281" s="189"/>
      <c r="D1281" s="185"/>
      <c r="E1281" s="186"/>
      <c r="F1281" s="187"/>
    </row>
    <row r="1282" spans="1:6" x14ac:dyDescent="0.2">
      <c r="A1282" s="275"/>
      <c r="B1282" s="78"/>
      <c r="C1282" s="189"/>
      <c r="D1282" s="185"/>
      <c r="E1282" s="186"/>
      <c r="F1282" s="187"/>
    </row>
    <row r="1283" spans="1:6" x14ac:dyDescent="0.2">
      <c r="A1283" s="275"/>
      <c r="B1283" s="78"/>
      <c r="C1283" s="189"/>
      <c r="D1283" s="185"/>
      <c r="E1283" s="186"/>
      <c r="F1283" s="187"/>
    </row>
    <row r="1284" spans="1:6" x14ac:dyDescent="0.2">
      <c r="A1284" s="275"/>
      <c r="B1284" s="78"/>
      <c r="C1284" s="189"/>
      <c r="D1284" s="185"/>
      <c r="E1284" s="186"/>
      <c r="F1284" s="187"/>
    </row>
    <row r="1285" spans="1:6" x14ac:dyDescent="0.2">
      <c r="A1285" s="275"/>
      <c r="B1285" s="78"/>
      <c r="C1285" s="189"/>
      <c r="D1285" s="185"/>
      <c r="E1285" s="186"/>
      <c r="F1285" s="187"/>
    </row>
    <row r="1286" spans="1:6" x14ac:dyDescent="0.2">
      <c r="A1286" s="275"/>
      <c r="B1286" s="78"/>
      <c r="C1286" s="189"/>
      <c r="D1286" s="185"/>
      <c r="E1286" s="186"/>
      <c r="F1286" s="187"/>
    </row>
    <row r="1287" spans="1:6" x14ac:dyDescent="0.2">
      <c r="A1287" s="275"/>
      <c r="B1287" s="78"/>
      <c r="C1287" s="189"/>
      <c r="D1287" s="185"/>
      <c r="E1287" s="186"/>
      <c r="F1287" s="187"/>
    </row>
    <row r="1288" spans="1:6" x14ac:dyDescent="0.2">
      <c r="A1288" s="275"/>
      <c r="B1288" s="78"/>
      <c r="C1288" s="189"/>
      <c r="D1288" s="185"/>
      <c r="E1288" s="186"/>
      <c r="F1288" s="187"/>
    </row>
    <row r="1289" spans="1:6" x14ac:dyDescent="0.2">
      <c r="A1289" s="275"/>
      <c r="B1289" s="78"/>
      <c r="C1289" s="189"/>
      <c r="D1289" s="185"/>
      <c r="E1289" s="186"/>
      <c r="F1289" s="187"/>
    </row>
    <row r="1290" spans="1:6" x14ac:dyDescent="0.2">
      <c r="A1290" s="275"/>
      <c r="B1290" s="78"/>
      <c r="C1290" s="189"/>
      <c r="D1290" s="185"/>
      <c r="E1290" s="186"/>
      <c r="F1290" s="187"/>
    </row>
    <row r="1291" spans="1:6" x14ac:dyDescent="0.2">
      <c r="A1291" s="275"/>
      <c r="B1291" s="78"/>
      <c r="C1291" s="189"/>
      <c r="D1291" s="185"/>
      <c r="E1291" s="186"/>
      <c r="F1291" s="187"/>
    </row>
    <row r="1292" spans="1:6" x14ac:dyDescent="0.2">
      <c r="A1292" s="275"/>
      <c r="B1292" s="78"/>
      <c r="C1292" s="189"/>
      <c r="D1292" s="185"/>
      <c r="E1292" s="186"/>
      <c r="F1292" s="187"/>
    </row>
    <row r="1293" spans="1:6" x14ac:dyDescent="0.2">
      <c r="A1293" s="275"/>
      <c r="B1293" s="78"/>
      <c r="C1293" s="189"/>
      <c r="D1293" s="185"/>
      <c r="E1293" s="186"/>
      <c r="F1293" s="187"/>
    </row>
    <row r="1294" spans="1:6" x14ac:dyDescent="0.2">
      <c r="A1294" s="275"/>
      <c r="B1294" s="78"/>
      <c r="C1294" s="189"/>
      <c r="D1294" s="185"/>
      <c r="E1294" s="186"/>
      <c r="F1294" s="187"/>
    </row>
    <row r="1295" spans="1:6" x14ac:dyDescent="0.2">
      <c r="A1295" s="275"/>
      <c r="B1295" s="78"/>
      <c r="C1295" s="189"/>
      <c r="D1295" s="185"/>
      <c r="E1295" s="186"/>
      <c r="F1295" s="187"/>
    </row>
    <row r="1296" spans="1:6" x14ac:dyDescent="0.2">
      <c r="A1296" s="275"/>
      <c r="B1296" s="78"/>
      <c r="C1296" s="189"/>
      <c r="D1296" s="185"/>
      <c r="E1296" s="186"/>
      <c r="F1296" s="187"/>
    </row>
    <row r="1297" spans="1:6" x14ac:dyDescent="0.2">
      <c r="A1297" s="275"/>
      <c r="B1297" s="78"/>
      <c r="C1297" s="189"/>
      <c r="D1297" s="185"/>
      <c r="E1297" s="186"/>
      <c r="F1297" s="187"/>
    </row>
    <row r="1298" spans="1:6" x14ac:dyDescent="0.2">
      <c r="A1298" s="275"/>
      <c r="B1298" s="78"/>
      <c r="C1298" s="189"/>
      <c r="D1298" s="185"/>
      <c r="E1298" s="186"/>
      <c r="F1298" s="187"/>
    </row>
    <row r="1299" spans="1:6" x14ac:dyDescent="0.2">
      <c r="A1299" s="275"/>
      <c r="B1299" s="78"/>
      <c r="C1299" s="189"/>
      <c r="D1299" s="185"/>
      <c r="E1299" s="186"/>
      <c r="F1299" s="187"/>
    </row>
    <row r="1300" spans="1:6" x14ac:dyDescent="0.2">
      <c r="A1300" s="275"/>
      <c r="B1300" s="78"/>
      <c r="C1300" s="189"/>
      <c r="D1300" s="185"/>
      <c r="E1300" s="186"/>
      <c r="F1300" s="187"/>
    </row>
    <row r="1301" spans="1:6" x14ac:dyDescent="0.2">
      <c r="A1301" s="275"/>
      <c r="B1301" s="78"/>
      <c r="C1301" s="189"/>
      <c r="D1301" s="185"/>
      <c r="E1301" s="186"/>
      <c r="F1301" s="187"/>
    </row>
    <row r="1302" spans="1:6" x14ac:dyDescent="0.2">
      <c r="A1302" s="275"/>
      <c r="B1302" s="78"/>
      <c r="C1302" s="189"/>
      <c r="D1302" s="185"/>
      <c r="E1302" s="186"/>
      <c r="F1302" s="187"/>
    </row>
    <row r="1303" spans="1:6" x14ac:dyDescent="0.2">
      <c r="A1303" s="275"/>
      <c r="B1303" s="78"/>
      <c r="C1303" s="189"/>
      <c r="D1303" s="185"/>
      <c r="E1303" s="186"/>
      <c r="F1303" s="187"/>
    </row>
    <row r="1304" spans="1:6" x14ac:dyDescent="0.2">
      <c r="A1304" s="275"/>
      <c r="B1304" s="78"/>
      <c r="C1304" s="189"/>
      <c r="D1304" s="185"/>
      <c r="E1304" s="186"/>
      <c r="F1304" s="187"/>
    </row>
    <row r="1305" spans="1:6" x14ac:dyDescent="0.2">
      <c r="A1305" s="275"/>
      <c r="B1305" s="78"/>
      <c r="C1305" s="189"/>
      <c r="D1305" s="185"/>
      <c r="E1305" s="186"/>
      <c r="F1305" s="187"/>
    </row>
    <row r="1306" spans="1:6" x14ac:dyDescent="0.2">
      <c r="A1306" s="275"/>
      <c r="B1306" s="78"/>
      <c r="C1306" s="189"/>
      <c r="D1306" s="185"/>
      <c r="E1306" s="186"/>
      <c r="F1306" s="187"/>
    </row>
    <row r="1307" spans="1:6" x14ac:dyDescent="0.2">
      <c r="A1307" s="275"/>
      <c r="B1307" s="78"/>
      <c r="C1307" s="189"/>
      <c r="D1307" s="185"/>
      <c r="E1307" s="186"/>
      <c r="F1307" s="187"/>
    </row>
    <row r="1308" spans="1:6" x14ac:dyDescent="0.2">
      <c r="A1308" s="275"/>
      <c r="B1308" s="78"/>
      <c r="C1308" s="189"/>
      <c r="D1308" s="185"/>
      <c r="E1308" s="186"/>
      <c r="F1308" s="187"/>
    </row>
    <row r="1309" spans="1:6" x14ac:dyDescent="0.2">
      <c r="A1309" s="275"/>
      <c r="B1309" s="78"/>
      <c r="C1309" s="189"/>
      <c r="D1309" s="185"/>
      <c r="E1309" s="186"/>
      <c r="F1309" s="187"/>
    </row>
    <row r="1310" spans="1:6" x14ac:dyDescent="0.2">
      <c r="A1310" s="275"/>
      <c r="B1310" s="78"/>
      <c r="C1310" s="189"/>
      <c r="D1310" s="185"/>
      <c r="E1310" s="186"/>
      <c r="F1310" s="187"/>
    </row>
    <row r="1311" spans="1:6" x14ac:dyDescent="0.2">
      <c r="A1311" s="275"/>
      <c r="B1311" s="78"/>
      <c r="C1311" s="189"/>
      <c r="D1311" s="185"/>
      <c r="E1311" s="186"/>
      <c r="F1311" s="187"/>
    </row>
    <row r="1312" spans="1:6" x14ac:dyDescent="0.2">
      <c r="A1312" s="275"/>
      <c r="B1312" s="78"/>
      <c r="C1312" s="189"/>
      <c r="D1312" s="185"/>
      <c r="E1312" s="186"/>
      <c r="F1312" s="187"/>
    </row>
    <row r="1313" spans="1:6" x14ac:dyDescent="0.2">
      <c r="A1313" s="275"/>
      <c r="B1313" s="78"/>
      <c r="C1313" s="189"/>
      <c r="D1313" s="185"/>
      <c r="E1313" s="186"/>
      <c r="F1313" s="187"/>
    </row>
    <row r="1314" spans="1:6" x14ac:dyDescent="0.2">
      <c r="A1314" s="275"/>
      <c r="B1314" s="78"/>
      <c r="C1314" s="189"/>
      <c r="D1314" s="185"/>
      <c r="E1314" s="186"/>
      <c r="F1314" s="187"/>
    </row>
    <row r="1315" spans="1:6" x14ac:dyDescent="0.2">
      <c r="A1315" s="275"/>
      <c r="B1315" s="78"/>
      <c r="C1315" s="189"/>
      <c r="D1315" s="185"/>
      <c r="E1315" s="186"/>
      <c r="F1315" s="187"/>
    </row>
    <row r="1316" spans="1:6" x14ac:dyDescent="0.2">
      <c r="A1316" s="275"/>
      <c r="B1316" s="78"/>
      <c r="C1316" s="189"/>
      <c r="D1316" s="185"/>
      <c r="E1316" s="186"/>
      <c r="F1316" s="187"/>
    </row>
    <row r="1317" spans="1:6" x14ac:dyDescent="0.2">
      <c r="A1317" s="275"/>
      <c r="B1317" s="78"/>
      <c r="C1317" s="189"/>
      <c r="D1317" s="185"/>
      <c r="E1317" s="186"/>
      <c r="F1317" s="187"/>
    </row>
    <row r="1318" spans="1:6" x14ac:dyDescent="0.2">
      <c r="A1318" s="275"/>
      <c r="B1318" s="78"/>
      <c r="C1318" s="189"/>
      <c r="D1318" s="185"/>
      <c r="E1318" s="186"/>
      <c r="F1318" s="187"/>
    </row>
    <row r="1319" spans="1:6" x14ac:dyDescent="0.2">
      <c r="A1319" s="275"/>
      <c r="B1319" s="78"/>
      <c r="C1319" s="189"/>
      <c r="D1319" s="185"/>
      <c r="E1319" s="186"/>
      <c r="F1319" s="187"/>
    </row>
    <row r="1320" spans="1:6" x14ac:dyDescent="0.2">
      <c r="A1320" s="275"/>
      <c r="B1320" s="78"/>
      <c r="C1320" s="189"/>
      <c r="D1320" s="185"/>
      <c r="E1320" s="186"/>
      <c r="F1320" s="187"/>
    </row>
    <row r="1321" spans="1:6" x14ac:dyDescent="0.2">
      <c r="A1321" s="275"/>
      <c r="B1321" s="78"/>
      <c r="C1321" s="189"/>
      <c r="D1321" s="185"/>
      <c r="E1321" s="186"/>
      <c r="F1321" s="187"/>
    </row>
    <row r="1322" spans="1:6" x14ac:dyDescent="0.2">
      <c r="A1322" s="275"/>
      <c r="B1322" s="78"/>
      <c r="C1322" s="189"/>
      <c r="D1322" s="185"/>
      <c r="E1322" s="186"/>
      <c r="F1322" s="187"/>
    </row>
    <row r="1323" spans="1:6" x14ac:dyDescent="0.2">
      <c r="A1323" s="275"/>
      <c r="B1323" s="78"/>
      <c r="C1323" s="189"/>
      <c r="D1323" s="185"/>
      <c r="E1323" s="186"/>
      <c r="F1323" s="187"/>
    </row>
    <row r="1324" spans="1:6" x14ac:dyDescent="0.2">
      <c r="A1324" s="275"/>
      <c r="B1324" s="78"/>
      <c r="C1324" s="189"/>
      <c r="D1324" s="185"/>
      <c r="E1324" s="186"/>
      <c r="F1324" s="187"/>
    </row>
    <row r="1325" spans="1:6" x14ac:dyDescent="0.2">
      <c r="A1325" s="275"/>
      <c r="B1325" s="78"/>
      <c r="C1325" s="189"/>
      <c r="D1325" s="185"/>
      <c r="E1325" s="186"/>
      <c r="F1325" s="187"/>
    </row>
    <row r="1326" spans="1:6" x14ac:dyDescent="0.2">
      <c r="A1326" s="275"/>
      <c r="B1326" s="78"/>
      <c r="C1326" s="189"/>
      <c r="D1326" s="185"/>
      <c r="E1326" s="186"/>
      <c r="F1326" s="187"/>
    </row>
    <row r="1327" spans="1:6" x14ac:dyDescent="0.2">
      <c r="A1327" s="275"/>
      <c r="B1327" s="78"/>
      <c r="C1327" s="189"/>
      <c r="D1327" s="185"/>
      <c r="E1327" s="186"/>
      <c r="F1327" s="187"/>
    </row>
    <row r="1328" spans="1:6" x14ac:dyDescent="0.2">
      <c r="A1328" s="275"/>
      <c r="B1328" s="78"/>
      <c r="C1328" s="189"/>
      <c r="D1328" s="185"/>
      <c r="E1328" s="186"/>
      <c r="F1328" s="187"/>
    </row>
    <row r="1329" spans="1:6" x14ac:dyDescent="0.2">
      <c r="A1329" s="275"/>
      <c r="B1329" s="78"/>
      <c r="C1329" s="189"/>
      <c r="D1329" s="185"/>
      <c r="E1329" s="186"/>
      <c r="F1329" s="187"/>
    </row>
    <row r="1330" spans="1:6" x14ac:dyDescent="0.2">
      <c r="A1330" s="275"/>
      <c r="B1330" s="78"/>
      <c r="C1330" s="189"/>
      <c r="D1330" s="185"/>
      <c r="E1330" s="186"/>
      <c r="F1330" s="187"/>
    </row>
    <row r="1331" spans="1:6" x14ac:dyDescent="0.2">
      <c r="A1331" s="275"/>
      <c r="B1331" s="78"/>
      <c r="C1331" s="189"/>
      <c r="D1331" s="185"/>
      <c r="E1331" s="186"/>
      <c r="F1331" s="187"/>
    </row>
    <row r="1332" spans="1:6" x14ac:dyDescent="0.2">
      <c r="A1332" s="275"/>
      <c r="B1332" s="78"/>
      <c r="C1332" s="189"/>
      <c r="D1332" s="185"/>
      <c r="E1332" s="186"/>
      <c r="F1332" s="187"/>
    </row>
    <row r="1333" spans="1:6" x14ac:dyDescent="0.2">
      <c r="A1333" s="275"/>
      <c r="B1333" s="78"/>
      <c r="C1333" s="189"/>
      <c r="D1333" s="185"/>
      <c r="E1333" s="186"/>
      <c r="F1333" s="187"/>
    </row>
    <row r="1334" spans="1:6" x14ac:dyDescent="0.2">
      <c r="A1334" s="275"/>
      <c r="B1334" s="78"/>
      <c r="C1334" s="189"/>
      <c r="D1334" s="185"/>
      <c r="E1334" s="186"/>
      <c r="F1334" s="187"/>
    </row>
    <row r="1335" spans="1:6" x14ac:dyDescent="0.2">
      <c r="A1335" s="275"/>
      <c r="B1335" s="78"/>
      <c r="C1335" s="189"/>
      <c r="D1335" s="185"/>
      <c r="E1335" s="186"/>
      <c r="F1335" s="187"/>
    </row>
    <row r="1336" spans="1:6" x14ac:dyDescent="0.2">
      <c r="A1336" s="275"/>
      <c r="B1336" s="78"/>
      <c r="C1336" s="189"/>
      <c r="D1336" s="185"/>
      <c r="E1336" s="186"/>
      <c r="F1336" s="187"/>
    </row>
    <row r="1337" spans="1:6" x14ac:dyDescent="0.2">
      <c r="A1337" s="275"/>
      <c r="B1337" s="78"/>
      <c r="C1337" s="189"/>
      <c r="D1337" s="185"/>
      <c r="E1337" s="186"/>
      <c r="F1337" s="187"/>
    </row>
    <row r="1338" spans="1:6" x14ac:dyDescent="0.2">
      <c r="A1338" s="275"/>
      <c r="B1338" s="78"/>
      <c r="C1338" s="189"/>
      <c r="D1338" s="185"/>
      <c r="E1338" s="186"/>
      <c r="F1338" s="187"/>
    </row>
    <row r="1339" spans="1:6" x14ac:dyDescent="0.2">
      <c r="A1339" s="275"/>
      <c r="B1339" s="78"/>
      <c r="C1339" s="189"/>
      <c r="D1339" s="185"/>
      <c r="E1339" s="186"/>
      <c r="F1339" s="187"/>
    </row>
    <row r="1340" spans="1:6" x14ac:dyDescent="0.2">
      <c r="A1340" s="275"/>
      <c r="B1340" s="78"/>
      <c r="C1340" s="189"/>
      <c r="D1340" s="185"/>
      <c r="E1340" s="186"/>
      <c r="F1340" s="187"/>
    </row>
    <row r="1341" spans="1:6" x14ac:dyDescent="0.2">
      <c r="A1341" s="275"/>
      <c r="B1341" s="78"/>
      <c r="C1341" s="189"/>
      <c r="D1341" s="185"/>
      <c r="E1341" s="186"/>
      <c r="F1341" s="187"/>
    </row>
    <row r="1342" spans="1:6" x14ac:dyDescent="0.2">
      <c r="A1342" s="275"/>
      <c r="B1342" s="78"/>
      <c r="C1342" s="189"/>
      <c r="D1342" s="185"/>
      <c r="E1342" s="186"/>
      <c r="F1342" s="187"/>
    </row>
    <row r="1343" spans="1:6" x14ac:dyDescent="0.2">
      <c r="A1343" s="275"/>
      <c r="B1343" s="78"/>
      <c r="C1343" s="189"/>
      <c r="D1343" s="185"/>
      <c r="E1343" s="186"/>
      <c r="F1343" s="187"/>
    </row>
    <row r="1344" spans="1:6" x14ac:dyDescent="0.2">
      <c r="A1344" s="275"/>
      <c r="B1344" s="78"/>
      <c r="C1344" s="189"/>
      <c r="D1344" s="185"/>
      <c r="E1344" s="186"/>
      <c r="F1344" s="187"/>
    </row>
    <row r="1345" spans="1:6" x14ac:dyDescent="0.2">
      <c r="A1345" s="275"/>
      <c r="B1345" s="78"/>
      <c r="C1345" s="189"/>
      <c r="D1345" s="185"/>
      <c r="E1345" s="186"/>
      <c r="F1345" s="187"/>
    </row>
    <row r="1346" spans="1:6" x14ac:dyDescent="0.2">
      <c r="A1346" s="275"/>
      <c r="B1346" s="78"/>
      <c r="C1346" s="189"/>
      <c r="D1346" s="185"/>
      <c r="E1346" s="186"/>
      <c r="F1346" s="187"/>
    </row>
    <row r="1347" spans="1:6" x14ac:dyDescent="0.2">
      <c r="A1347" s="275"/>
      <c r="B1347" s="78"/>
      <c r="C1347" s="189"/>
      <c r="D1347" s="185"/>
      <c r="E1347" s="186"/>
      <c r="F1347" s="187"/>
    </row>
    <row r="1348" spans="1:6" x14ac:dyDescent="0.2">
      <c r="A1348" s="275"/>
      <c r="B1348" s="78"/>
      <c r="C1348" s="189"/>
      <c r="D1348" s="185"/>
      <c r="E1348" s="186"/>
      <c r="F1348" s="187"/>
    </row>
    <row r="1349" spans="1:6" x14ac:dyDescent="0.2">
      <c r="A1349" s="275"/>
      <c r="B1349" s="78"/>
      <c r="C1349" s="189"/>
      <c r="D1349" s="185"/>
      <c r="E1349" s="186"/>
      <c r="F1349" s="187"/>
    </row>
    <row r="1350" spans="1:6" x14ac:dyDescent="0.2">
      <c r="A1350" s="275"/>
      <c r="B1350" s="78"/>
      <c r="C1350" s="189"/>
      <c r="D1350" s="185"/>
      <c r="E1350" s="186"/>
      <c r="F1350" s="187"/>
    </row>
    <row r="1351" spans="1:6" x14ac:dyDescent="0.2">
      <c r="A1351" s="275"/>
      <c r="B1351" s="78"/>
      <c r="C1351" s="189"/>
      <c r="D1351" s="185"/>
      <c r="E1351" s="186"/>
      <c r="F1351" s="187"/>
    </row>
    <row r="1352" spans="1:6" x14ac:dyDescent="0.2">
      <c r="A1352" s="275"/>
      <c r="B1352" s="78"/>
      <c r="C1352" s="189"/>
      <c r="D1352" s="185"/>
      <c r="E1352" s="186"/>
      <c r="F1352" s="187"/>
    </row>
    <row r="1353" spans="1:6" x14ac:dyDescent="0.2">
      <c r="A1353" s="275"/>
      <c r="B1353" s="78"/>
      <c r="C1353" s="189"/>
      <c r="D1353" s="185"/>
      <c r="E1353" s="186"/>
      <c r="F1353" s="187"/>
    </row>
    <row r="1354" spans="1:6" x14ac:dyDescent="0.2">
      <c r="A1354" s="275"/>
      <c r="B1354" s="78"/>
      <c r="C1354" s="189"/>
      <c r="D1354" s="185"/>
      <c r="E1354" s="186"/>
      <c r="F1354" s="187"/>
    </row>
    <row r="1355" spans="1:6" x14ac:dyDescent="0.2">
      <c r="A1355" s="275"/>
      <c r="B1355" s="78"/>
      <c r="C1355" s="189"/>
      <c r="D1355" s="185"/>
      <c r="E1355" s="186"/>
      <c r="F1355" s="187"/>
    </row>
    <row r="1356" spans="1:6" x14ac:dyDescent="0.2">
      <c r="A1356" s="275"/>
      <c r="B1356" s="78"/>
      <c r="C1356" s="189"/>
      <c r="D1356" s="185"/>
      <c r="E1356" s="186"/>
      <c r="F1356" s="187"/>
    </row>
    <row r="1357" spans="1:6" x14ac:dyDescent="0.2">
      <c r="A1357" s="275"/>
      <c r="B1357" s="78"/>
      <c r="C1357" s="189"/>
      <c r="D1357" s="185"/>
      <c r="E1357" s="186"/>
      <c r="F1357" s="187"/>
    </row>
    <row r="1358" spans="1:6" x14ac:dyDescent="0.2">
      <c r="A1358" s="275"/>
      <c r="B1358" s="78"/>
      <c r="C1358" s="189"/>
      <c r="D1358" s="185"/>
      <c r="E1358" s="186"/>
      <c r="F1358" s="187"/>
    </row>
    <row r="1359" spans="1:6" x14ac:dyDescent="0.2">
      <c r="A1359" s="275"/>
      <c r="B1359" s="78"/>
      <c r="C1359" s="189"/>
      <c r="D1359" s="185"/>
      <c r="E1359" s="186"/>
      <c r="F1359" s="187"/>
    </row>
    <row r="1360" spans="1:6" x14ac:dyDescent="0.2">
      <c r="A1360" s="275"/>
      <c r="B1360" s="78"/>
      <c r="C1360" s="189"/>
      <c r="D1360" s="185"/>
      <c r="E1360" s="186"/>
      <c r="F1360" s="187"/>
    </row>
    <row r="1361" spans="1:6" x14ac:dyDescent="0.2">
      <c r="A1361" s="275"/>
      <c r="B1361" s="78"/>
      <c r="C1361" s="189"/>
      <c r="D1361" s="185"/>
      <c r="E1361" s="186"/>
      <c r="F1361" s="187"/>
    </row>
    <row r="1362" spans="1:6" x14ac:dyDescent="0.2">
      <c r="A1362" s="275"/>
      <c r="B1362" s="78"/>
      <c r="C1362" s="189"/>
      <c r="D1362" s="185"/>
      <c r="E1362" s="186"/>
      <c r="F1362" s="187"/>
    </row>
    <row r="1363" spans="1:6" x14ac:dyDescent="0.2">
      <c r="A1363" s="275"/>
      <c r="B1363" s="78"/>
      <c r="C1363" s="189"/>
      <c r="D1363" s="185"/>
      <c r="E1363" s="186"/>
      <c r="F1363" s="187"/>
    </row>
    <row r="1364" spans="1:6" x14ac:dyDescent="0.2">
      <c r="A1364" s="275"/>
      <c r="B1364" s="78"/>
      <c r="C1364" s="189"/>
      <c r="D1364" s="185"/>
      <c r="E1364" s="186"/>
      <c r="F1364" s="187"/>
    </row>
    <row r="1365" spans="1:6" x14ac:dyDescent="0.2">
      <c r="A1365" s="275"/>
      <c r="B1365" s="78"/>
      <c r="C1365" s="189"/>
      <c r="D1365" s="185"/>
      <c r="E1365" s="186"/>
      <c r="F1365" s="187"/>
    </row>
    <row r="1366" spans="1:6" x14ac:dyDescent="0.2">
      <c r="A1366" s="275"/>
      <c r="B1366" s="78"/>
      <c r="C1366" s="189"/>
      <c r="D1366" s="185"/>
      <c r="E1366" s="186"/>
      <c r="F1366" s="187"/>
    </row>
    <row r="1367" spans="1:6" x14ac:dyDescent="0.2">
      <c r="A1367" s="275"/>
      <c r="B1367" s="78"/>
      <c r="C1367" s="189"/>
      <c r="D1367" s="185"/>
      <c r="E1367" s="186"/>
      <c r="F1367" s="187"/>
    </row>
    <row r="1368" spans="1:6" x14ac:dyDescent="0.2">
      <c r="A1368" s="275"/>
      <c r="B1368" s="78"/>
      <c r="C1368" s="189"/>
      <c r="D1368" s="185"/>
      <c r="E1368" s="186"/>
      <c r="F1368" s="187"/>
    </row>
    <row r="1369" spans="1:6" x14ac:dyDescent="0.2">
      <c r="A1369" s="275"/>
      <c r="B1369" s="78"/>
      <c r="C1369" s="189"/>
      <c r="D1369" s="185"/>
      <c r="E1369" s="186"/>
      <c r="F1369" s="187"/>
    </row>
    <row r="1370" spans="1:6" x14ac:dyDescent="0.2">
      <c r="A1370" s="275"/>
      <c r="B1370" s="78"/>
      <c r="C1370" s="189"/>
      <c r="D1370" s="185"/>
      <c r="E1370" s="186"/>
      <c r="F1370" s="187"/>
    </row>
    <row r="1371" spans="1:6" x14ac:dyDescent="0.2">
      <c r="A1371" s="275"/>
      <c r="B1371" s="78"/>
      <c r="C1371" s="189"/>
      <c r="D1371" s="185"/>
      <c r="E1371" s="186"/>
      <c r="F1371" s="187"/>
    </row>
    <row r="1372" spans="1:6" x14ac:dyDescent="0.2">
      <c r="A1372" s="275"/>
      <c r="B1372" s="78"/>
      <c r="C1372" s="189"/>
      <c r="D1372" s="185"/>
      <c r="E1372" s="186"/>
      <c r="F1372" s="187"/>
    </row>
    <row r="1373" spans="1:6" x14ac:dyDescent="0.2">
      <c r="A1373" s="275"/>
      <c r="B1373" s="78"/>
      <c r="C1373" s="189"/>
      <c r="D1373" s="185"/>
      <c r="E1373" s="186"/>
      <c r="F1373" s="187"/>
    </row>
    <row r="1374" spans="1:6" x14ac:dyDescent="0.2">
      <c r="A1374" s="275"/>
      <c r="B1374" s="78"/>
      <c r="C1374" s="189"/>
      <c r="D1374" s="185"/>
      <c r="E1374" s="186"/>
      <c r="F1374" s="187"/>
    </row>
    <row r="1375" spans="1:6" x14ac:dyDescent="0.2">
      <c r="A1375" s="275"/>
      <c r="B1375" s="78"/>
      <c r="C1375" s="189"/>
      <c r="D1375" s="185"/>
      <c r="E1375" s="186"/>
      <c r="F1375" s="187"/>
    </row>
    <row r="1376" spans="1:6" x14ac:dyDescent="0.2">
      <c r="A1376" s="275"/>
      <c r="B1376" s="78"/>
      <c r="C1376" s="189"/>
      <c r="D1376" s="185"/>
      <c r="E1376" s="186"/>
      <c r="F1376" s="187"/>
    </row>
    <row r="1377" spans="1:6" x14ac:dyDescent="0.2">
      <c r="A1377" s="275"/>
      <c r="B1377" s="78"/>
      <c r="C1377" s="189"/>
      <c r="D1377" s="185"/>
      <c r="E1377" s="186"/>
      <c r="F1377" s="187"/>
    </row>
    <row r="1378" spans="1:6" x14ac:dyDescent="0.2">
      <c r="A1378" s="275"/>
      <c r="B1378" s="78"/>
      <c r="C1378" s="189"/>
      <c r="D1378" s="185"/>
      <c r="E1378" s="186"/>
      <c r="F1378" s="187"/>
    </row>
    <row r="1379" spans="1:6" x14ac:dyDescent="0.2">
      <c r="A1379" s="275"/>
      <c r="B1379" s="78"/>
      <c r="C1379" s="189"/>
      <c r="D1379" s="185"/>
      <c r="E1379" s="186"/>
      <c r="F1379" s="187"/>
    </row>
    <row r="1380" spans="1:6" x14ac:dyDescent="0.2">
      <c r="A1380" s="275"/>
      <c r="B1380" s="78"/>
      <c r="C1380" s="189"/>
      <c r="D1380" s="185"/>
      <c r="E1380" s="186"/>
      <c r="F1380" s="187"/>
    </row>
    <row r="1381" spans="1:6" x14ac:dyDescent="0.2">
      <c r="A1381" s="275"/>
      <c r="B1381" s="78"/>
      <c r="C1381" s="189"/>
      <c r="D1381" s="185"/>
      <c r="E1381" s="186"/>
      <c r="F1381" s="187"/>
    </row>
    <row r="1382" spans="1:6" x14ac:dyDescent="0.2">
      <c r="A1382" s="275"/>
      <c r="B1382" s="78"/>
      <c r="C1382" s="189"/>
      <c r="D1382" s="185"/>
      <c r="E1382" s="186"/>
      <c r="F1382" s="187"/>
    </row>
    <row r="1383" spans="1:6" x14ac:dyDescent="0.2">
      <c r="A1383" s="275"/>
      <c r="B1383" s="78"/>
      <c r="C1383" s="189"/>
      <c r="D1383" s="185"/>
      <c r="E1383" s="186"/>
      <c r="F1383" s="187"/>
    </row>
    <row r="1384" spans="1:6" x14ac:dyDescent="0.2">
      <c r="A1384" s="275"/>
      <c r="B1384" s="78"/>
      <c r="C1384" s="189"/>
      <c r="D1384" s="185"/>
      <c r="E1384" s="186"/>
      <c r="F1384" s="187"/>
    </row>
    <row r="1385" spans="1:6" x14ac:dyDescent="0.2">
      <c r="A1385" s="275"/>
      <c r="B1385" s="78"/>
      <c r="C1385" s="189"/>
      <c r="D1385" s="185"/>
      <c r="E1385" s="186"/>
      <c r="F1385" s="187"/>
    </row>
    <row r="1386" spans="1:6" x14ac:dyDescent="0.2">
      <c r="A1386" s="275"/>
      <c r="B1386" s="78"/>
      <c r="C1386" s="189"/>
      <c r="D1386" s="185"/>
      <c r="E1386" s="186"/>
      <c r="F1386" s="187"/>
    </row>
    <row r="1387" spans="1:6" x14ac:dyDescent="0.2">
      <c r="A1387" s="275"/>
      <c r="B1387" s="78"/>
      <c r="C1387" s="189"/>
      <c r="D1387" s="185"/>
      <c r="E1387" s="186"/>
      <c r="F1387" s="187"/>
    </row>
    <row r="1388" spans="1:6" x14ac:dyDescent="0.2">
      <c r="A1388" s="275"/>
      <c r="B1388" s="78"/>
      <c r="C1388" s="189"/>
      <c r="D1388" s="185"/>
      <c r="E1388" s="186"/>
      <c r="F1388" s="187"/>
    </row>
    <row r="1389" spans="1:6" x14ac:dyDescent="0.2">
      <c r="A1389" s="275"/>
      <c r="B1389" s="78"/>
      <c r="C1389" s="189"/>
      <c r="D1389" s="185"/>
      <c r="E1389" s="186"/>
      <c r="F1389" s="187"/>
    </row>
    <row r="1390" spans="1:6" x14ac:dyDescent="0.2">
      <c r="A1390" s="275"/>
      <c r="B1390" s="78"/>
      <c r="C1390" s="189"/>
      <c r="D1390" s="185"/>
      <c r="E1390" s="186"/>
      <c r="F1390" s="187"/>
    </row>
    <row r="1391" spans="1:6" x14ac:dyDescent="0.2">
      <c r="A1391" s="275"/>
      <c r="B1391" s="78"/>
      <c r="C1391" s="189"/>
      <c r="D1391" s="185"/>
      <c r="E1391" s="186"/>
      <c r="F1391" s="187"/>
    </row>
    <row r="1392" spans="1:6" x14ac:dyDescent="0.2">
      <c r="A1392" s="275"/>
      <c r="B1392" s="78"/>
      <c r="C1392" s="189"/>
      <c r="D1392" s="185"/>
      <c r="E1392" s="186"/>
      <c r="F1392" s="187"/>
    </row>
    <row r="1393" spans="1:6" x14ac:dyDescent="0.2">
      <c r="A1393" s="275"/>
      <c r="B1393" s="78"/>
      <c r="C1393" s="189"/>
      <c r="D1393" s="185"/>
      <c r="E1393" s="186"/>
      <c r="F1393" s="187"/>
    </row>
    <row r="1394" spans="1:6" x14ac:dyDescent="0.2">
      <c r="A1394" s="275"/>
      <c r="B1394" s="78"/>
      <c r="C1394" s="189"/>
      <c r="D1394" s="185"/>
      <c r="E1394" s="186"/>
      <c r="F1394" s="187"/>
    </row>
    <row r="1395" spans="1:6" x14ac:dyDescent="0.2">
      <c r="A1395" s="275"/>
      <c r="B1395" s="78"/>
      <c r="C1395" s="189"/>
      <c r="D1395" s="185"/>
      <c r="E1395" s="186"/>
      <c r="F1395" s="187"/>
    </row>
    <row r="1396" spans="1:6" x14ac:dyDescent="0.2">
      <c r="A1396" s="275"/>
      <c r="B1396" s="78"/>
      <c r="C1396" s="189"/>
      <c r="D1396" s="185"/>
      <c r="E1396" s="186"/>
      <c r="F1396" s="187"/>
    </row>
    <row r="1397" spans="1:6" x14ac:dyDescent="0.2">
      <c r="A1397" s="275"/>
      <c r="B1397" s="78"/>
      <c r="C1397" s="189"/>
      <c r="D1397" s="185"/>
      <c r="E1397" s="186"/>
      <c r="F1397" s="187"/>
    </row>
    <row r="1398" spans="1:6" x14ac:dyDescent="0.2">
      <c r="A1398" s="275"/>
      <c r="B1398" s="78"/>
      <c r="C1398" s="189"/>
      <c r="D1398" s="185"/>
      <c r="E1398" s="186"/>
      <c r="F1398" s="187"/>
    </row>
    <row r="1399" spans="1:6" x14ac:dyDescent="0.2">
      <c r="A1399" s="275"/>
      <c r="B1399" s="78"/>
      <c r="C1399" s="189"/>
      <c r="D1399" s="185"/>
      <c r="E1399" s="186"/>
      <c r="F1399" s="187"/>
    </row>
    <row r="1400" spans="1:6" x14ac:dyDescent="0.2">
      <c r="A1400" s="275"/>
      <c r="B1400" s="78"/>
      <c r="C1400" s="189"/>
      <c r="D1400" s="185"/>
      <c r="E1400" s="186"/>
      <c r="F1400" s="187"/>
    </row>
    <row r="1401" spans="1:6" x14ac:dyDescent="0.2">
      <c r="A1401" s="275"/>
      <c r="B1401" s="78"/>
      <c r="C1401" s="189"/>
      <c r="D1401" s="185"/>
      <c r="E1401" s="186"/>
      <c r="F1401" s="187"/>
    </row>
    <row r="1402" spans="1:6" x14ac:dyDescent="0.2">
      <c r="A1402" s="275"/>
      <c r="B1402" s="78"/>
      <c r="C1402" s="189"/>
      <c r="D1402" s="185"/>
      <c r="E1402" s="186"/>
      <c r="F1402" s="187"/>
    </row>
    <row r="1403" spans="1:6" x14ac:dyDescent="0.2">
      <c r="A1403" s="275"/>
      <c r="B1403" s="78"/>
      <c r="C1403" s="189"/>
      <c r="D1403" s="185"/>
      <c r="E1403" s="186"/>
      <c r="F1403" s="187"/>
    </row>
    <row r="1404" spans="1:6" x14ac:dyDescent="0.2">
      <c r="A1404" s="275"/>
      <c r="B1404" s="78"/>
      <c r="C1404" s="189"/>
      <c r="D1404" s="185"/>
      <c r="E1404" s="186"/>
      <c r="F1404" s="187"/>
    </row>
    <row r="1405" spans="1:6" x14ac:dyDescent="0.2">
      <c r="A1405" s="275"/>
      <c r="B1405" s="78"/>
      <c r="C1405" s="189"/>
      <c r="D1405" s="185"/>
      <c r="E1405" s="186"/>
      <c r="F1405" s="187"/>
    </row>
    <row r="1406" spans="1:6" x14ac:dyDescent="0.2">
      <c r="A1406" s="275"/>
      <c r="B1406" s="78"/>
      <c r="C1406" s="189"/>
      <c r="D1406" s="185"/>
      <c r="E1406" s="186"/>
      <c r="F1406" s="187"/>
    </row>
    <row r="1407" spans="1:6" x14ac:dyDescent="0.2">
      <c r="A1407" s="275"/>
      <c r="B1407" s="78"/>
      <c r="C1407" s="189"/>
      <c r="D1407" s="185"/>
      <c r="E1407" s="186"/>
      <c r="F1407" s="187"/>
    </row>
    <row r="1408" spans="1:6" x14ac:dyDescent="0.2">
      <c r="A1408" s="275"/>
      <c r="B1408" s="78"/>
      <c r="C1408" s="189"/>
      <c r="D1408" s="185"/>
      <c r="E1408" s="186"/>
      <c r="F1408" s="187"/>
    </row>
    <row r="1409" spans="1:6" x14ac:dyDescent="0.2">
      <c r="A1409" s="275"/>
      <c r="B1409" s="78"/>
      <c r="C1409" s="189"/>
      <c r="D1409" s="185"/>
      <c r="E1409" s="186"/>
      <c r="F1409" s="187"/>
    </row>
    <row r="1410" spans="1:6" x14ac:dyDescent="0.2">
      <c r="A1410" s="275"/>
      <c r="B1410" s="78"/>
      <c r="C1410" s="189"/>
      <c r="D1410" s="185"/>
      <c r="E1410" s="186"/>
      <c r="F1410" s="187"/>
    </row>
    <row r="1411" spans="1:6" x14ac:dyDescent="0.2">
      <c r="A1411" s="275"/>
      <c r="B1411" s="78"/>
      <c r="C1411" s="189"/>
      <c r="D1411" s="185"/>
      <c r="E1411" s="186"/>
      <c r="F1411" s="187"/>
    </row>
    <row r="1412" spans="1:6" x14ac:dyDescent="0.2">
      <c r="A1412" s="275"/>
      <c r="B1412" s="78"/>
      <c r="C1412" s="189"/>
      <c r="D1412" s="185"/>
      <c r="E1412" s="186"/>
      <c r="F1412" s="187"/>
    </row>
    <row r="1413" spans="1:6" x14ac:dyDescent="0.2">
      <c r="A1413" s="275"/>
      <c r="B1413" s="78"/>
      <c r="C1413" s="189"/>
      <c r="D1413" s="185"/>
      <c r="E1413" s="186"/>
      <c r="F1413" s="187"/>
    </row>
    <row r="1414" spans="1:6" x14ac:dyDescent="0.2">
      <c r="A1414" s="275"/>
      <c r="B1414" s="78"/>
      <c r="C1414" s="189"/>
      <c r="D1414" s="185"/>
      <c r="E1414" s="186"/>
      <c r="F1414" s="187"/>
    </row>
    <row r="1415" spans="1:6" x14ac:dyDescent="0.2">
      <c r="A1415" s="275"/>
      <c r="B1415" s="78"/>
      <c r="C1415" s="189"/>
      <c r="D1415" s="185"/>
      <c r="E1415" s="186"/>
      <c r="F1415" s="187"/>
    </row>
    <row r="1416" spans="1:6" x14ac:dyDescent="0.2">
      <c r="A1416" s="275"/>
      <c r="B1416" s="78"/>
      <c r="C1416" s="189"/>
      <c r="D1416" s="185"/>
      <c r="E1416" s="186"/>
      <c r="F1416" s="187"/>
    </row>
    <row r="1417" spans="1:6" x14ac:dyDescent="0.2">
      <c r="A1417" s="275"/>
      <c r="B1417" s="78"/>
      <c r="C1417" s="189"/>
      <c r="D1417" s="185"/>
      <c r="E1417" s="186"/>
      <c r="F1417" s="187"/>
    </row>
    <row r="1418" spans="1:6" x14ac:dyDescent="0.2">
      <c r="A1418" s="275"/>
      <c r="B1418" s="78"/>
      <c r="C1418" s="189"/>
      <c r="D1418" s="185"/>
      <c r="E1418" s="186"/>
      <c r="F1418" s="187"/>
    </row>
    <row r="1419" spans="1:6" x14ac:dyDescent="0.2">
      <c r="A1419" s="275"/>
      <c r="B1419" s="78"/>
      <c r="C1419" s="189"/>
      <c r="D1419" s="185"/>
      <c r="E1419" s="186"/>
      <c r="F1419" s="187"/>
    </row>
    <row r="1420" spans="1:6" x14ac:dyDescent="0.2">
      <c r="A1420" s="275"/>
      <c r="B1420" s="78"/>
      <c r="C1420" s="189"/>
      <c r="D1420" s="185"/>
      <c r="E1420" s="186"/>
      <c r="F1420" s="187"/>
    </row>
    <row r="1421" spans="1:6" x14ac:dyDescent="0.2">
      <c r="A1421" s="275"/>
      <c r="B1421" s="78"/>
      <c r="C1421" s="189"/>
      <c r="D1421" s="185"/>
      <c r="E1421" s="186"/>
      <c r="F1421" s="187"/>
    </row>
    <row r="1422" spans="1:6" x14ac:dyDescent="0.2">
      <c r="A1422" s="275"/>
      <c r="B1422" s="78"/>
      <c r="C1422" s="189"/>
      <c r="D1422" s="185"/>
      <c r="E1422" s="186"/>
      <c r="F1422" s="187"/>
    </row>
    <row r="1423" spans="1:6" x14ac:dyDescent="0.2">
      <c r="A1423" s="275"/>
      <c r="B1423" s="78"/>
      <c r="C1423" s="189"/>
      <c r="D1423" s="185"/>
      <c r="E1423" s="186"/>
      <c r="F1423" s="187"/>
    </row>
    <row r="1424" spans="1:6" x14ac:dyDescent="0.2">
      <c r="A1424" s="275"/>
      <c r="B1424" s="78"/>
      <c r="C1424" s="189"/>
      <c r="D1424" s="185"/>
      <c r="E1424" s="186"/>
      <c r="F1424" s="187"/>
    </row>
    <row r="1425" spans="1:6" x14ac:dyDescent="0.2">
      <c r="A1425" s="275"/>
      <c r="B1425" s="78"/>
      <c r="C1425" s="189"/>
      <c r="D1425" s="185"/>
      <c r="E1425" s="186"/>
      <c r="F1425" s="187"/>
    </row>
    <row r="1426" spans="1:6" x14ac:dyDescent="0.2">
      <c r="A1426" s="275"/>
      <c r="B1426" s="78"/>
      <c r="C1426" s="189"/>
      <c r="D1426" s="185"/>
      <c r="E1426" s="186"/>
      <c r="F1426" s="187"/>
    </row>
    <row r="1427" spans="1:6" x14ac:dyDescent="0.2">
      <c r="A1427" s="275"/>
      <c r="B1427" s="78"/>
      <c r="C1427" s="189"/>
      <c r="D1427" s="185"/>
      <c r="E1427" s="186"/>
      <c r="F1427" s="187"/>
    </row>
    <row r="1428" spans="1:6" x14ac:dyDescent="0.2">
      <c r="A1428" s="275"/>
      <c r="B1428" s="78"/>
      <c r="C1428" s="189"/>
      <c r="D1428" s="185"/>
      <c r="E1428" s="186"/>
      <c r="F1428" s="187"/>
    </row>
    <row r="1429" spans="1:6" x14ac:dyDescent="0.2">
      <c r="A1429" s="275"/>
      <c r="B1429" s="78"/>
      <c r="C1429" s="189"/>
      <c r="D1429" s="185"/>
      <c r="E1429" s="186"/>
      <c r="F1429" s="187"/>
    </row>
    <row r="1430" spans="1:6" x14ac:dyDescent="0.2">
      <c r="A1430" s="275"/>
      <c r="B1430" s="78"/>
      <c r="C1430" s="189"/>
      <c r="D1430" s="185"/>
      <c r="E1430" s="186"/>
      <c r="F1430" s="187"/>
    </row>
    <row r="1431" spans="1:6" x14ac:dyDescent="0.2">
      <c r="A1431" s="275"/>
      <c r="B1431" s="78"/>
      <c r="C1431" s="189"/>
      <c r="D1431" s="185"/>
      <c r="E1431" s="186"/>
      <c r="F1431" s="187"/>
    </row>
    <row r="1432" spans="1:6" x14ac:dyDescent="0.2">
      <c r="A1432" s="275"/>
      <c r="B1432" s="78"/>
      <c r="C1432" s="189"/>
      <c r="D1432" s="185"/>
      <c r="E1432" s="186"/>
      <c r="F1432" s="187"/>
    </row>
    <row r="1433" spans="1:6" x14ac:dyDescent="0.2">
      <c r="A1433" s="275"/>
      <c r="B1433" s="78"/>
      <c r="C1433" s="189"/>
      <c r="D1433" s="185"/>
      <c r="E1433" s="186"/>
      <c r="F1433" s="187"/>
    </row>
    <row r="1434" spans="1:6" x14ac:dyDescent="0.2">
      <c r="A1434" s="275"/>
      <c r="B1434" s="78"/>
      <c r="C1434" s="189"/>
      <c r="D1434" s="185"/>
      <c r="E1434" s="186"/>
      <c r="F1434" s="187"/>
    </row>
    <row r="1435" spans="1:6" x14ac:dyDescent="0.2">
      <c r="A1435" s="275"/>
      <c r="B1435" s="78"/>
      <c r="C1435" s="189"/>
      <c r="D1435" s="185"/>
      <c r="E1435" s="186"/>
      <c r="F1435" s="187"/>
    </row>
    <row r="1436" spans="1:6" x14ac:dyDescent="0.2">
      <c r="A1436" s="275"/>
      <c r="B1436" s="78"/>
      <c r="C1436" s="189"/>
      <c r="D1436" s="185"/>
      <c r="E1436" s="186"/>
      <c r="F1436" s="187"/>
    </row>
    <row r="1437" spans="1:6" x14ac:dyDescent="0.2">
      <c r="A1437" s="275"/>
      <c r="B1437" s="78"/>
      <c r="C1437" s="189"/>
      <c r="D1437" s="185"/>
      <c r="E1437" s="186"/>
      <c r="F1437" s="187"/>
    </row>
    <row r="1438" spans="1:6" x14ac:dyDescent="0.2">
      <c r="A1438" s="275"/>
      <c r="B1438" s="78"/>
      <c r="C1438" s="189"/>
      <c r="D1438" s="185"/>
      <c r="E1438" s="186"/>
      <c r="F1438" s="187"/>
    </row>
    <row r="1439" spans="1:6" x14ac:dyDescent="0.2">
      <c r="A1439" s="275"/>
      <c r="B1439" s="78"/>
      <c r="C1439" s="189"/>
      <c r="D1439" s="185"/>
      <c r="E1439" s="186"/>
      <c r="F1439" s="187"/>
    </row>
    <row r="1440" spans="1:6" x14ac:dyDescent="0.2">
      <c r="A1440" s="275"/>
      <c r="B1440" s="78"/>
      <c r="C1440" s="189"/>
      <c r="D1440" s="185"/>
      <c r="E1440" s="186"/>
      <c r="F1440" s="187"/>
    </row>
    <row r="1441" spans="1:6" x14ac:dyDescent="0.2">
      <c r="A1441" s="275"/>
      <c r="B1441" s="78"/>
      <c r="C1441" s="189"/>
      <c r="D1441" s="185"/>
      <c r="E1441" s="186"/>
      <c r="F1441" s="187"/>
    </row>
    <row r="1442" spans="1:6" x14ac:dyDescent="0.2">
      <c r="A1442" s="275"/>
      <c r="B1442" s="78"/>
      <c r="C1442" s="189"/>
      <c r="D1442" s="185"/>
      <c r="E1442" s="186"/>
      <c r="F1442" s="187"/>
    </row>
    <row r="1443" spans="1:6" x14ac:dyDescent="0.2">
      <c r="A1443" s="275"/>
      <c r="B1443" s="78"/>
      <c r="C1443" s="189"/>
      <c r="D1443" s="185"/>
      <c r="E1443" s="186"/>
      <c r="F1443" s="187"/>
    </row>
    <row r="1444" spans="1:6" x14ac:dyDescent="0.2">
      <c r="A1444" s="275"/>
      <c r="B1444" s="78"/>
      <c r="C1444" s="189"/>
      <c r="D1444" s="185"/>
      <c r="E1444" s="186"/>
      <c r="F1444" s="187"/>
    </row>
    <row r="1445" spans="1:6" x14ac:dyDescent="0.2">
      <c r="A1445" s="275"/>
      <c r="B1445" s="78"/>
      <c r="C1445" s="189"/>
      <c r="D1445" s="185"/>
      <c r="E1445" s="186"/>
      <c r="F1445" s="187"/>
    </row>
    <row r="1446" spans="1:6" x14ac:dyDescent="0.2">
      <c r="A1446" s="275"/>
      <c r="B1446" s="78"/>
      <c r="C1446" s="189"/>
      <c r="D1446" s="185"/>
      <c r="E1446" s="186"/>
      <c r="F1446" s="187"/>
    </row>
    <row r="1447" spans="1:6" x14ac:dyDescent="0.2">
      <c r="A1447" s="275"/>
      <c r="B1447" s="78"/>
      <c r="C1447" s="189"/>
      <c r="D1447" s="185"/>
      <c r="E1447" s="186"/>
      <c r="F1447" s="187"/>
    </row>
    <row r="1448" spans="1:6" x14ac:dyDescent="0.2">
      <c r="A1448" s="275"/>
      <c r="B1448" s="78"/>
      <c r="C1448" s="189"/>
      <c r="D1448" s="185"/>
      <c r="E1448" s="186"/>
      <c r="F1448" s="187"/>
    </row>
    <row r="1449" spans="1:6" x14ac:dyDescent="0.2">
      <c r="A1449" s="275"/>
      <c r="B1449" s="78"/>
      <c r="C1449" s="189"/>
      <c r="D1449" s="185"/>
      <c r="E1449" s="186"/>
      <c r="F1449" s="187"/>
    </row>
    <row r="1450" spans="1:6" x14ac:dyDescent="0.2">
      <c r="A1450" s="275"/>
      <c r="B1450" s="78"/>
      <c r="C1450" s="189"/>
      <c r="D1450" s="185"/>
      <c r="E1450" s="186"/>
      <c r="F1450" s="187"/>
    </row>
    <row r="1451" spans="1:6" x14ac:dyDescent="0.2">
      <c r="A1451" s="275"/>
      <c r="B1451" s="78"/>
      <c r="C1451" s="189"/>
      <c r="D1451" s="185"/>
      <c r="E1451" s="186"/>
      <c r="F1451" s="187"/>
    </row>
    <row r="1452" spans="1:6" x14ac:dyDescent="0.2">
      <c r="A1452" s="275"/>
      <c r="B1452" s="78"/>
      <c r="C1452" s="189"/>
      <c r="D1452" s="185"/>
      <c r="E1452" s="186"/>
      <c r="F1452" s="187"/>
    </row>
    <row r="1453" spans="1:6" x14ac:dyDescent="0.2">
      <c r="A1453" s="275"/>
      <c r="B1453" s="78"/>
      <c r="C1453" s="189"/>
      <c r="D1453" s="185"/>
      <c r="E1453" s="186"/>
      <c r="F1453" s="187"/>
    </row>
    <row r="1454" spans="1:6" x14ac:dyDescent="0.2">
      <c r="A1454" s="275"/>
      <c r="B1454" s="78"/>
      <c r="C1454" s="189"/>
      <c r="D1454" s="185"/>
      <c r="E1454" s="186"/>
      <c r="F1454" s="187"/>
    </row>
    <row r="1455" spans="1:6" x14ac:dyDescent="0.2">
      <c r="A1455" s="275"/>
      <c r="B1455" s="78"/>
      <c r="C1455" s="189"/>
      <c r="D1455" s="185"/>
      <c r="E1455" s="186"/>
      <c r="F1455" s="187"/>
    </row>
    <row r="1456" spans="1:6" x14ac:dyDescent="0.2">
      <c r="A1456" s="275"/>
      <c r="B1456" s="78"/>
      <c r="C1456" s="189"/>
      <c r="D1456" s="185"/>
      <c r="E1456" s="186"/>
      <c r="F1456" s="187"/>
    </row>
    <row r="1457" spans="1:6" x14ac:dyDescent="0.2">
      <c r="A1457" s="275"/>
      <c r="B1457" s="78"/>
      <c r="C1457" s="189"/>
      <c r="D1457" s="185"/>
      <c r="E1457" s="186"/>
      <c r="F1457" s="187"/>
    </row>
    <row r="1458" spans="1:6" x14ac:dyDescent="0.2">
      <c r="A1458" s="275"/>
      <c r="B1458" s="78"/>
      <c r="C1458" s="189"/>
      <c r="D1458" s="185"/>
      <c r="E1458" s="186"/>
      <c r="F1458" s="187"/>
    </row>
    <row r="1459" spans="1:6" x14ac:dyDescent="0.2">
      <c r="A1459" s="275"/>
      <c r="B1459" s="78"/>
      <c r="C1459" s="189"/>
      <c r="D1459" s="185"/>
      <c r="E1459" s="186"/>
      <c r="F1459" s="187"/>
    </row>
    <row r="1460" spans="1:6" x14ac:dyDescent="0.2">
      <c r="A1460" s="275"/>
      <c r="B1460" s="78"/>
      <c r="C1460" s="189"/>
      <c r="D1460" s="185"/>
      <c r="E1460" s="186"/>
      <c r="F1460" s="187"/>
    </row>
    <row r="1461" spans="1:6" x14ac:dyDescent="0.2">
      <c r="A1461" s="275"/>
      <c r="B1461" s="78"/>
      <c r="C1461" s="189"/>
      <c r="D1461" s="185"/>
      <c r="E1461" s="186"/>
      <c r="F1461" s="187"/>
    </row>
    <row r="1462" spans="1:6" x14ac:dyDescent="0.2">
      <c r="A1462" s="275"/>
      <c r="B1462" s="78"/>
      <c r="C1462" s="189"/>
      <c r="D1462" s="185"/>
      <c r="E1462" s="186"/>
      <c r="F1462" s="187"/>
    </row>
    <row r="1463" spans="1:6" x14ac:dyDescent="0.2">
      <c r="A1463" s="275"/>
      <c r="B1463" s="78"/>
      <c r="C1463" s="189"/>
      <c r="D1463" s="185"/>
      <c r="E1463" s="186"/>
      <c r="F1463" s="187"/>
    </row>
    <row r="1464" spans="1:6" x14ac:dyDescent="0.2">
      <c r="A1464" s="275"/>
      <c r="B1464" s="78"/>
      <c r="C1464" s="189"/>
      <c r="D1464" s="185"/>
      <c r="E1464" s="186"/>
      <c r="F1464" s="187"/>
    </row>
    <row r="1465" spans="1:6" x14ac:dyDescent="0.2">
      <c r="A1465" s="275"/>
      <c r="B1465" s="78"/>
      <c r="C1465" s="189"/>
      <c r="D1465" s="185"/>
      <c r="E1465" s="186"/>
      <c r="F1465" s="187"/>
    </row>
    <row r="1466" spans="1:6" x14ac:dyDescent="0.2">
      <c r="A1466" s="275"/>
      <c r="B1466" s="78"/>
      <c r="C1466" s="189"/>
      <c r="D1466" s="185"/>
      <c r="E1466" s="186"/>
      <c r="F1466" s="187"/>
    </row>
    <row r="1467" spans="1:6" x14ac:dyDescent="0.2">
      <c r="A1467" s="275"/>
      <c r="B1467" s="78"/>
      <c r="C1467" s="189"/>
      <c r="D1467" s="185"/>
      <c r="E1467" s="186"/>
      <c r="F1467" s="187"/>
    </row>
    <row r="1468" spans="1:6" x14ac:dyDescent="0.2">
      <c r="A1468" s="275"/>
      <c r="B1468" s="78"/>
      <c r="C1468" s="189"/>
      <c r="D1468" s="185"/>
      <c r="E1468" s="186"/>
      <c r="F1468" s="187"/>
    </row>
    <row r="1469" spans="1:6" x14ac:dyDescent="0.2">
      <c r="A1469" s="275"/>
      <c r="B1469" s="78"/>
      <c r="C1469" s="189"/>
      <c r="D1469" s="185"/>
      <c r="E1469" s="186"/>
      <c r="F1469" s="187"/>
    </row>
    <row r="1470" spans="1:6" x14ac:dyDescent="0.2">
      <c r="A1470" s="275"/>
      <c r="B1470" s="78"/>
      <c r="C1470" s="189"/>
      <c r="D1470" s="185"/>
      <c r="E1470" s="186"/>
      <c r="F1470" s="187"/>
    </row>
    <row r="1471" spans="1:6" x14ac:dyDescent="0.2">
      <c r="A1471" s="275"/>
      <c r="B1471" s="78"/>
      <c r="C1471" s="189"/>
      <c r="D1471" s="185"/>
      <c r="E1471" s="186"/>
      <c r="F1471" s="187"/>
    </row>
    <row r="1472" spans="1:6" x14ac:dyDescent="0.2">
      <c r="A1472" s="275"/>
      <c r="B1472" s="78"/>
      <c r="C1472" s="189"/>
      <c r="D1472" s="185"/>
      <c r="E1472" s="186"/>
      <c r="F1472" s="187"/>
    </row>
    <row r="1473" spans="1:6" x14ac:dyDescent="0.2">
      <c r="A1473" s="275"/>
      <c r="B1473" s="78"/>
      <c r="C1473" s="189"/>
      <c r="D1473" s="185"/>
      <c r="E1473" s="186"/>
      <c r="F1473" s="187"/>
    </row>
    <row r="1474" spans="1:6" x14ac:dyDescent="0.2">
      <c r="A1474" s="275"/>
      <c r="B1474" s="78"/>
      <c r="C1474" s="189"/>
      <c r="D1474" s="185"/>
      <c r="E1474" s="186"/>
      <c r="F1474" s="187"/>
    </row>
    <row r="1475" spans="1:6" x14ac:dyDescent="0.2">
      <c r="A1475" s="275"/>
      <c r="B1475" s="78"/>
      <c r="C1475" s="189"/>
      <c r="D1475" s="185"/>
      <c r="E1475" s="186"/>
      <c r="F1475" s="187"/>
    </row>
    <row r="1476" spans="1:6" x14ac:dyDescent="0.2">
      <c r="A1476" s="275"/>
      <c r="B1476" s="78"/>
      <c r="C1476" s="189"/>
      <c r="D1476" s="185"/>
      <c r="E1476" s="186"/>
      <c r="F1476" s="187"/>
    </row>
    <row r="1477" spans="1:6" x14ac:dyDescent="0.2">
      <c r="A1477" s="275"/>
      <c r="B1477" s="78"/>
      <c r="C1477" s="189"/>
      <c r="D1477" s="185"/>
      <c r="E1477" s="186"/>
      <c r="F1477" s="187"/>
    </row>
    <row r="1478" spans="1:6" x14ac:dyDescent="0.2">
      <c r="A1478" s="275"/>
      <c r="B1478" s="78"/>
      <c r="C1478" s="189"/>
      <c r="D1478" s="185"/>
      <c r="E1478" s="186"/>
      <c r="F1478" s="187"/>
    </row>
    <row r="1479" spans="1:6" x14ac:dyDescent="0.2">
      <c r="A1479" s="275"/>
      <c r="B1479" s="78"/>
      <c r="C1479" s="189"/>
      <c r="D1479" s="185"/>
      <c r="E1479" s="186"/>
      <c r="F1479" s="187"/>
    </row>
    <row r="1480" spans="1:6" x14ac:dyDescent="0.2">
      <c r="A1480" s="275"/>
      <c r="B1480" s="78"/>
      <c r="C1480" s="189"/>
      <c r="D1480" s="185"/>
      <c r="E1480" s="186"/>
      <c r="F1480" s="187"/>
    </row>
    <row r="1481" spans="1:6" x14ac:dyDescent="0.2">
      <c r="A1481" s="275"/>
      <c r="B1481" s="78"/>
      <c r="C1481" s="189"/>
      <c r="D1481" s="185"/>
      <c r="E1481" s="186"/>
      <c r="F1481" s="187"/>
    </row>
    <row r="1482" spans="1:6" x14ac:dyDescent="0.2">
      <c r="A1482" s="275"/>
      <c r="B1482" s="78"/>
      <c r="C1482" s="189"/>
      <c r="D1482" s="185"/>
      <c r="E1482" s="186"/>
      <c r="F1482" s="187"/>
    </row>
    <row r="1483" spans="1:6" x14ac:dyDescent="0.2">
      <c r="A1483" s="275"/>
      <c r="B1483" s="78"/>
      <c r="C1483" s="189"/>
      <c r="D1483" s="185"/>
      <c r="E1483" s="186"/>
      <c r="F1483" s="187"/>
    </row>
    <row r="1484" spans="1:6" x14ac:dyDescent="0.2">
      <c r="A1484" s="275"/>
      <c r="B1484" s="78"/>
      <c r="C1484" s="189"/>
      <c r="D1484" s="185"/>
      <c r="E1484" s="186"/>
      <c r="F1484" s="187"/>
    </row>
    <row r="1485" spans="1:6" x14ac:dyDescent="0.2">
      <c r="A1485" s="275"/>
      <c r="B1485" s="78"/>
      <c r="C1485" s="189"/>
      <c r="D1485" s="185"/>
      <c r="E1485" s="186"/>
      <c r="F1485" s="187"/>
    </row>
    <row r="1486" spans="1:6" x14ac:dyDescent="0.2">
      <c r="A1486" s="275"/>
      <c r="B1486" s="78"/>
      <c r="C1486" s="189"/>
      <c r="D1486" s="185"/>
      <c r="E1486" s="186"/>
      <c r="F1486" s="187"/>
    </row>
    <row r="1487" spans="1:6" x14ac:dyDescent="0.2">
      <c r="A1487" s="275"/>
      <c r="B1487" s="78"/>
      <c r="C1487" s="189"/>
      <c r="D1487" s="185"/>
      <c r="E1487" s="186"/>
      <c r="F1487" s="187"/>
    </row>
    <row r="1488" spans="1:6" x14ac:dyDescent="0.2">
      <c r="A1488" s="275"/>
      <c r="B1488" s="78"/>
      <c r="C1488" s="189"/>
      <c r="D1488" s="185"/>
      <c r="E1488" s="186"/>
      <c r="F1488" s="187"/>
    </row>
    <row r="1489" spans="1:6" x14ac:dyDescent="0.2">
      <c r="A1489" s="275"/>
      <c r="B1489" s="78"/>
      <c r="C1489" s="189"/>
      <c r="D1489" s="185"/>
      <c r="E1489" s="186"/>
      <c r="F1489" s="187"/>
    </row>
    <row r="1490" spans="1:6" x14ac:dyDescent="0.2">
      <c r="A1490" s="275"/>
      <c r="B1490" s="78"/>
      <c r="C1490" s="189"/>
      <c r="D1490" s="185"/>
      <c r="E1490" s="186"/>
      <c r="F1490" s="187"/>
    </row>
    <row r="1491" spans="1:6" x14ac:dyDescent="0.2">
      <c r="A1491" s="275"/>
      <c r="B1491" s="78"/>
      <c r="C1491" s="189"/>
      <c r="D1491" s="185"/>
      <c r="E1491" s="186"/>
      <c r="F1491" s="187"/>
    </row>
    <row r="1492" spans="1:6" x14ac:dyDescent="0.2">
      <c r="A1492" s="275"/>
      <c r="B1492" s="78"/>
      <c r="C1492" s="189"/>
      <c r="D1492" s="185"/>
      <c r="E1492" s="186"/>
      <c r="F1492" s="187"/>
    </row>
    <row r="1493" spans="1:6" x14ac:dyDescent="0.2">
      <c r="A1493" s="275"/>
      <c r="B1493" s="78"/>
      <c r="C1493" s="189"/>
      <c r="D1493" s="185"/>
      <c r="E1493" s="186"/>
      <c r="F1493" s="187"/>
    </row>
    <row r="1494" spans="1:6" x14ac:dyDescent="0.2">
      <c r="A1494" s="275"/>
      <c r="B1494" s="78"/>
      <c r="C1494" s="189"/>
      <c r="D1494" s="185"/>
      <c r="E1494" s="186"/>
      <c r="F1494" s="187"/>
    </row>
    <row r="1495" spans="1:6" x14ac:dyDescent="0.2">
      <c r="A1495" s="275"/>
      <c r="B1495" s="78"/>
      <c r="C1495" s="189"/>
      <c r="D1495" s="185"/>
      <c r="E1495" s="186"/>
      <c r="F1495" s="187"/>
    </row>
    <row r="1496" spans="1:6" x14ac:dyDescent="0.2">
      <c r="A1496" s="275"/>
      <c r="B1496" s="78"/>
      <c r="C1496" s="189"/>
      <c r="D1496" s="185"/>
      <c r="E1496" s="186"/>
      <c r="F1496" s="187"/>
    </row>
    <row r="1497" spans="1:6" x14ac:dyDescent="0.2">
      <c r="A1497" s="275"/>
      <c r="B1497" s="78"/>
      <c r="C1497" s="189"/>
      <c r="D1497" s="185"/>
      <c r="E1497" s="186"/>
      <c r="F1497" s="187"/>
    </row>
    <row r="1498" spans="1:6" x14ac:dyDescent="0.2">
      <c r="A1498" s="275"/>
      <c r="B1498" s="78"/>
      <c r="C1498" s="189"/>
      <c r="D1498" s="185"/>
      <c r="E1498" s="186"/>
      <c r="F1498" s="187"/>
    </row>
    <row r="1499" spans="1:6" x14ac:dyDescent="0.2">
      <c r="A1499" s="275"/>
      <c r="B1499" s="78"/>
      <c r="C1499" s="189"/>
      <c r="D1499" s="185"/>
      <c r="E1499" s="186"/>
      <c r="F1499" s="187"/>
    </row>
    <row r="1500" spans="1:6" x14ac:dyDescent="0.2">
      <c r="A1500" s="275"/>
      <c r="B1500" s="78"/>
      <c r="C1500" s="189"/>
      <c r="D1500" s="185"/>
      <c r="E1500" s="186"/>
      <c r="F1500" s="187"/>
    </row>
    <row r="1501" spans="1:6" x14ac:dyDescent="0.2">
      <c r="A1501" s="275"/>
      <c r="B1501" s="78"/>
      <c r="C1501" s="189"/>
      <c r="D1501" s="185"/>
      <c r="E1501" s="186"/>
      <c r="F1501" s="187"/>
    </row>
    <row r="1502" spans="1:6" x14ac:dyDescent="0.2">
      <c r="A1502" s="275"/>
      <c r="B1502" s="78"/>
      <c r="C1502" s="189"/>
      <c r="D1502" s="185"/>
      <c r="E1502" s="186"/>
      <c r="F1502" s="187"/>
    </row>
    <row r="1503" spans="1:6" x14ac:dyDescent="0.2">
      <c r="A1503" s="275"/>
      <c r="B1503" s="78"/>
      <c r="C1503" s="189"/>
      <c r="D1503" s="185"/>
      <c r="E1503" s="186"/>
      <c r="F1503" s="187"/>
    </row>
    <row r="1504" spans="1:6" x14ac:dyDescent="0.2">
      <c r="A1504" s="275"/>
      <c r="B1504" s="78"/>
      <c r="C1504" s="189"/>
      <c r="D1504" s="185"/>
      <c r="E1504" s="186"/>
      <c r="F1504" s="187"/>
    </row>
    <row r="1505" spans="1:6" x14ac:dyDescent="0.2">
      <c r="A1505" s="275"/>
      <c r="B1505" s="78"/>
      <c r="C1505" s="189"/>
      <c r="D1505" s="185"/>
      <c r="E1505" s="186"/>
      <c r="F1505" s="187"/>
    </row>
    <row r="1506" spans="1:6" x14ac:dyDescent="0.2">
      <c r="A1506" s="275"/>
      <c r="B1506" s="78"/>
      <c r="C1506" s="189"/>
      <c r="D1506" s="185"/>
      <c r="E1506" s="186"/>
      <c r="F1506" s="187"/>
    </row>
    <row r="1507" spans="1:6" x14ac:dyDescent="0.2">
      <c r="A1507" s="275"/>
      <c r="B1507" s="78"/>
      <c r="C1507" s="189"/>
      <c r="D1507" s="185"/>
      <c r="E1507" s="186"/>
      <c r="F1507" s="187"/>
    </row>
    <row r="1508" spans="1:6" x14ac:dyDescent="0.2">
      <c r="A1508" s="275"/>
      <c r="B1508" s="78"/>
      <c r="C1508" s="189"/>
      <c r="D1508" s="185"/>
      <c r="E1508" s="186"/>
      <c r="F1508" s="187"/>
    </row>
    <row r="1509" spans="1:6" x14ac:dyDescent="0.2">
      <c r="A1509" s="275"/>
      <c r="B1509" s="78"/>
      <c r="C1509" s="189"/>
      <c r="D1509" s="185"/>
      <c r="E1509" s="186"/>
      <c r="F1509" s="187"/>
    </row>
    <row r="1510" spans="1:6" x14ac:dyDescent="0.2">
      <c r="A1510" s="275"/>
      <c r="B1510" s="78"/>
      <c r="C1510" s="189"/>
      <c r="D1510" s="185"/>
      <c r="E1510" s="186"/>
      <c r="F1510" s="187"/>
    </row>
    <row r="1511" spans="1:6" x14ac:dyDescent="0.2">
      <c r="A1511" s="275"/>
      <c r="B1511" s="78"/>
      <c r="C1511" s="189"/>
      <c r="D1511" s="185"/>
      <c r="E1511" s="186"/>
      <c r="F1511" s="187"/>
    </row>
    <row r="1512" spans="1:6" x14ac:dyDescent="0.2">
      <c r="A1512" s="275"/>
      <c r="B1512" s="78"/>
      <c r="C1512" s="189"/>
      <c r="D1512" s="185"/>
      <c r="E1512" s="186"/>
      <c r="F1512" s="187"/>
    </row>
    <row r="1513" spans="1:6" x14ac:dyDescent="0.2">
      <c r="A1513" s="275"/>
      <c r="B1513" s="78"/>
      <c r="C1513" s="189"/>
      <c r="D1513" s="185"/>
      <c r="E1513" s="186"/>
      <c r="F1513" s="187"/>
    </row>
    <row r="1514" spans="1:6" x14ac:dyDescent="0.2">
      <c r="A1514" s="275"/>
      <c r="B1514" s="78"/>
      <c r="C1514" s="189"/>
      <c r="D1514" s="185"/>
      <c r="E1514" s="186"/>
      <c r="F1514" s="187"/>
    </row>
    <row r="1515" spans="1:6" x14ac:dyDescent="0.2">
      <c r="A1515" s="275"/>
      <c r="B1515" s="78"/>
      <c r="C1515" s="189"/>
      <c r="D1515" s="185"/>
      <c r="E1515" s="186"/>
      <c r="F1515" s="187"/>
    </row>
    <row r="1516" spans="1:6" x14ac:dyDescent="0.2">
      <c r="A1516" s="275"/>
      <c r="B1516" s="78"/>
      <c r="C1516" s="189"/>
      <c r="D1516" s="185"/>
      <c r="E1516" s="186"/>
      <c r="F1516" s="187"/>
    </row>
    <row r="1517" spans="1:6" x14ac:dyDescent="0.2">
      <c r="A1517" s="275"/>
      <c r="B1517" s="78"/>
      <c r="C1517" s="189"/>
      <c r="D1517" s="185"/>
      <c r="E1517" s="186"/>
      <c r="F1517" s="187"/>
    </row>
    <row r="1518" spans="1:6" x14ac:dyDescent="0.2">
      <c r="A1518" s="275"/>
      <c r="B1518" s="78"/>
      <c r="C1518" s="189"/>
      <c r="D1518" s="185"/>
      <c r="E1518" s="186"/>
      <c r="F1518" s="187"/>
    </row>
    <row r="1519" spans="1:6" x14ac:dyDescent="0.2">
      <c r="A1519" s="275"/>
      <c r="B1519" s="78"/>
      <c r="C1519" s="189"/>
      <c r="D1519" s="185"/>
      <c r="E1519" s="186"/>
      <c r="F1519" s="187"/>
    </row>
    <row r="1520" spans="1:6" x14ac:dyDescent="0.2">
      <c r="A1520" s="275"/>
      <c r="B1520" s="78"/>
      <c r="C1520" s="189"/>
      <c r="D1520" s="185"/>
      <c r="E1520" s="186"/>
      <c r="F1520" s="187"/>
    </row>
    <row r="1521" spans="1:6" x14ac:dyDescent="0.2">
      <c r="A1521" s="275"/>
      <c r="B1521" s="78"/>
      <c r="C1521" s="189"/>
      <c r="D1521" s="185"/>
      <c r="E1521" s="186"/>
      <c r="F1521" s="187"/>
    </row>
    <row r="1522" spans="1:6" x14ac:dyDescent="0.2">
      <c r="A1522" s="275"/>
      <c r="B1522" s="78"/>
      <c r="C1522" s="189"/>
      <c r="D1522" s="185"/>
      <c r="E1522" s="186"/>
      <c r="F1522" s="187"/>
    </row>
    <row r="1523" spans="1:6" x14ac:dyDescent="0.2">
      <c r="A1523" s="275"/>
      <c r="B1523" s="78"/>
      <c r="C1523" s="189"/>
      <c r="D1523" s="185"/>
      <c r="E1523" s="186"/>
      <c r="F1523" s="187"/>
    </row>
    <row r="1524" spans="1:6" x14ac:dyDescent="0.2">
      <c r="A1524" s="275"/>
      <c r="B1524" s="78"/>
      <c r="C1524" s="189"/>
      <c r="D1524" s="185"/>
      <c r="E1524" s="186"/>
      <c r="F1524" s="187"/>
    </row>
    <row r="1525" spans="1:6" x14ac:dyDescent="0.2">
      <c r="A1525" s="275"/>
      <c r="B1525" s="78"/>
      <c r="C1525" s="189"/>
      <c r="D1525" s="185"/>
      <c r="E1525" s="186"/>
      <c r="F1525" s="187"/>
    </row>
    <row r="1526" spans="1:6" x14ac:dyDescent="0.2">
      <c r="A1526" s="275"/>
      <c r="B1526" s="78"/>
      <c r="C1526" s="189"/>
      <c r="D1526" s="185"/>
      <c r="E1526" s="186"/>
      <c r="F1526" s="187"/>
    </row>
    <row r="1527" spans="1:6" x14ac:dyDescent="0.2">
      <c r="A1527" s="275"/>
      <c r="B1527" s="78"/>
      <c r="C1527" s="189"/>
      <c r="D1527" s="185"/>
      <c r="E1527" s="186"/>
      <c r="F1527" s="187"/>
    </row>
    <row r="1528" spans="1:6" x14ac:dyDescent="0.2">
      <c r="A1528" s="275"/>
      <c r="B1528" s="78"/>
      <c r="C1528" s="189"/>
      <c r="D1528" s="185"/>
      <c r="E1528" s="186"/>
      <c r="F1528" s="187"/>
    </row>
    <row r="1529" spans="1:6" x14ac:dyDescent="0.2">
      <c r="A1529" s="275"/>
      <c r="B1529" s="78"/>
      <c r="C1529" s="189"/>
      <c r="D1529" s="185"/>
      <c r="E1529" s="186"/>
      <c r="F1529" s="187"/>
    </row>
    <row r="1530" spans="1:6" x14ac:dyDescent="0.2">
      <c r="A1530" s="275"/>
      <c r="B1530" s="78"/>
      <c r="C1530" s="189"/>
      <c r="D1530" s="185"/>
      <c r="E1530" s="186"/>
      <c r="F1530" s="187"/>
    </row>
    <row r="1531" spans="1:6" x14ac:dyDescent="0.2">
      <c r="A1531" s="275"/>
      <c r="B1531" s="78"/>
      <c r="C1531" s="189"/>
      <c r="D1531" s="185"/>
      <c r="E1531" s="186"/>
      <c r="F1531" s="187"/>
    </row>
    <row r="1532" spans="1:6" x14ac:dyDescent="0.2">
      <c r="A1532" s="275"/>
      <c r="B1532" s="78"/>
      <c r="C1532" s="189"/>
      <c r="D1532" s="185"/>
      <c r="E1532" s="186"/>
      <c r="F1532" s="187"/>
    </row>
    <row r="1533" spans="1:6" x14ac:dyDescent="0.2">
      <c r="A1533" s="275"/>
      <c r="B1533" s="78"/>
      <c r="C1533" s="189"/>
      <c r="D1533" s="185"/>
      <c r="E1533" s="186"/>
      <c r="F1533" s="187"/>
    </row>
    <row r="1534" spans="1:6" x14ac:dyDescent="0.2">
      <c r="A1534" s="275"/>
      <c r="B1534" s="78"/>
      <c r="C1534" s="189"/>
      <c r="D1534" s="185"/>
      <c r="E1534" s="186"/>
      <c r="F1534" s="187"/>
    </row>
    <row r="1535" spans="1:6" x14ac:dyDescent="0.2">
      <c r="A1535" s="275"/>
      <c r="B1535" s="78"/>
      <c r="C1535" s="189"/>
      <c r="D1535" s="185"/>
      <c r="E1535" s="186"/>
      <c r="F1535" s="187"/>
    </row>
    <row r="1536" spans="1:6" x14ac:dyDescent="0.2">
      <c r="A1536" s="275"/>
      <c r="B1536" s="78"/>
      <c r="C1536" s="189"/>
      <c r="D1536" s="185"/>
      <c r="E1536" s="186"/>
      <c r="F1536" s="187"/>
    </row>
    <row r="1537" spans="1:6" x14ac:dyDescent="0.2">
      <c r="A1537" s="275"/>
      <c r="B1537" s="78"/>
      <c r="C1537" s="189"/>
      <c r="D1537" s="185"/>
      <c r="E1537" s="186"/>
      <c r="F1537" s="187"/>
    </row>
    <row r="1538" spans="1:6" x14ac:dyDescent="0.2">
      <c r="A1538" s="275"/>
      <c r="B1538" s="78"/>
      <c r="C1538" s="189"/>
      <c r="D1538" s="185"/>
      <c r="E1538" s="186"/>
      <c r="F1538" s="187"/>
    </row>
    <row r="1539" spans="1:6" x14ac:dyDescent="0.2">
      <c r="A1539" s="275"/>
      <c r="B1539" s="78"/>
      <c r="C1539" s="189"/>
      <c r="D1539" s="185"/>
      <c r="E1539" s="186"/>
      <c r="F1539" s="187"/>
    </row>
    <row r="1540" spans="1:6" x14ac:dyDescent="0.2">
      <c r="A1540" s="275"/>
      <c r="B1540" s="78"/>
      <c r="C1540" s="189"/>
      <c r="D1540" s="185"/>
      <c r="E1540" s="186"/>
      <c r="F1540" s="187"/>
    </row>
    <row r="1541" spans="1:6" x14ac:dyDescent="0.2">
      <c r="A1541" s="275"/>
      <c r="B1541" s="78"/>
      <c r="C1541" s="189"/>
      <c r="D1541" s="185"/>
      <c r="E1541" s="186"/>
      <c r="F1541" s="187"/>
    </row>
    <row r="1542" spans="1:6" x14ac:dyDescent="0.2">
      <c r="A1542" s="275"/>
      <c r="B1542" s="78"/>
      <c r="C1542" s="189"/>
      <c r="D1542" s="185"/>
      <c r="E1542" s="186"/>
      <c r="F1542" s="187"/>
    </row>
    <row r="1543" spans="1:6" x14ac:dyDescent="0.2">
      <c r="A1543" s="275"/>
      <c r="B1543" s="78"/>
      <c r="C1543" s="189"/>
      <c r="D1543" s="185"/>
      <c r="E1543" s="186"/>
      <c r="F1543" s="187"/>
    </row>
    <row r="1544" spans="1:6" x14ac:dyDescent="0.2">
      <c r="A1544" s="275"/>
      <c r="B1544" s="78"/>
      <c r="C1544" s="189"/>
      <c r="D1544" s="185"/>
      <c r="E1544" s="186"/>
      <c r="F1544" s="187"/>
    </row>
    <row r="1545" spans="1:6" x14ac:dyDescent="0.2">
      <c r="A1545" s="275"/>
      <c r="B1545" s="78"/>
      <c r="C1545" s="189"/>
      <c r="D1545" s="185"/>
      <c r="E1545" s="186"/>
      <c r="F1545" s="187"/>
    </row>
    <row r="1546" spans="1:6" x14ac:dyDescent="0.2">
      <c r="A1546" s="275"/>
      <c r="B1546" s="78"/>
      <c r="C1546" s="189"/>
      <c r="D1546" s="185"/>
      <c r="E1546" s="186"/>
      <c r="F1546" s="187"/>
    </row>
    <row r="1547" spans="1:6" x14ac:dyDescent="0.2">
      <c r="A1547" s="275"/>
      <c r="B1547" s="78"/>
      <c r="C1547" s="189"/>
      <c r="D1547" s="185"/>
      <c r="E1547" s="186"/>
      <c r="F1547" s="187"/>
    </row>
    <row r="1548" spans="1:6" x14ac:dyDescent="0.2">
      <c r="A1548" s="275"/>
      <c r="B1548" s="78"/>
      <c r="C1548" s="189"/>
      <c r="D1548" s="185"/>
      <c r="E1548" s="186"/>
      <c r="F1548" s="187"/>
    </row>
    <row r="1549" spans="1:6" x14ac:dyDescent="0.2">
      <c r="A1549" s="275"/>
      <c r="B1549" s="78"/>
      <c r="C1549" s="189"/>
      <c r="D1549" s="185"/>
      <c r="E1549" s="186"/>
      <c r="F1549" s="187"/>
    </row>
    <row r="1550" spans="1:6" x14ac:dyDescent="0.2">
      <c r="A1550" s="275"/>
      <c r="B1550" s="78"/>
      <c r="C1550" s="189"/>
      <c r="D1550" s="185"/>
      <c r="E1550" s="186"/>
      <c r="F1550" s="187"/>
    </row>
    <row r="1551" spans="1:6" x14ac:dyDescent="0.2">
      <c r="A1551" s="275"/>
      <c r="B1551" s="78"/>
      <c r="C1551" s="189"/>
      <c r="D1551" s="185"/>
      <c r="E1551" s="186"/>
      <c r="F1551" s="187"/>
    </row>
    <row r="1552" spans="1:6" x14ac:dyDescent="0.2">
      <c r="A1552" s="275"/>
      <c r="B1552" s="78"/>
      <c r="C1552" s="189"/>
      <c r="D1552" s="185"/>
      <c r="E1552" s="186"/>
      <c r="F1552" s="187"/>
    </row>
    <row r="1553" spans="1:6" x14ac:dyDescent="0.2">
      <c r="A1553" s="275"/>
      <c r="B1553" s="78"/>
      <c r="C1553" s="189"/>
      <c r="D1553" s="185"/>
      <c r="E1553" s="186"/>
      <c r="F1553" s="187"/>
    </row>
    <row r="1554" spans="1:6" x14ac:dyDescent="0.2">
      <c r="A1554" s="275"/>
      <c r="B1554" s="78"/>
      <c r="C1554" s="189"/>
      <c r="D1554" s="185"/>
      <c r="E1554" s="186"/>
      <c r="F1554" s="187"/>
    </row>
    <row r="1555" spans="1:6" x14ac:dyDescent="0.2">
      <c r="A1555" s="275"/>
      <c r="B1555" s="78"/>
      <c r="C1555" s="189"/>
      <c r="D1555" s="185"/>
      <c r="E1555" s="186"/>
      <c r="F1555" s="187"/>
    </row>
    <row r="1556" spans="1:6" x14ac:dyDescent="0.2">
      <c r="A1556" s="275"/>
      <c r="B1556" s="78"/>
      <c r="C1556" s="189"/>
      <c r="D1556" s="185"/>
      <c r="E1556" s="186"/>
      <c r="F1556" s="187"/>
    </row>
    <row r="1557" spans="1:6" x14ac:dyDescent="0.2">
      <c r="A1557" s="275"/>
      <c r="B1557" s="78"/>
      <c r="C1557" s="189"/>
      <c r="D1557" s="185"/>
      <c r="E1557" s="186"/>
      <c r="F1557" s="187"/>
    </row>
    <row r="1558" spans="1:6" x14ac:dyDescent="0.2">
      <c r="A1558" s="275"/>
      <c r="B1558" s="78"/>
      <c r="C1558" s="189"/>
      <c r="D1558" s="185"/>
      <c r="E1558" s="186"/>
      <c r="F1558" s="187"/>
    </row>
    <row r="1559" spans="1:6" x14ac:dyDescent="0.2">
      <c r="A1559" s="275"/>
      <c r="B1559" s="78"/>
      <c r="C1559" s="189"/>
      <c r="D1559" s="185"/>
      <c r="E1559" s="186"/>
      <c r="F1559" s="187"/>
    </row>
    <row r="1560" spans="1:6" x14ac:dyDescent="0.2">
      <c r="A1560" s="275"/>
      <c r="B1560" s="78"/>
      <c r="C1560" s="189"/>
      <c r="D1560" s="185"/>
      <c r="E1560" s="186"/>
      <c r="F1560" s="187"/>
    </row>
    <row r="1561" spans="1:6" x14ac:dyDescent="0.2">
      <c r="A1561" s="275"/>
      <c r="B1561" s="78"/>
      <c r="C1561" s="189"/>
      <c r="D1561" s="185"/>
      <c r="E1561" s="186"/>
      <c r="F1561" s="187"/>
    </row>
    <row r="1562" spans="1:6" x14ac:dyDescent="0.2">
      <c r="A1562" s="275"/>
      <c r="B1562" s="78"/>
      <c r="C1562" s="189"/>
      <c r="D1562" s="185"/>
      <c r="E1562" s="186"/>
      <c r="F1562" s="187"/>
    </row>
    <row r="1563" spans="1:6" x14ac:dyDescent="0.2">
      <c r="A1563" s="275"/>
      <c r="B1563" s="78"/>
      <c r="C1563" s="189"/>
      <c r="D1563" s="185"/>
      <c r="E1563" s="186"/>
      <c r="F1563" s="187"/>
    </row>
    <row r="1564" spans="1:6" x14ac:dyDescent="0.2">
      <c r="A1564" s="275"/>
      <c r="B1564" s="78"/>
      <c r="C1564" s="189"/>
      <c r="D1564" s="185"/>
      <c r="E1564" s="186"/>
      <c r="F1564" s="187"/>
    </row>
    <row r="1565" spans="1:6" x14ac:dyDescent="0.2">
      <c r="A1565" s="275"/>
      <c r="B1565" s="78"/>
      <c r="C1565" s="189"/>
      <c r="D1565" s="185"/>
      <c r="E1565" s="186"/>
      <c r="F1565" s="187"/>
    </row>
    <row r="1566" spans="1:6" x14ac:dyDescent="0.2">
      <c r="A1566" s="275"/>
      <c r="B1566" s="78"/>
      <c r="C1566" s="189"/>
      <c r="D1566" s="185"/>
      <c r="E1566" s="186"/>
      <c r="F1566" s="187"/>
    </row>
    <row r="1567" spans="1:6" x14ac:dyDescent="0.2">
      <c r="A1567" s="275"/>
      <c r="B1567" s="78"/>
      <c r="C1567" s="189"/>
      <c r="D1567" s="185"/>
      <c r="E1567" s="186"/>
      <c r="F1567" s="187"/>
    </row>
    <row r="1568" spans="1:6" x14ac:dyDescent="0.2">
      <c r="A1568" s="275"/>
      <c r="B1568" s="78"/>
      <c r="C1568" s="189"/>
      <c r="D1568" s="185"/>
      <c r="E1568" s="186"/>
      <c r="F1568" s="187"/>
    </row>
    <row r="1569" spans="1:6" x14ac:dyDescent="0.2">
      <c r="A1569" s="275"/>
      <c r="B1569" s="78"/>
      <c r="C1569" s="189"/>
      <c r="D1569" s="185"/>
      <c r="E1569" s="186"/>
      <c r="F1569" s="187"/>
    </row>
    <row r="1570" spans="1:6" x14ac:dyDescent="0.2">
      <c r="A1570" s="275"/>
      <c r="B1570" s="78"/>
      <c r="C1570" s="189"/>
      <c r="D1570" s="185"/>
      <c r="E1570" s="186"/>
      <c r="F1570" s="187"/>
    </row>
    <row r="1571" spans="1:6" x14ac:dyDescent="0.2">
      <c r="A1571" s="275"/>
      <c r="B1571" s="78"/>
      <c r="C1571" s="189"/>
      <c r="D1571" s="185"/>
      <c r="E1571" s="186"/>
      <c r="F1571" s="187"/>
    </row>
    <row r="1572" spans="1:6" x14ac:dyDescent="0.2">
      <c r="A1572" s="275"/>
      <c r="B1572" s="78"/>
      <c r="C1572" s="189"/>
      <c r="D1572" s="185"/>
      <c r="E1572" s="186"/>
      <c r="F1572" s="187"/>
    </row>
    <row r="1573" spans="1:6" x14ac:dyDescent="0.2">
      <c r="A1573" s="275"/>
      <c r="B1573" s="78"/>
      <c r="C1573" s="189"/>
      <c r="D1573" s="185"/>
      <c r="E1573" s="186"/>
      <c r="F1573" s="187"/>
    </row>
    <row r="1574" spans="1:6" x14ac:dyDescent="0.2">
      <c r="A1574" s="275"/>
      <c r="B1574" s="78"/>
      <c r="C1574" s="189"/>
      <c r="D1574" s="185"/>
      <c r="E1574" s="186"/>
      <c r="F1574" s="187"/>
    </row>
    <row r="1575" spans="1:6" x14ac:dyDescent="0.2">
      <c r="A1575" s="275"/>
      <c r="B1575" s="78"/>
      <c r="C1575" s="189"/>
      <c r="D1575" s="185"/>
      <c r="E1575" s="186"/>
      <c r="F1575" s="187"/>
    </row>
    <row r="1576" spans="1:6" x14ac:dyDescent="0.2">
      <c r="A1576" s="275"/>
      <c r="B1576" s="78"/>
      <c r="C1576" s="189"/>
      <c r="D1576" s="185"/>
      <c r="E1576" s="186"/>
      <c r="F1576" s="187"/>
    </row>
    <row r="1577" spans="1:6" x14ac:dyDescent="0.2">
      <c r="A1577" s="275"/>
      <c r="B1577" s="78"/>
      <c r="C1577" s="189"/>
      <c r="D1577" s="185"/>
      <c r="E1577" s="186"/>
      <c r="F1577" s="187"/>
    </row>
    <row r="1578" spans="1:6" x14ac:dyDescent="0.2">
      <c r="A1578" s="275"/>
      <c r="B1578" s="78"/>
      <c r="C1578" s="189"/>
      <c r="D1578" s="185"/>
      <c r="E1578" s="186"/>
      <c r="F1578" s="187"/>
    </row>
    <row r="1579" spans="1:6" x14ac:dyDescent="0.2">
      <c r="A1579" s="275"/>
      <c r="B1579" s="78"/>
      <c r="C1579" s="189"/>
      <c r="D1579" s="185"/>
      <c r="E1579" s="186"/>
      <c r="F1579" s="187"/>
    </row>
    <row r="1580" spans="1:6" x14ac:dyDescent="0.2">
      <c r="A1580" s="275"/>
      <c r="B1580" s="78"/>
      <c r="C1580" s="189"/>
      <c r="D1580" s="185"/>
      <c r="E1580" s="186"/>
      <c r="F1580" s="187"/>
    </row>
    <row r="1581" spans="1:6" x14ac:dyDescent="0.2">
      <c r="A1581" s="275"/>
      <c r="B1581" s="78"/>
      <c r="C1581" s="189"/>
      <c r="D1581" s="185"/>
      <c r="E1581" s="186"/>
      <c r="F1581" s="187"/>
    </row>
    <row r="1582" spans="1:6" x14ac:dyDescent="0.2">
      <c r="A1582" s="275"/>
      <c r="B1582" s="78"/>
      <c r="C1582" s="189"/>
      <c r="D1582" s="185"/>
      <c r="E1582" s="186"/>
      <c r="F1582" s="187"/>
    </row>
    <row r="1583" spans="1:6" x14ac:dyDescent="0.2">
      <c r="A1583" s="275"/>
      <c r="B1583" s="78"/>
      <c r="C1583" s="189"/>
      <c r="D1583" s="185"/>
      <c r="E1583" s="186"/>
      <c r="F1583" s="187"/>
    </row>
    <row r="1584" spans="1:6" x14ac:dyDescent="0.2">
      <c r="A1584" s="275"/>
      <c r="B1584" s="78"/>
      <c r="C1584" s="189"/>
      <c r="D1584" s="185"/>
      <c r="E1584" s="186"/>
      <c r="F1584" s="187"/>
    </row>
    <row r="1585" spans="1:6" x14ac:dyDescent="0.2">
      <c r="A1585" s="275"/>
      <c r="B1585" s="78"/>
      <c r="C1585" s="189"/>
      <c r="D1585" s="185"/>
      <c r="E1585" s="186"/>
      <c r="F1585" s="187"/>
    </row>
    <row r="1586" spans="1:6" x14ac:dyDescent="0.2">
      <c r="A1586" s="275"/>
      <c r="B1586" s="78"/>
      <c r="C1586" s="189"/>
      <c r="D1586" s="185"/>
      <c r="E1586" s="186"/>
      <c r="F1586" s="187"/>
    </row>
    <row r="1587" spans="1:6" x14ac:dyDescent="0.2">
      <c r="A1587" s="275"/>
      <c r="B1587" s="78"/>
      <c r="C1587" s="189"/>
      <c r="D1587" s="185"/>
      <c r="E1587" s="186"/>
      <c r="F1587" s="187"/>
    </row>
    <row r="1588" spans="1:6" x14ac:dyDescent="0.2">
      <c r="A1588" s="275"/>
      <c r="B1588" s="78"/>
      <c r="C1588" s="189"/>
      <c r="D1588" s="185"/>
      <c r="E1588" s="186"/>
      <c r="F1588" s="187"/>
    </row>
    <row r="1589" spans="1:6" x14ac:dyDescent="0.2">
      <c r="A1589" s="275"/>
      <c r="B1589" s="78"/>
      <c r="C1589" s="189"/>
      <c r="D1589" s="185"/>
      <c r="E1589" s="186"/>
      <c r="F1589" s="187"/>
    </row>
    <row r="1590" spans="1:6" x14ac:dyDescent="0.2">
      <c r="A1590" s="275"/>
      <c r="B1590" s="78"/>
      <c r="C1590" s="189"/>
      <c r="D1590" s="185"/>
      <c r="E1590" s="186"/>
      <c r="F1590" s="187"/>
    </row>
    <row r="1591" spans="1:6" x14ac:dyDescent="0.2">
      <c r="A1591" s="275"/>
      <c r="B1591" s="78"/>
      <c r="C1591" s="189"/>
      <c r="D1591" s="185"/>
      <c r="E1591" s="186"/>
      <c r="F1591" s="187"/>
    </row>
    <row r="1592" spans="1:6" x14ac:dyDescent="0.2">
      <c r="A1592" s="275"/>
      <c r="B1592" s="78"/>
      <c r="C1592" s="189"/>
      <c r="D1592" s="185"/>
      <c r="E1592" s="186"/>
      <c r="F1592" s="187"/>
    </row>
    <row r="1593" spans="1:6" x14ac:dyDescent="0.2">
      <c r="A1593" s="275"/>
      <c r="B1593" s="78"/>
      <c r="C1593" s="189"/>
      <c r="D1593" s="185"/>
      <c r="E1593" s="186"/>
      <c r="F1593" s="187"/>
    </row>
    <row r="1594" spans="1:6" x14ac:dyDescent="0.2">
      <c r="A1594" s="275"/>
      <c r="B1594" s="78"/>
      <c r="C1594" s="189"/>
      <c r="D1594" s="185"/>
      <c r="E1594" s="186"/>
      <c r="F1594" s="187"/>
    </row>
    <row r="1595" spans="1:6" x14ac:dyDescent="0.2">
      <c r="A1595" s="275"/>
      <c r="B1595" s="78"/>
      <c r="C1595" s="189"/>
      <c r="D1595" s="185"/>
      <c r="E1595" s="186"/>
      <c r="F1595" s="187"/>
    </row>
    <row r="1596" spans="1:6" x14ac:dyDescent="0.2">
      <c r="A1596" s="275"/>
      <c r="B1596" s="78"/>
      <c r="C1596" s="189"/>
      <c r="D1596" s="185"/>
      <c r="E1596" s="186"/>
      <c r="F1596" s="187"/>
    </row>
    <row r="1597" spans="1:6" x14ac:dyDescent="0.2">
      <c r="A1597" s="275"/>
      <c r="B1597" s="78"/>
      <c r="C1597" s="189"/>
      <c r="D1597" s="185"/>
      <c r="E1597" s="186"/>
      <c r="F1597" s="187"/>
    </row>
    <row r="1598" spans="1:6" x14ac:dyDescent="0.2">
      <c r="A1598" s="275"/>
      <c r="B1598" s="78"/>
      <c r="C1598" s="189"/>
      <c r="D1598" s="185"/>
      <c r="E1598" s="186"/>
      <c r="F1598" s="187"/>
    </row>
    <row r="1599" spans="1:6" x14ac:dyDescent="0.2">
      <c r="A1599" s="275"/>
      <c r="B1599" s="78"/>
      <c r="C1599" s="189"/>
      <c r="D1599" s="185"/>
      <c r="E1599" s="186"/>
      <c r="F1599" s="187"/>
    </row>
    <row r="1600" spans="1:6" x14ac:dyDescent="0.2">
      <c r="A1600" s="275"/>
      <c r="B1600" s="78"/>
      <c r="C1600" s="189"/>
      <c r="D1600" s="185"/>
      <c r="E1600" s="186"/>
      <c r="F1600" s="187"/>
    </row>
    <row r="1601" spans="1:6" x14ac:dyDescent="0.2">
      <c r="A1601" s="275"/>
      <c r="B1601" s="78"/>
      <c r="C1601" s="189"/>
      <c r="D1601" s="185"/>
      <c r="E1601" s="186"/>
      <c r="F1601" s="187"/>
    </row>
    <row r="1602" spans="1:6" x14ac:dyDescent="0.2">
      <c r="A1602" s="275"/>
      <c r="B1602" s="78"/>
      <c r="C1602" s="189"/>
      <c r="D1602" s="185"/>
      <c r="E1602" s="186"/>
      <c r="F1602" s="187"/>
    </row>
    <row r="1603" spans="1:6" x14ac:dyDescent="0.2">
      <c r="A1603" s="275"/>
      <c r="B1603" s="78"/>
      <c r="C1603" s="189"/>
      <c r="D1603" s="185"/>
      <c r="E1603" s="186"/>
      <c r="F1603" s="187"/>
    </row>
    <row r="1604" spans="1:6" x14ac:dyDescent="0.2">
      <c r="A1604" s="275"/>
      <c r="B1604" s="78"/>
      <c r="C1604" s="189"/>
      <c r="D1604" s="185"/>
      <c r="E1604" s="186"/>
      <c r="F1604" s="187"/>
    </row>
    <row r="1605" spans="1:6" x14ac:dyDescent="0.2">
      <c r="A1605" s="275"/>
      <c r="B1605" s="78"/>
      <c r="C1605" s="189"/>
      <c r="D1605" s="185"/>
      <c r="E1605" s="186"/>
      <c r="F1605" s="187"/>
    </row>
    <row r="1606" spans="1:6" x14ac:dyDescent="0.2">
      <c r="A1606" s="275"/>
      <c r="B1606" s="78"/>
      <c r="C1606" s="189"/>
      <c r="D1606" s="185"/>
      <c r="E1606" s="186"/>
      <c r="F1606" s="187"/>
    </row>
    <row r="1607" spans="1:6" x14ac:dyDescent="0.2">
      <c r="A1607" s="275"/>
      <c r="B1607" s="78"/>
      <c r="C1607" s="189"/>
      <c r="D1607" s="185"/>
      <c r="E1607" s="186"/>
      <c r="F1607" s="187"/>
    </row>
    <row r="1608" spans="1:6" x14ac:dyDescent="0.2">
      <c r="A1608" s="275"/>
      <c r="B1608" s="78"/>
      <c r="C1608" s="189"/>
      <c r="D1608" s="185"/>
      <c r="E1608" s="186"/>
      <c r="F1608" s="187"/>
    </row>
    <row r="1609" spans="1:6" x14ac:dyDescent="0.2">
      <c r="A1609" s="275"/>
      <c r="B1609" s="78"/>
      <c r="C1609" s="189"/>
      <c r="D1609" s="185"/>
      <c r="E1609" s="186"/>
      <c r="F1609" s="187"/>
    </row>
    <row r="1610" spans="1:6" x14ac:dyDescent="0.2">
      <c r="A1610" s="275"/>
      <c r="B1610" s="78"/>
      <c r="C1610" s="189"/>
      <c r="D1610" s="185"/>
      <c r="E1610" s="186"/>
      <c r="F1610" s="187"/>
    </row>
    <row r="1611" spans="1:6" x14ac:dyDescent="0.2">
      <c r="A1611" s="275"/>
      <c r="B1611" s="78"/>
      <c r="C1611" s="189"/>
      <c r="D1611" s="185"/>
      <c r="E1611" s="186"/>
      <c r="F1611" s="187"/>
    </row>
    <row r="1612" spans="1:6" x14ac:dyDescent="0.2">
      <c r="A1612" s="275"/>
      <c r="B1612" s="78"/>
      <c r="C1612" s="189"/>
      <c r="D1612" s="185"/>
      <c r="E1612" s="186"/>
      <c r="F1612" s="187"/>
    </row>
    <row r="1613" spans="1:6" x14ac:dyDescent="0.2">
      <c r="A1613" s="275"/>
      <c r="B1613" s="78"/>
      <c r="C1613" s="189"/>
      <c r="D1613" s="185"/>
      <c r="E1613" s="186"/>
      <c r="F1613" s="187"/>
    </row>
    <row r="1614" spans="1:6" x14ac:dyDescent="0.2">
      <c r="A1614" s="275"/>
      <c r="B1614" s="78"/>
      <c r="C1614" s="189"/>
      <c r="D1614" s="185"/>
      <c r="E1614" s="186"/>
      <c r="F1614" s="187"/>
    </row>
    <row r="1615" spans="1:6" x14ac:dyDescent="0.2">
      <c r="A1615" s="275"/>
      <c r="B1615" s="78"/>
      <c r="C1615" s="189"/>
      <c r="D1615" s="185"/>
      <c r="E1615" s="186"/>
      <c r="F1615" s="187"/>
    </row>
    <row r="1616" spans="1:6" x14ac:dyDescent="0.2">
      <c r="A1616" s="275"/>
      <c r="B1616" s="78"/>
      <c r="C1616" s="189"/>
      <c r="D1616" s="185"/>
      <c r="E1616" s="186"/>
      <c r="F1616" s="187"/>
    </row>
    <row r="1617" spans="1:6" x14ac:dyDescent="0.2">
      <c r="A1617" s="275"/>
      <c r="B1617" s="78"/>
      <c r="C1617" s="189"/>
      <c r="D1617" s="185"/>
      <c r="E1617" s="186"/>
      <c r="F1617" s="187"/>
    </row>
    <row r="1618" spans="1:6" x14ac:dyDescent="0.2">
      <c r="A1618" s="275"/>
      <c r="B1618" s="78"/>
      <c r="C1618" s="189"/>
      <c r="D1618" s="185"/>
      <c r="E1618" s="186"/>
      <c r="F1618" s="187"/>
    </row>
    <row r="1619" spans="1:6" x14ac:dyDescent="0.2">
      <c r="A1619" s="275"/>
      <c r="B1619" s="78"/>
      <c r="C1619" s="189"/>
      <c r="D1619" s="185"/>
      <c r="E1619" s="186"/>
      <c r="F1619" s="187"/>
    </row>
    <row r="1620" spans="1:6" x14ac:dyDescent="0.2">
      <c r="A1620" s="275"/>
      <c r="B1620" s="78"/>
      <c r="C1620" s="189"/>
      <c r="D1620" s="185"/>
      <c r="E1620" s="186"/>
      <c r="F1620" s="187"/>
    </row>
    <row r="1621" spans="1:6" x14ac:dyDescent="0.2">
      <c r="A1621" s="275"/>
      <c r="B1621" s="78"/>
      <c r="C1621" s="189"/>
      <c r="D1621" s="185"/>
      <c r="E1621" s="186"/>
      <c r="F1621" s="187"/>
    </row>
    <row r="1622" spans="1:6" x14ac:dyDescent="0.2">
      <c r="A1622" s="275"/>
      <c r="B1622" s="78"/>
      <c r="C1622" s="189"/>
      <c r="D1622" s="185"/>
      <c r="E1622" s="186"/>
      <c r="F1622" s="187"/>
    </row>
    <row r="1623" spans="1:6" x14ac:dyDescent="0.2">
      <c r="A1623" s="275"/>
      <c r="B1623" s="78"/>
      <c r="C1623" s="189"/>
      <c r="D1623" s="185"/>
      <c r="E1623" s="186"/>
      <c r="F1623" s="187"/>
    </row>
    <row r="1624" spans="1:6" x14ac:dyDescent="0.2">
      <c r="A1624" s="275"/>
      <c r="B1624" s="78"/>
      <c r="C1624" s="189"/>
      <c r="D1624" s="185"/>
      <c r="E1624" s="186"/>
      <c r="F1624" s="187"/>
    </row>
    <row r="1625" spans="1:6" x14ac:dyDescent="0.2">
      <c r="A1625" s="275"/>
      <c r="B1625" s="78"/>
      <c r="C1625" s="189"/>
      <c r="D1625" s="185"/>
      <c r="E1625" s="186"/>
      <c r="F1625" s="187"/>
    </row>
    <row r="1626" spans="1:6" x14ac:dyDescent="0.2">
      <c r="A1626" s="275"/>
      <c r="B1626" s="78"/>
      <c r="C1626" s="189"/>
      <c r="D1626" s="185"/>
      <c r="E1626" s="186"/>
      <c r="F1626" s="187"/>
    </row>
    <row r="1627" spans="1:6" x14ac:dyDescent="0.2">
      <c r="A1627" s="275"/>
      <c r="B1627" s="78"/>
      <c r="C1627" s="189"/>
      <c r="D1627" s="185"/>
      <c r="E1627" s="186"/>
      <c r="F1627" s="187"/>
    </row>
    <row r="1628" spans="1:6" x14ac:dyDescent="0.2">
      <c r="A1628" s="275"/>
      <c r="B1628" s="78"/>
      <c r="C1628" s="189"/>
      <c r="D1628" s="185"/>
      <c r="E1628" s="186"/>
      <c r="F1628" s="187"/>
    </row>
    <row r="1629" spans="1:6" x14ac:dyDescent="0.2">
      <c r="A1629" s="275"/>
      <c r="B1629" s="78"/>
      <c r="C1629" s="189"/>
      <c r="D1629" s="185"/>
      <c r="E1629" s="186"/>
      <c r="F1629" s="187"/>
    </row>
    <row r="1630" spans="1:6" x14ac:dyDescent="0.2">
      <c r="A1630" s="275"/>
      <c r="B1630" s="78"/>
      <c r="C1630" s="189"/>
      <c r="D1630" s="185"/>
      <c r="E1630" s="186"/>
      <c r="F1630" s="187"/>
    </row>
    <row r="1631" spans="1:6" x14ac:dyDescent="0.2">
      <c r="A1631" s="275"/>
      <c r="B1631" s="78"/>
      <c r="C1631" s="189"/>
      <c r="D1631" s="185"/>
      <c r="E1631" s="186"/>
      <c r="F1631" s="187"/>
    </row>
    <row r="1632" spans="1:6" x14ac:dyDescent="0.2">
      <c r="A1632" s="275"/>
      <c r="B1632" s="78"/>
      <c r="C1632" s="189"/>
      <c r="D1632" s="185"/>
      <c r="E1632" s="186"/>
      <c r="F1632" s="187"/>
    </row>
    <row r="1633" spans="1:6" x14ac:dyDescent="0.2">
      <c r="A1633" s="275"/>
      <c r="B1633" s="78"/>
      <c r="C1633" s="189"/>
      <c r="D1633" s="185"/>
      <c r="E1633" s="186"/>
      <c r="F1633" s="187"/>
    </row>
    <row r="1634" spans="1:6" x14ac:dyDescent="0.2">
      <c r="A1634" s="275"/>
      <c r="B1634" s="78"/>
      <c r="C1634" s="189"/>
      <c r="D1634" s="185"/>
      <c r="E1634" s="186"/>
      <c r="F1634" s="187"/>
    </row>
    <row r="1635" spans="1:6" x14ac:dyDescent="0.2">
      <c r="A1635" s="275"/>
      <c r="B1635" s="78"/>
      <c r="C1635" s="189"/>
      <c r="D1635" s="185"/>
      <c r="E1635" s="186"/>
      <c r="F1635" s="187"/>
    </row>
    <row r="1636" spans="1:6" x14ac:dyDescent="0.2">
      <c r="A1636" s="275"/>
      <c r="B1636" s="78"/>
      <c r="C1636" s="189"/>
      <c r="D1636" s="185"/>
      <c r="E1636" s="186"/>
      <c r="F1636" s="187"/>
    </row>
    <row r="1637" spans="1:6" x14ac:dyDescent="0.2">
      <c r="A1637" s="275"/>
      <c r="B1637" s="78"/>
      <c r="C1637" s="189"/>
      <c r="D1637" s="185"/>
      <c r="E1637" s="186"/>
      <c r="F1637" s="187"/>
    </row>
    <row r="1638" spans="1:6" x14ac:dyDescent="0.2">
      <c r="A1638" s="275"/>
      <c r="B1638" s="78"/>
      <c r="C1638" s="189"/>
      <c r="D1638" s="185"/>
      <c r="E1638" s="186"/>
      <c r="F1638" s="187"/>
    </row>
    <row r="1639" spans="1:6" x14ac:dyDescent="0.2">
      <c r="A1639" s="275"/>
      <c r="B1639" s="78"/>
      <c r="C1639" s="189"/>
      <c r="D1639" s="185"/>
      <c r="E1639" s="186"/>
      <c r="F1639" s="187"/>
    </row>
    <row r="1640" spans="1:6" x14ac:dyDescent="0.2">
      <c r="A1640" s="275"/>
      <c r="B1640" s="78"/>
      <c r="C1640" s="189"/>
      <c r="D1640" s="185"/>
      <c r="E1640" s="186"/>
      <c r="F1640" s="187"/>
    </row>
    <row r="1641" spans="1:6" x14ac:dyDescent="0.2">
      <c r="A1641" s="275"/>
      <c r="B1641" s="78"/>
      <c r="C1641" s="189"/>
      <c r="D1641" s="185"/>
      <c r="E1641" s="186"/>
      <c r="F1641" s="187"/>
    </row>
    <row r="1642" spans="1:6" x14ac:dyDescent="0.2">
      <c r="A1642" s="275"/>
      <c r="B1642" s="78"/>
      <c r="C1642" s="189"/>
      <c r="D1642" s="185"/>
      <c r="E1642" s="186"/>
      <c r="F1642" s="187"/>
    </row>
    <row r="1643" spans="1:6" x14ac:dyDescent="0.2">
      <c r="A1643" s="275"/>
      <c r="B1643" s="78"/>
      <c r="C1643" s="189"/>
      <c r="D1643" s="185"/>
      <c r="E1643" s="186"/>
      <c r="F1643" s="187"/>
    </row>
    <row r="1644" spans="1:6" x14ac:dyDescent="0.2">
      <c r="A1644" s="275"/>
      <c r="B1644" s="78"/>
      <c r="C1644" s="189"/>
      <c r="D1644" s="185"/>
      <c r="E1644" s="186"/>
      <c r="F1644" s="187"/>
    </row>
    <row r="1645" spans="1:6" x14ac:dyDescent="0.2">
      <c r="A1645" s="275"/>
      <c r="B1645" s="78"/>
      <c r="C1645" s="189"/>
      <c r="D1645" s="185"/>
      <c r="E1645" s="186"/>
      <c r="F1645" s="187"/>
    </row>
    <row r="1646" spans="1:6" x14ac:dyDescent="0.2">
      <c r="A1646" s="275"/>
      <c r="B1646" s="78"/>
      <c r="C1646" s="189"/>
      <c r="D1646" s="185"/>
      <c r="E1646" s="186"/>
      <c r="F1646" s="187"/>
    </row>
    <row r="1647" spans="1:6" x14ac:dyDescent="0.2">
      <c r="A1647" s="275"/>
      <c r="B1647" s="78"/>
      <c r="C1647" s="189"/>
      <c r="D1647" s="185"/>
      <c r="E1647" s="186"/>
      <c r="F1647" s="187"/>
    </row>
    <row r="1648" spans="1:6" x14ac:dyDescent="0.2">
      <c r="A1648" s="275"/>
      <c r="B1648" s="78"/>
      <c r="C1648" s="189"/>
      <c r="D1648" s="185"/>
      <c r="E1648" s="186"/>
      <c r="F1648" s="187"/>
    </row>
    <row r="1649" spans="1:6" x14ac:dyDescent="0.2">
      <c r="A1649" s="275"/>
      <c r="B1649" s="78"/>
      <c r="C1649" s="189"/>
      <c r="D1649" s="185"/>
      <c r="E1649" s="186"/>
      <c r="F1649" s="187"/>
    </row>
    <row r="1650" spans="1:6" x14ac:dyDescent="0.2">
      <c r="A1650" s="275"/>
      <c r="B1650" s="78"/>
      <c r="C1650" s="189"/>
      <c r="D1650" s="185"/>
      <c r="E1650" s="186"/>
      <c r="F1650" s="187"/>
    </row>
    <row r="1651" spans="1:6" x14ac:dyDescent="0.2">
      <c r="A1651" s="275"/>
      <c r="B1651" s="78"/>
      <c r="C1651" s="189"/>
      <c r="D1651" s="185"/>
      <c r="E1651" s="186"/>
      <c r="F1651" s="187"/>
    </row>
    <row r="1652" spans="1:6" x14ac:dyDescent="0.2">
      <c r="A1652" s="275"/>
      <c r="B1652" s="78"/>
      <c r="C1652" s="189"/>
      <c r="D1652" s="185"/>
      <c r="E1652" s="186"/>
      <c r="F1652" s="187"/>
    </row>
    <row r="1653" spans="1:6" x14ac:dyDescent="0.2">
      <c r="A1653" s="275"/>
      <c r="B1653" s="78"/>
      <c r="C1653" s="189"/>
      <c r="D1653" s="185"/>
      <c r="E1653" s="186"/>
      <c r="F1653" s="187"/>
    </row>
    <row r="1654" spans="1:6" x14ac:dyDescent="0.2">
      <c r="A1654" s="275"/>
      <c r="B1654" s="78"/>
      <c r="C1654" s="189"/>
      <c r="D1654" s="185"/>
      <c r="E1654" s="186"/>
      <c r="F1654" s="187"/>
    </row>
    <row r="1655" spans="1:6" x14ac:dyDescent="0.2">
      <c r="A1655" s="275"/>
      <c r="B1655" s="78"/>
      <c r="C1655" s="189"/>
      <c r="D1655" s="185"/>
      <c r="E1655" s="186"/>
      <c r="F1655" s="187"/>
    </row>
    <row r="1656" spans="1:6" x14ac:dyDescent="0.2">
      <c r="A1656" s="275"/>
      <c r="B1656" s="78"/>
      <c r="C1656" s="189"/>
      <c r="D1656" s="185"/>
      <c r="E1656" s="186"/>
      <c r="F1656" s="187"/>
    </row>
    <row r="1657" spans="1:6" x14ac:dyDescent="0.2">
      <c r="A1657" s="275"/>
      <c r="B1657" s="78"/>
      <c r="C1657" s="189"/>
      <c r="D1657" s="185"/>
      <c r="E1657" s="186"/>
      <c r="F1657" s="187"/>
    </row>
    <row r="1658" spans="1:6" x14ac:dyDescent="0.2">
      <c r="A1658" s="275"/>
      <c r="B1658" s="78"/>
      <c r="C1658" s="189"/>
      <c r="D1658" s="185"/>
      <c r="E1658" s="186"/>
      <c r="F1658" s="187"/>
    </row>
    <row r="1659" spans="1:6" x14ac:dyDescent="0.2">
      <c r="A1659" s="275"/>
      <c r="B1659" s="78"/>
      <c r="C1659" s="189"/>
      <c r="D1659" s="185"/>
      <c r="E1659" s="186"/>
      <c r="F1659" s="187"/>
    </row>
    <row r="1660" spans="1:6" x14ac:dyDescent="0.2">
      <c r="A1660" s="275"/>
      <c r="B1660" s="78"/>
      <c r="C1660" s="189"/>
      <c r="D1660" s="185"/>
      <c r="E1660" s="186"/>
      <c r="F1660" s="187"/>
    </row>
    <row r="1661" spans="1:6" x14ac:dyDescent="0.2">
      <c r="A1661" s="275"/>
      <c r="B1661" s="78"/>
      <c r="C1661" s="189"/>
      <c r="D1661" s="185"/>
      <c r="E1661" s="186"/>
      <c r="F1661" s="187"/>
    </row>
    <row r="1662" spans="1:6" x14ac:dyDescent="0.2">
      <c r="A1662" s="275"/>
      <c r="B1662" s="78"/>
      <c r="C1662" s="189"/>
      <c r="D1662" s="185"/>
      <c r="E1662" s="186"/>
      <c r="F1662" s="187"/>
    </row>
    <row r="1663" spans="1:6" x14ac:dyDescent="0.2">
      <c r="A1663" s="275"/>
      <c r="B1663" s="78"/>
      <c r="C1663" s="189"/>
      <c r="D1663" s="185"/>
      <c r="E1663" s="186"/>
      <c r="F1663" s="187"/>
    </row>
    <row r="1664" spans="1:6" x14ac:dyDescent="0.2">
      <c r="A1664" s="275"/>
      <c r="B1664" s="78"/>
      <c r="C1664" s="189"/>
      <c r="D1664" s="185"/>
      <c r="E1664" s="186"/>
      <c r="F1664" s="187"/>
    </row>
    <row r="1665" spans="1:6" x14ac:dyDescent="0.2">
      <c r="A1665" s="275"/>
      <c r="B1665" s="78"/>
      <c r="C1665" s="189"/>
      <c r="D1665" s="185"/>
      <c r="E1665" s="186"/>
      <c r="F1665" s="187"/>
    </row>
    <row r="1666" spans="1:6" x14ac:dyDescent="0.2">
      <c r="A1666" s="275"/>
      <c r="B1666" s="78"/>
      <c r="C1666" s="189"/>
      <c r="D1666" s="185"/>
      <c r="E1666" s="186"/>
      <c r="F1666" s="187"/>
    </row>
    <row r="1667" spans="1:6" x14ac:dyDescent="0.2">
      <c r="A1667" s="275"/>
      <c r="B1667" s="78"/>
      <c r="C1667" s="189"/>
      <c r="D1667" s="185"/>
      <c r="E1667" s="186"/>
      <c r="F1667" s="187"/>
    </row>
    <row r="1668" spans="1:6" x14ac:dyDescent="0.2">
      <c r="A1668" s="275"/>
      <c r="B1668" s="78"/>
      <c r="C1668" s="189"/>
      <c r="D1668" s="185"/>
      <c r="E1668" s="186"/>
      <c r="F1668" s="187"/>
    </row>
    <row r="1669" spans="1:6" x14ac:dyDescent="0.2">
      <c r="A1669" s="275"/>
      <c r="B1669" s="78"/>
      <c r="C1669" s="189"/>
      <c r="D1669" s="185"/>
      <c r="E1669" s="186"/>
      <c r="F1669" s="187"/>
    </row>
    <row r="1670" spans="1:6" x14ac:dyDescent="0.2">
      <c r="A1670" s="275"/>
      <c r="B1670" s="78"/>
      <c r="C1670" s="189"/>
      <c r="D1670" s="185"/>
      <c r="E1670" s="186"/>
      <c r="F1670" s="187"/>
    </row>
    <row r="1671" spans="1:6" x14ac:dyDescent="0.2">
      <c r="A1671" s="275"/>
      <c r="B1671" s="78"/>
      <c r="C1671" s="189"/>
      <c r="D1671" s="185"/>
      <c r="E1671" s="186"/>
      <c r="F1671" s="187"/>
    </row>
    <row r="1672" spans="1:6" x14ac:dyDescent="0.2">
      <c r="A1672" s="275"/>
      <c r="B1672" s="78"/>
      <c r="C1672" s="189"/>
      <c r="D1672" s="185"/>
      <c r="E1672" s="186"/>
      <c r="F1672" s="187"/>
    </row>
    <row r="1673" spans="1:6" x14ac:dyDescent="0.2">
      <c r="A1673" s="275"/>
      <c r="B1673" s="78"/>
      <c r="C1673" s="189"/>
      <c r="D1673" s="185"/>
      <c r="E1673" s="186"/>
      <c r="F1673" s="187"/>
    </row>
    <row r="1674" spans="1:6" x14ac:dyDescent="0.2">
      <c r="A1674" s="275"/>
      <c r="B1674" s="78"/>
      <c r="C1674" s="189"/>
      <c r="D1674" s="185"/>
      <c r="E1674" s="186"/>
      <c r="F1674" s="187"/>
    </row>
    <row r="1675" spans="1:6" x14ac:dyDescent="0.2">
      <c r="A1675" s="275"/>
      <c r="B1675" s="78"/>
      <c r="C1675" s="189"/>
      <c r="D1675" s="185"/>
      <c r="E1675" s="186"/>
      <c r="F1675" s="187"/>
    </row>
    <row r="1676" spans="1:6" x14ac:dyDescent="0.2">
      <c r="A1676" s="275"/>
      <c r="B1676" s="78"/>
      <c r="C1676" s="189"/>
      <c r="D1676" s="185"/>
      <c r="E1676" s="186"/>
      <c r="F1676" s="187"/>
    </row>
    <row r="1677" spans="1:6" x14ac:dyDescent="0.2">
      <c r="A1677" s="275"/>
      <c r="B1677" s="78"/>
      <c r="C1677" s="189"/>
      <c r="D1677" s="185"/>
      <c r="E1677" s="186"/>
      <c r="F1677" s="187"/>
    </row>
    <row r="1678" spans="1:6" x14ac:dyDescent="0.2">
      <c r="A1678" s="275"/>
      <c r="B1678" s="78"/>
      <c r="C1678" s="189"/>
      <c r="D1678" s="185"/>
      <c r="E1678" s="186"/>
      <c r="F1678" s="187"/>
    </row>
    <row r="1679" spans="1:6" x14ac:dyDescent="0.2">
      <c r="A1679" s="275"/>
      <c r="B1679" s="78"/>
      <c r="C1679" s="189"/>
      <c r="D1679" s="185"/>
      <c r="E1679" s="186"/>
      <c r="F1679" s="187"/>
    </row>
    <row r="1680" spans="1:6" x14ac:dyDescent="0.2">
      <c r="A1680" s="275"/>
      <c r="B1680" s="78"/>
      <c r="C1680" s="189"/>
      <c r="D1680" s="185"/>
      <c r="E1680" s="186"/>
      <c r="F1680" s="187"/>
    </row>
    <row r="1681" spans="1:6" x14ac:dyDescent="0.2">
      <c r="A1681" s="275"/>
      <c r="B1681" s="78"/>
      <c r="C1681" s="189"/>
      <c r="D1681" s="185"/>
      <c r="E1681" s="186"/>
      <c r="F1681" s="187"/>
    </row>
    <row r="1682" spans="1:6" x14ac:dyDescent="0.2">
      <c r="A1682" s="275"/>
      <c r="B1682" s="78"/>
      <c r="C1682" s="189"/>
      <c r="D1682" s="185"/>
      <c r="E1682" s="186"/>
      <c r="F1682" s="187"/>
    </row>
    <row r="1683" spans="1:6" x14ac:dyDescent="0.2">
      <c r="A1683" s="275"/>
      <c r="B1683" s="78"/>
      <c r="C1683" s="189"/>
      <c r="D1683" s="185"/>
      <c r="E1683" s="186"/>
      <c r="F1683" s="187"/>
    </row>
    <row r="1684" spans="1:6" x14ac:dyDescent="0.2">
      <c r="A1684" s="275"/>
      <c r="B1684" s="78"/>
      <c r="C1684" s="189"/>
      <c r="D1684" s="185"/>
      <c r="E1684" s="186"/>
      <c r="F1684" s="187"/>
    </row>
    <row r="1685" spans="1:6" x14ac:dyDescent="0.2">
      <c r="A1685" s="275"/>
      <c r="B1685" s="78"/>
      <c r="C1685" s="189"/>
      <c r="D1685" s="185"/>
      <c r="E1685" s="186"/>
      <c r="F1685" s="187"/>
    </row>
    <row r="1686" spans="1:6" x14ac:dyDescent="0.2">
      <c r="A1686" s="275"/>
      <c r="B1686" s="78"/>
      <c r="C1686" s="189"/>
      <c r="D1686" s="185"/>
      <c r="E1686" s="186"/>
      <c r="F1686" s="187"/>
    </row>
    <row r="1687" spans="1:6" x14ac:dyDescent="0.2">
      <c r="A1687" s="275"/>
      <c r="B1687" s="78"/>
      <c r="C1687" s="189"/>
      <c r="D1687" s="185"/>
      <c r="E1687" s="186"/>
      <c r="F1687" s="187"/>
    </row>
    <row r="1688" spans="1:6" x14ac:dyDescent="0.2">
      <c r="A1688" s="275"/>
      <c r="B1688" s="78"/>
      <c r="C1688" s="189"/>
      <c r="D1688" s="185"/>
      <c r="E1688" s="186"/>
      <c r="F1688" s="187"/>
    </row>
    <row r="1689" spans="1:6" x14ac:dyDescent="0.2">
      <c r="A1689" s="275"/>
      <c r="B1689" s="78"/>
      <c r="C1689" s="189"/>
      <c r="D1689" s="185"/>
      <c r="E1689" s="186"/>
      <c r="F1689" s="187"/>
    </row>
    <row r="1690" spans="1:6" x14ac:dyDescent="0.2">
      <c r="A1690" s="275"/>
      <c r="B1690" s="78"/>
      <c r="C1690" s="189"/>
      <c r="D1690" s="185"/>
      <c r="E1690" s="186"/>
      <c r="F1690" s="187"/>
    </row>
    <row r="1691" spans="1:6" x14ac:dyDescent="0.2">
      <c r="A1691" s="275"/>
      <c r="B1691" s="78"/>
      <c r="C1691" s="189"/>
      <c r="D1691" s="185"/>
      <c r="E1691" s="186"/>
      <c r="F1691" s="187"/>
    </row>
    <row r="1692" spans="1:6" x14ac:dyDescent="0.2">
      <c r="A1692" s="275"/>
      <c r="B1692" s="78"/>
      <c r="C1692" s="189"/>
      <c r="D1692" s="185"/>
      <c r="E1692" s="186"/>
      <c r="F1692" s="187"/>
    </row>
    <row r="1693" spans="1:6" x14ac:dyDescent="0.2">
      <c r="A1693" s="275"/>
      <c r="B1693" s="78"/>
      <c r="C1693" s="189"/>
      <c r="D1693" s="185"/>
      <c r="E1693" s="186"/>
      <c r="F1693" s="187"/>
    </row>
    <row r="1694" spans="1:6" x14ac:dyDescent="0.2">
      <c r="A1694" s="275"/>
      <c r="B1694" s="78"/>
      <c r="C1694" s="189"/>
      <c r="D1694" s="185"/>
      <c r="E1694" s="186"/>
      <c r="F1694" s="187"/>
    </row>
    <row r="1695" spans="1:6" x14ac:dyDescent="0.2">
      <c r="A1695" s="275"/>
      <c r="B1695" s="78"/>
      <c r="C1695" s="189"/>
      <c r="D1695" s="185"/>
      <c r="E1695" s="186"/>
      <c r="F1695" s="187"/>
    </row>
    <row r="1696" spans="1:6" x14ac:dyDescent="0.2">
      <c r="A1696" s="275"/>
      <c r="B1696" s="78"/>
      <c r="C1696" s="189"/>
      <c r="D1696" s="185"/>
      <c r="E1696" s="186"/>
      <c r="F1696" s="187"/>
    </row>
    <row r="1697" spans="1:6" x14ac:dyDescent="0.2">
      <c r="A1697" s="275"/>
      <c r="B1697" s="78"/>
      <c r="C1697" s="189"/>
      <c r="D1697" s="185"/>
      <c r="E1697" s="186"/>
      <c r="F1697" s="187"/>
    </row>
    <row r="1698" spans="1:6" x14ac:dyDescent="0.2">
      <c r="A1698" s="275"/>
      <c r="B1698" s="78"/>
      <c r="C1698" s="189"/>
      <c r="D1698" s="185"/>
      <c r="E1698" s="186"/>
      <c r="F1698" s="187"/>
    </row>
    <row r="1699" spans="1:6" x14ac:dyDescent="0.2">
      <c r="A1699" s="275"/>
      <c r="B1699" s="78"/>
      <c r="C1699" s="189"/>
      <c r="D1699" s="185"/>
      <c r="E1699" s="186"/>
      <c r="F1699" s="187"/>
    </row>
    <row r="1700" spans="1:6" x14ac:dyDescent="0.2">
      <c r="A1700" s="275"/>
      <c r="B1700" s="78"/>
      <c r="C1700" s="189"/>
      <c r="D1700" s="185"/>
      <c r="E1700" s="186"/>
      <c r="F1700" s="187"/>
    </row>
    <row r="1701" spans="1:6" x14ac:dyDescent="0.2">
      <c r="A1701" s="275"/>
      <c r="B1701" s="78"/>
      <c r="C1701" s="189"/>
      <c r="D1701" s="185"/>
      <c r="E1701" s="186"/>
      <c r="F1701" s="187"/>
    </row>
    <row r="1702" spans="1:6" x14ac:dyDescent="0.2">
      <c r="A1702" s="275"/>
      <c r="B1702" s="78"/>
      <c r="C1702" s="189"/>
      <c r="D1702" s="185"/>
      <c r="E1702" s="186"/>
      <c r="F1702" s="187"/>
    </row>
    <row r="1703" spans="1:6" x14ac:dyDescent="0.2">
      <c r="A1703" s="275"/>
      <c r="B1703" s="78"/>
      <c r="C1703" s="189"/>
      <c r="D1703" s="185"/>
      <c r="E1703" s="186"/>
      <c r="F1703" s="187"/>
    </row>
    <row r="1704" spans="1:6" x14ac:dyDescent="0.2">
      <c r="A1704" s="275"/>
      <c r="B1704" s="78"/>
      <c r="C1704" s="189"/>
      <c r="D1704" s="185"/>
      <c r="E1704" s="186"/>
      <c r="F1704" s="187"/>
    </row>
    <row r="1705" spans="1:6" x14ac:dyDescent="0.2">
      <c r="A1705" s="275"/>
      <c r="B1705" s="78"/>
      <c r="C1705" s="189"/>
      <c r="D1705" s="185"/>
      <c r="E1705" s="186"/>
      <c r="F1705" s="187"/>
    </row>
    <row r="1706" spans="1:6" x14ac:dyDescent="0.2">
      <c r="A1706" s="275"/>
      <c r="B1706" s="78"/>
      <c r="C1706" s="189"/>
      <c r="D1706" s="185"/>
      <c r="E1706" s="186"/>
      <c r="F1706" s="187"/>
    </row>
    <row r="1707" spans="1:6" x14ac:dyDescent="0.2">
      <c r="A1707" s="275"/>
      <c r="B1707" s="78"/>
      <c r="C1707" s="189"/>
      <c r="D1707" s="185"/>
      <c r="E1707" s="186"/>
      <c r="F1707" s="187"/>
    </row>
    <row r="1708" spans="1:6" x14ac:dyDescent="0.2">
      <c r="A1708" s="275"/>
      <c r="B1708" s="78"/>
      <c r="C1708" s="189"/>
      <c r="D1708" s="185"/>
      <c r="E1708" s="186"/>
      <c r="F1708" s="187"/>
    </row>
    <row r="1709" spans="1:6" x14ac:dyDescent="0.2">
      <c r="A1709" s="275"/>
      <c r="B1709" s="78"/>
      <c r="C1709" s="189"/>
      <c r="D1709" s="185"/>
      <c r="E1709" s="186"/>
      <c r="F1709" s="187"/>
    </row>
    <row r="1710" spans="1:6" x14ac:dyDescent="0.2">
      <c r="A1710" s="275"/>
      <c r="B1710" s="78"/>
      <c r="C1710" s="189"/>
      <c r="D1710" s="185"/>
      <c r="E1710" s="186"/>
      <c r="F1710" s="187"/>
    </row>
    <row r="1711" spans="1:6" x14ac:dyDescent="0.2">
      <c r="A1711" s="275"/>
      <c r="B1711" s="78"/>
      <c r="C1711" s="189"/>
      <c r="D1711" s="185"/>
      <c r="E1711" s="186"/>
      <c r="F1711" s="187"/>
    </row>
    <row r="1712" spans="1:6" x14ac:dyDescent="0.2">
      <c r="A1712" s="275"/>
      <c r="B1712" s="78"/>
      <c r="C1712" s="189"/>
      <c r="D1712" s="185"/>
      <c r="E1712" s="186"/>
      <c r="F1712" s="187"/>
    </row>
    <row r="1713" spans="1:6" x14ac:dyDescent="0.2">
      <c r="A1713" s="275"/>
      <c r="B1713" s="78"/>
      <c r="C1713" s="189"/>
      <c r="D1713" s="185"/>
      <c r="E1713" s="186"/>
      <c r="F1713" s="187"/>
    </row>
    <row r="1714" spans="1:6" x14ac:dyDescent="0.2">
      <c r="A1714" s="275"/>
      <c r="B1714" s="78"/>
      <c r="C1714" s="189"/>
      <c r="D1714" s="185"/>
      <c r="E1714" s="186"/>
      <c r="F1714" s="187"/>
    </row>
    <row r="1715" spans="1:6" x14ac:dyDescent="0.2">
      <c r="A1715" s="275"/>
      <c r="B1715" s="78"/>
      <c r="C1715" s="189"/>
      <c r="D1715" s="185"/>
      <c r="E1715" s="186"/>
      <c r="F1715" s="187"/>
    </row>
    <row r="1716" spans="1:6" x14ac:dyDescent="0.2">
      <c r="A1716" s="275"/>
      <c r="B1716" s="78"/>
      <c r="C1716" s="189"/>
      <c r="D1716" s="185"/>
      <c r="E1716" s="186"/>
      <c r="F1716" s="187"/>
    </row>
    <row r="1717" spans="1:6" x14ac:dyDescent="0.2">
      <c r="A1717" s="275"/>
      <c r="B1717" s="78"/>
      <c r="C1717" s="189"/>
      <c r="D1717" s="185"/>
      <c r="E1717" s="186"/>
      <c r="F1717" s="187"/>
    </row>
    <row r="1718" spans="1:6" x14ac:dyDescent="0.2">
      <c r="A1718" s="275"/>
      <c r="B1718" s="78"/>
      <c r="C1718" s="189"/>
      <c r="D1718" s="185"/>
      <c r="E1718" s="186"/>
      <c r="F1718" s="187"/>
    </row>
    <row r="1719" spans="1:6" x14ac:dyDescent="0.2">
      <c r="A1719" s="275"/>
      <c r="B1719" s="78"/>
      <c r="C1719" s="189"/>
      <c r="D1719" s="185"/>
      <c r="E1719" s="186"/>
      <c r="F1719" s="187"/>
    </row>
    <row r="1720" spans="1:6" x14ac:dyDescent="0.2">
      <c r="A1720" s="275"/>
      <c r="B1720" s="78"/>
      <c r="C1720" s="189"/>
      <c r="D1720" s="185"/>
      <c r="E1720" s="186"/>
      <c r="F1720" s="187"/>
    </row>
    <row r="1721" spans="1:6" x14ac:dyDescent="0.2">
      <c r="A1721" s="275"/>
      <c r="B1721" s="78"/>
      <c r="C1721" s="189"/>
      <c r="D1721" s="185"/>
      <c r="E1721" s="186"/>
      <c r="F1721" s="187"/>
    </row>
    <row r="1722" spans="1:6" x14ac:dyDescent="0.2">
      <c r="A1722" s="275"/>
      <c r="B1722" s="78"/>
      <c r="C1722" s="189"/>
      <c r="D1722" s="185"/>
      <c r="E1722" s="186"/>
      <c r="F1722" s="187"/>
    </row>
    <row r="1723" spans="1:6" x14ac:dyDescent="0.2">
      <c r="A1723" s="275"/>
      <c r="B1723" s="78"/>
      <c r="C1723" s="189"/>
      <c r="D1723" s="185"/>
      <c r="E1723" s="186"/>
      <c r="F1723" s="187"/>
    </row>
    <row r="1724" spans="1:6" x14ac:dyDescent="0.2">
      <c r="A1724" s="275"/>
      <c r="B1724" s="78"/>
      <c r="C1724" s="189"/>
      <c r="D1724" s="185"/>
      <c r="E1724" s="186"/>
      <c r="F1724" s="187"/>
    </row>
    <row r="1725" spans="1:6" x14ac:dyDescent="0.2">
      <c r="A1725" s="275"/>
      <c r="B1725" s="78"/>
      <c r="C1725" s="189"/>
      <c r="D1725" s="185"/>
      <c r="E1725" s="186"/>
      <c r="F1725" s="187"/>
    </row>
    <row r="1726" spans="1:6" x14ac:dyDescent="0.2">
      <c r="A1726" s="275"/>
      <c r="B1726" s="78"/>
      <c r="C1726" s="189"/>
      <c r="D1726" s="185"/>
      <c r="E1726" s="186"/>
      <c r="F1726" s="187"/>
    </row>
    <row r="1727" spans="1:6" x14ac:dyDescent="0.2">
      <c r="A1727" s="275"/>
      <c r="B1727" s="78"/>
      <c r="C1727" s="189"/>
      <c r="D1727" s="185"/>
      <c r="E1727" s="186"/>
      <c r="F1727" s="187"/>
    </row>
    <row r="1728" spans="1:6" x14ac:dyDescent="0.2">
      <c r="A1728" s="275"/>
      <c r="B1728" s="78"/>
      <c r="C1728" s="189"/>
      <c r="D1728" s="185"/>
      <c r="E1728" s="186"/>
      <c r="F1728" s="187"/>
    </row>
    <row r="1729" spans="1:6" x14ac:dyDescent="0.2">
      <c r="A1729" s="275"/>
      <c r="B1729" s="78"/>
      <c r="C1729" s="189"/>
      <c r="D1729" s="185"/>
      <c r="E1729" s="186"/>
      <c r="F1729" s="187"/>
    </row>
    <row r="1730" spans="1:6" x14ac:dyDescent="0.2">
      <c r="A1730" s="275"/>
      <c r="B1730" s="78"/>
      <c r="C1730" s="189"/>
      <c r="D1730" s="185"/>
      <c r="E1730" s="186"/>
      <c r="F1730" s="187"/>
    </row>
    <row r="1731" spans="1:6" x14ac:dyDescent="0.2">
      <c r="A1731" s="275"/>
      <c r="B1731" s="78"/>
      <c r="C1731" s="189"/>
      <c r="D1731" s="185"/>
      <c r="E1731" s="186"/>
      <c r="F1731" s="187"/>
    </row>
    <row r="1732" spans="1:6" x14ac:dyDescent="0.2">
      <c r="A1732" s="275"/>
      <c r="B1732" s="78"/>
      <c r="C1732" s="189"/>
      <c r="D1732" s="185"/>
      <c r="E1732" s="186"/>
      <c r="F1732" s="187"/>
    </row>
    <row r="1733" spans="1:6" x14ac:dyDescent="0.2">
      <c r="A1733" s="275"/>
      <c r="B1733" s="78"/>
      <c r="C1733" s="189"/>
      <c r="D1733" s="185"/>
      <c r="E1733" s="186"/>
      <c r="F1733" s="187"/>
    </row>
    <row r="1734" spans="1:6" x14ac:dyDescent="0.2">
      <c r="A1734" s="275"/>
      <c r="B1734" s="78"/>
      <c r="C1734" s="189"/>
      <c r="D1734" s="185"/>
      <c r="E1734" s="186"/>
      <c r="F1734" s="187"/>
    </row>
    <row r="1735" spans="1:6" x14ac:dyDescent="0.2">
      <c r="A1735" s="275"/>
      <c r="B1735" s="78"/>
      <c r="C1735" s="189"/>
      <c r="D1735" s="185"/>
      <c r="E1735" s="186"/>
      <c r="F1735" s="187"/>
    </row>
    <row r="1736" spans="1:6" x14ac:dyDescent="0.2">
      <c r="A1736" s="275"/>
      <c r="B1736" s="78"/>
      <c r="C1736" s="189"/>
      <c r="D1736" s="185"/>
      <c r="E1736" s="186"/>
      <c r="F1736" s="187"/>
    </row>
    <row r="1737" spans="1:6" x14ac:dyDescent="0.2">
      <c r="A1737" s="275"/>
      <c r="B1737" s="78"/>
      <c r="C1737" s="189"/>
      <c r="D1737" s="185"/>
      <c r="E1737" s="186"/>
      <c r="F1737" s="187"/>
    </row>
    <row r="1738" spans="1:6" x14ac:dyDescent="0.2">
      <c r="A1738" s="275"/>
      <c r="B1738" s="78"/>
      <c r="C1738" s="189"/>
      <c r="D1738" s="185"/>
      <c r="E1738" s="186"/>
      <c r="F1738" s="187"/>
    </row>
    <row r="1739" spans="1:6" x14ac:dyDescent="0.2">
      <c r="A1739" s="275"/>
      <c r="B1739" s="78"/>
      <c r="C1739" s="189"/>
      <c r="D1739" s="185"/>
      <c r="E1739" s="186"/>
      <c r="F1739" s="187"/>
    </row>
    <row r="1740" spans="1:6" x14ac:dyDescent="0.2">
      <c r="A1740" s="275"/>
      <c r="B1740" s="78"/>
      <c r="C1740" s="189"/>
      <c r="D1740" s="185"/>
      <c r="E1740" s="186"/>
      <c r="F1740" s="187"/>
    </row>
    <row r="1741" spans="1:6" x14ac:dyDescent="0.2">
      <c r="A1741" s="275"/>
      <c r="B1741" s="78"/>
      <c r="C1741" s="189"/>
      <c r="D1741" s="185"/>
      <c r="E1741" s="186"/>
      <c r="F1741" s="187"/>
    </row>
    <row r="1742" spans="1:6" x14ac:dyDescent="0.2">
      <c r="A1742" s="275"/>
      <c r="B1742" s="78"/>
      <c r="C1742" s="189"/>
      <c r="D1742" s="185"/>
      <c r="E1742" s="186"/>
      <c r="F1742" s="187"/>
    </row>
    <row r="1743" spans="1:6" x14ac:dyDescent="0.2">
      <c r="A1743" s="275"/>
      <c r="B1743" s="78"/>
      <c r="C1743" s="189"/>
      <c r="D1743" s="185"/>
      <c r="E1743" s="186"/>
      <c r="F1743" s="187"/>
    </row>
    <row r="1744" spans="1:6" x14ac:dyDescent="0.2">
      <c r="A1744" s="275"/>
      <c r="B1744" s="78"/>
      <c r="C1744" s="189"/>
      <c r="D1744" s="185"/>
      <c r="E1744" s="186"/>
      <c r="F1744" s="187"/>
    </row>
    <row r="1745" spans="1:6" x14ac:dyDescent="0.2">
      <c r="A1745" s="275"/>
      <c r="B1745" s="78"/>
      <c r="C1745" s="189"/>
      <c r="D1745" s="185"/>
      <c r="E1745" s="186"/>
      <c r="F1745" s="187"/>
    </row>
    <row r="1746" spans="1:6" x14ac:dyDescent="0.2">
      <c r="A1746" s="275"/>
      <c r="B1746" s="78"/>
      <c r="C1746" s="189"/>
      <c r="D1746" s="185"/>
      <c r="E1746" s="186"/>
      <c r="F1746" s="187"/>
    </row>
    <row r="1747" spans="1:6" x14ac:dyDescent="0.2">
      <c r="A1747" s="275"/>
      <c r="B1747" s="78"/>
      <c r="C1747" s="189"/>
      <c r="D1747" s="185"/>
      <c r="E1747" s="186"/>
      <c r="F1747" s="187"/>
    </row>
    <row r="1748" spans="1:6" x14ac:dyDescent="0.2">
      <c r="A1748" s="275"/>
      <c r="B1748" s="78"/>
      <c r="C1748" s="189"/>
      <c r="D1748" s="185"/>
      <c r="E1748" s="186"/>
      <c r="F1748" s="187"/>
    </row>
    <row r="1749" spans="1:6" x14ac:dyDescent="0.2">
      <c r="A1749" s="275"/>
      <c r="B1749" s="78"/>
      <c r="C1749" s="189"/>
      <c r="D1749" s="185"/>
      <c r="E1749" s="186"/>
      <c r="F1749" s="187"/>
    </row>
    <row r="1750" spans="1:6" x14ac:dyDescent="0.2">
      <c r="A1750" s="275"/>
      <c r="B1750" s="78"/>
      <c r="C1750" s="189"/>
      <c r="D1750" s="185"/>
      <c r="E1750" s="186"/>
      <c r="F1750" s="187"/>
    </row>
    <row r="1751" spans="1:6" x14ac:dyDescent="0.2">
      <c r="A1751" s="275"/>
      <c r="B1751" s="78"/>
      <c r="C1751" s="189"/>
      <c r="D1751" s="185"/>
      <c r="E1751" s="186"/>
      <c r="F1751" s="187"/>
    </row>
    <row r="1752" spans="1:6" x14ac:dyDescent="0.2">
      <c r="A1752" s="275"/>
      <c r="B1752" s="78"/>
      <c r="C1752" s="189"/>
      <c r="D1752" s="185"/>
      <c r="E1752" s="186"/>
      <c r="F1752" s="187"/>
    </row>
    <row r="1753" spans="1:6" x14ac:dyDescent="0.2">
      <c r="A1753" s="275"/>
      <c r="B1753" s="78"/>
      <c r="C1753" s="189"/>
      <c r="D1753" s="185"/>
      <c r="E1753" s="186"/>
      <c r="F1753" s="187"/>
    </row>
    <row r="1754" spans="1:6" x14ac:dyDescent="0.2">
      <c r="A1754" s="275"/>
      <c r="B1754" s="78"/>
      <c r="C1754" s="189"/>
      <c r="D1754" s="185"/>
      <c r="E1754" s="186"/>
      <c r="F1754" s="187"/>
    </row>
    <row r="1755" spans="1:6" x14ac:dyDescent="0.2">
      <c r="A1755" s="275"/>
      <c r="B1755" s="78"/>
      <c r="C1755" s="189"/>
      <c r="D1755" s="185"/>
      <c r="E1755" s="186"/>
      <c r="F1755" s="187"/>
    </row>
    <row r="1756" spans="1:6" x14ac:dyDescent="0.2">
      <c r="A1756" s="275"/>
      <c r="B1756" s="78"/>
      <c r="C1756" s="189"/>
      <c r="D1756" s="185"/>
      <c r="E1756" s="186"/>
      <c r="F1756" s="187"/>
    </row>
    <row r="1757" spans="1:6" x14ac:dyDescent="0.2">
      <c r="A1757" s="275"/>
      <c r="B1757" s="78"/>
      <c r="C1757" s="189"/>
      <c r="D1757" s="185"/>
      <c r="E1757" s="186"/>
      <c r="F1757" s="187"/>
    </row>
    <row r="1758" spans="1:6" x14ac:dyDescent="0.2">
      <c r="A1758" s="275"/>
      <c r="B1758" s="78"/>
      <c r="C1758" s="189"/>
      <c r="D1758" s="185"/>
      <c r="E1758" s="186"/>
      <c r="F1758" s="187"/>
    </row>
    <row r="1759" spans="1:6" x14ac:dyDescent="0.2">
      <c r="A1759" s="275"/>
      <c r="B1759" s="78"/>
      <c r="C1759" s="189"/>
      <c r="D1759" s="185"/>
      <c r="E1759" s="186"/>
      <c r="F1759" s="187"/>
    </row>
    <row r="1760" spans="1:6" x14ac:dyDescent="0.2">
      <c r="A1760" s="275"/>
      <c r="B1760" s="78"/>
      <c r="C1760" s="189"/>
      <c r="D1760" s="185"/>
      <c r="E1760" s="186"/>
      <c r="F1760" s="187"/>
    </row>
    <row r="1761" spans="1:6" x14ac:dyDescent="0.2">
      <c r="A1761" s="275"/>
      <c r="B1761" s="78"/>
      <c r="C1761" s="189"/>
      <c r="D1761" s="185"/>
      <c r="E1761" s="186"/>
      <c r="F1761" s="187"/>
    </row>
    <row r="1762" spans="1:6" x14ac:dyDescent="0.2">
      <c r="A1762" s="275"/>
      <c r="B1762" s="78"/>
      <c r="C1762" s="189"/>
      <c r="D1762" s="185"/>
      <c r="E1762" s="186"/>
      <c r="F1762" s="187"/>
    </row>
    <row r="1763" spans="1:6" x14ac:dyDescent="0.2">
      <c r="A1763" s="275"/>
      <c r="B1763" s="78"/>
      <c r="C1763" s="189"/>
      <c r="D1763" s="185"/>
      <c r="E1763" s="186"/>
      <c r="F1763" s="187"/>
    </row>
    <row r="1764" spans="1:6" x14ac:dyDescent="0.2">
      <c r="A1764" s="275"/>
      <c r="B1764" s="78"/>
      <c r="C1764" s="189"/>
      <c r="D1764" s="185"/>
      <c r="E1764" s="186"/>
      <c r="F1764" s="187"/>
    </row>
    <row r="1765" spans="1:6" x14ac:dyDescent="0.2">
      <c r="A1765" s="275"/>
      <c r="B1765" s="78"/>
      <c r="C1765" s="189"/>
      <c r="D1765" s="185"/>
      <c r="E1765" s="186"/>
      <c r="F1765" s="187"/>
    </row>
    <row r="1766" spans="1:6" x14ac:dyDescent="0.2">
      <c r="A1766" s="275"/>
      <c r="B1766" s="78"/>
      <c r="C1766" s="189"/>
      <c r="D1766" s="185"/>
      <c r="E1766" s="186"/>
      <c r="F1766" s="187"/>
    </row>
    <row r="1767" spans="1:6" x14ac:dyDescent="0.2">
      <c r="A1767" s="275"/>
      <c r="B1767" s="78"/>
      <c r="C1767" s="189"/>
      <c r="D1767" s="185"/>
      <c r="E1767" s="186"/>
      <c r="F1767" s="187"/>
    </row>
    <row r="1768" spans="1:6" x14ac:dyDescent="0.2">
      <c r="A1768" s="275"/>
      <c r="B1768" s="78"/>
      <c r="C1768" s="189"/>
      <c r="D1768" s="185"/>
      <c r="E1768" s="186"/>
      <c r="F1768" s="187"/>
    </row>
    <row r="1769" spans="1:6" x14ac:dyDescent="0.2">
      <c r="A1769" s="275"/>
      <c r="B1769" s="78"/>
      <c r="C1769" s="189"/>
      <c r="D1769" s="185"/>
      <c r="E1769" s="186"/>
      <c r="F1769" s="187"/>
    </row>
    <row r="1770" spans="1:6" x14ac:dyDescent="0.2">
      <c r="A1770" s="275"/>
      <c r="B1770" s="78"/>
      <c r="C1770" s="189"/>
      <c r="D1770" s="185"/>
      <c r="E1770" s="186"/>
      <c r="F1770" s="187"/>
    </row>
    <row r="1771" spans="1:6" x14ac:dyDescent="0.2">
      <c r="A1771" s="275"/>
      <c r="B1771" s="78"/>
      <c r="C1771" s="189"/>
      <c r="D1771" s="185"/>
      <c r="E1771" s="186"/>
      <c r="F1771" s="187"/>
    </row>
    <row r="1772" spans="1:6" x14ac:dyDescent="0.2">
      <c r="A1772" s="275"/>
      <c r="B1772" s="78"/>
      <c r="C1772" s="189"/>
      <c r="D1772" s="185"/>
      <c r="E1772" s="186"/>
      <c r="F1772" s="187"/>
    </row>
    <row r="1773" spans="1:6" x14ac:dyDescent="0.2">
      <c r="A1773" s="275"/>
      <c r="B1773" s="78"/>
      <c r="C1773" s="189"/>
      <c r="D1773" s="185"/>
      <c r="E1773" s="186"/>
      <c r="F1773" s="187"/>
    </row>
    <row r="1774" spans="1:6" x14ac:dyDescent="0.2">
      <c r="A1774" s="275"/>
      <c r="B1774" s="78"/>
      <c r="C1774" s="189"/>
      <c r="D1774" s="185"/>
      <c r="E1774" s="186"/>
      <c r="F1774" s="187"/>
    </row>
    <row r="1775" spans="1:6" x14ac:dyDescent="0.2">
      <c r="A1775" s="275"/>
      <c r="B1775" s="78"/>
      <c r="C1775" s="189"/>
      <c r="D1775" s="185"/>
      <c r="E1775" s="186"/>
      <c r="F1775" s="187"/>
    </row>
    <row r="1776" spans="1:6" x14ac:dyDescent="0.2">
      <c r="A1776" s="275"/>
      <c r="B1776" s="78"/>
      <c r="C1776" s="189"/>
      <c r="D1776" s="185"/>
      <c r="E1776" s="186"/>
      <c r="F1776" s="187"/>
    </row>
    <row r="1777" spans="1:6" x14ac:dyDescent="0.2">
      <c r="A1777" s="275"/>
      <c r="B1777" s="78"/>
      <c r="C1777" s="189"/>
      <c r="D1777" s="185"/>
      <c r="E1777" s="186"/>
      <c r="F1777" s="187"/>
    </row>
    <row r="1778" spans="1:6" x14ac:dyDescent="0.2">
      <c r="A1778" s="275"/>
      <c r="B1778" s="78"/>
      <c r="C1778" s="189"/>
      <c r="D1778" s="185"/>
      <c r="E1778" s="186"/>
      <c r="F1778" s="187"/>
    </row>
    <row r="1779" spans="1:6" x14ac:dyDescent="0.2">
      <c r="A1779" s="275"/>
      <c r="B1779" s="78"/>
      <c r="C1779" s="189"/>
      <c r="D1779" s="185"/>
      <c r="E1779" s="186"/>
      <c r="F1779" s="187"/>
    </row>
    <row r="1780" spans="1:6" x14ac:dyDescent="0.2">
      <c r="A1780" s="275"/>
      <c r="B1780" s="78"/>
      <c r="C1780" s="189"/>
      <c r="D1780" s="185"/>
      <c r="E1780" s="186"/>
      <c r="F1780" s="187"/>
    </row>
    <row r="1781" spans="1:6" x14ac:dyDescent="0.2">
      <c r="A1781" s="275"/>
      <c r="B1781" s="78"/>
      <c r="C1781" s="189"/>
      <c r="D1781" s="185"/>
      <c r="E1781" s="186"/>
      <c r="F1781" s="187"/>
    </row>
    <row r="1782" spans="1:6" x14ac:dyDescent="0.2">
      <c r="A1782" s="275"/>
      <c r="B1782" s="78"/>
      <c r="C1782" s="189"/>
      <c r="D1782" s="185"/>
      <c r="E1782" s="186"/>
      <c r="F1782" s="187"/>
    </row>
    <row r="1783" spans="1:6" x14ac:dyDescent="0.2">
      <c r="A1783" s="275"/>
      <c r="B1783" s="78"/>
      <c r="C1783" s="189"/>
      <c r="D1783" s="185"/>
      <c r="E1783" s="186"/>
      <c r="F1783" s="187"/>
    </row>
    <row r="1784" spans="1:6" x14ac:dyDescent="0.2">
      <c r="A1784" s="275"/>
      <c r="B1784" s="78"/>
      <c r="C1784" s="189"/>
      <c r="D1784" s="185"/>
      <c r="E1784" s="186"/>
      <c r="F1784" s="187"/>
    </row>
    <row r="1785" spans="1:6" x14ac:dyDescent="0.2">
      <c r="A1785" s="275"/>
      <c r="B1785" s="78"/>
      <c r="C1785" s="189"/>
      <c r="D1785" s="185"/>
      <c r="E1785" s="186"/>
      <c r="F1785" s="187"/>
    </row>
    <row r="1786" spans="1:6" x14ac:dyDescent="0.2">
      <c r="A1786" s="275"/>
      <c r="B1786" s="78"/>
      <c r="C1786" s="189"/>
      <c r="D1786" s="185"/>
      <c r="E1786" s="186"/>
      <c r="F1786" s="187"/>
    </row>
    <row r="1787" spans="1:6" x14ac:dyDescent="0.2">
      <c r="A1787" s="275"/>
      <c r="B1787" s="78"/>
      <c r="C1787" s="189"/>
      <c r="D1787" s="185"/>
      <c r="E1787" s="186"/>
      <c r="F1787" s="187"/>
    </row>
    <row r="1788" spans="1:6" x14ac:dyDescent="0.2">
      <c r="A1788" s="275"/>
      <c r="B1788" s="78"/>
      <c r="C1788" s="189"/>
      <c r="D1788" s="185"/>
      <c r="E1788" s="186"/>
      <c r="F1788" s="187"/>
    </row>
    <row r="1789" spans="1:6" x14ac:dyDescent="0.2">
      <c r="A1789" s="275"/>
      <c r="B1789" s="78"/>
      <c r="C1789" s="189"/>
      <c r="D1789" s="185"/>
      <c r="E1789" s="186"/>
      <c r="F1789" s="187"/>
    </row>
    <row r="1790" spans="1:6" x14ac:dyDescent="0.2">
      <c r="A1790" s="275"/>
      <c r="B1790" s="78"/>
      <c r="C1790" s="189"/>
      <c r="D1790" s="185"/>
      <c r="E1790" s="186"/>
      <c r="F1790" s="187"/>
    </row>
    <row r="1791" spans="1:6" x14ac:dyDescent="0.2">
      <c r="A1791" s="275"/>
      <c r="B1791" s="78"/>
      <c r="C1791" s="189"/>
      <c r="D1791" s="185"/>
      <c r="E1791" s="186"/>
      <c r="F1791" s="187"/>
    </row>
    <row r="1792" spans="1:6" x14ac:dyDescent="0.2">
      <c r="A1792" s="275"/>
      <c r="B1792" s="78"/>
      <c r="C1792" s="189"/>
      <c r="D1792" s="185"/>
      <c r="E1792" s="186"/>
      <c r="F1792" s="187"/>
    </row>
    <row r="1793" spans="1:6" x14ac:dyDescent="0.2">
      <c r="A1793" s="275"/>
      <c r="B1793" s="78"/>
      <c r="C1793" s="189"/>
      <c r="D1793" s="185"/>
      <c r="E1793" s="186"/>
      <c r="F1793" s="187"/>
    </row>
    <row r="1794" spans="1:6" x14ac:dyDescent="0.2">
      <c r="A1794" s="275"/>
      <c r="B1794" s="78"/>
      <c r="C1794" s="189"/>
      <c r="D1794" s="185"/>
      <c r="E1794" s="186"/>
      <c r="F1794" s="187"/>
    </row>
    <row r="1795" spans="1:6" x14ac:dyDescent="0.2">
      <c r="A1795" s="275"/>
      <c r="B1795" s="78"/>
      <c r="C1795" s="189"/>
      <c r="D1795" s="185"/>
      <c r="E1795" s="186"/>
      <c r="F1795" s="187"/>
    </row>
    <row r="1796" spans="1:6" x14ac:dyDescent="0.2">
      <c r="A1796" s="275"/>
      <c r="B1796" s="78"/>
      <c r="C1796" s="189"/>
      <c r="D1796" s="185"/>
      <c r="E1796" s="186"/>
      <c r="F1796" s="187"/>
    </row>
    <row r="1797" spans="1:6" x14ac:dyDescent="0.2">
      <c r="A1797" s="275"/>
      <c r="B1797" s="78"/>
      <c r="C1797" s="189"/>
      <c r="D1797" s="185"/>
      <c r="E1797" s="186"/>
      <c r="F1797" s="187"/>
    </row>
    <row r="1798" spans="1:6" x14ac:dyDescent="0.2">
      <c r="A1798" s="275"/>
      <c r="B1798" s="78"/>
      <c r="C1798" s="189"/>
      <c r="D1798" s="185"/>
      <c r="E1798" s="186"/>
      <c r="F1798" s="187"/>
    </row>
    <row r="1799" spans="1:6" x14ac:dyDescent="0.2">
      <c r="A1799" s="275"/>
      <c r="B1799" s="78"/>
      <c r="C1799" s="189"/>
      <c r="D1799" s="185"/>
      <c r="E1799" s="186"/>
      <c r="F1799" s="187"/>
    </row>
    <row r="1800" spans="1:6" x14ac:dyDescent="0.2">
      <c r="A1800" s="275"/>
      <c r="B1800" s="78"/>
      <c r="C1800" s="189"/>
      <c r="D1800" s="185"/>
      <c r="E1800" s="186"/>
      <c r="F1800" s="187"/>
    </row>
    <row r="1801" spans="1:6" x14ac:dyDescent="0.2">
      <c r="A1801" s="275"/>
      <c r="B1801" s="78"/>
      <c r="C1801" s="189"/>
      <c r="D1801" s="185"/>
      <c r="E1801" s="186"/>
      <c r="F1801" s="187"/>
    </row>
    <row r="1802" spans="1:6" x14ac:dyDescent="0.2">
      <c r="A1802" s="275"/>
      <c r="B1802" s="78"/>
      <c r="C1802" s="189"/>
      <c r="D1802" s="185"/>
      <c r="E1802" s="186"/>
      <c r="F1802" s="187"/>
    </row>
    <row r="1803" spans="1:6" x14ac:dyDescent="0.2">
      <c r="A1803" s="275"/>
      <c r="B1803" s="78"/>
      <c r="C1803" s="189"/>
      <c r="D1803" s="185"/>
      <c r="E1803" s="186"/>
      <c r="F1803" s="187"/>
    </row>
    <row r="1804" spans="1:6" x14ac:dyDescent="0.2">
      <c r="A1804" s="275"/>
      <c r="B1804" s="78"/>
      <c r="C1804" s="189"/>
      <c r="D1804" s="185"/>
      <c r="E1804" s="186"/>
      <c r="F1804" s="187"/>
    </row>
    <row r="1805" spans="1:6" x14ac:dyDescent="0.2">
      <c r="A1805" s="275"/>
      <c r="B1805" s="78"/>
      <c r="C1805" s="189"/>
      <c r="D1805" s="185"/>
      <c r="E1805" s="186"/>
      <c r="F1805" s="187"/>
    </row>
    <row r="1806" spans="1:6" x14ac:dyDescent="0.2">
      <c r="A1806" s="275"/>
      <c r="B1806" s="78"/>
      <c r="C1806" s="189"/>
      <c r="D1806" s="185"/>
      <c r="E1806" s="186"/>
      <c r="F1806" s="187"/>
    </row>
    <row r="1807" spans="1:6" x14ac:dyDescent="0.2">
      <c r="A1807" s="275"/>
      <c r="B1807" s="78"/>
      <c r="C1807" s="189"/>
      <c r="D1807" s="185"/>
      <c r="E1807" s="186"/>
      <c r="F1807" s="187"/>
    </row>
    <row r="1808" spans="1:6" x14ac:dyDescent="0.2">
      <c r="A1808" s="275"/>
      <c r="B1808" s="78"/>
      <c r="C1808" s="189"/>
      <c r="D1808" s="185"/>
      <c r="E1808" s="186"/>
      <c r="F1808" s="187"/>
    </row>
    <row r="1809" spans="1:6" x14ac:dyDescent="0.2">
      <c r="A1809" s="275"/>
      <c r="B1809" s="78"/>
      <c r="C1809" s="189"/>
      <c r="D1809" s="185"/>
      <c r="E1809" s="186"/>
      <c r="F1809" s="187"/>
    </row>
    <row r="1810" spans="1:6" x14ac:dyDescent="0.2">
      <c r="A1810" s="275"/>
      <c r="B1810" s="78"/>
      <c r="C1810" s="189"/>
      <c r="D1810" s="185"/>
      <c r="E1810" s="186"/>
      <c r="F1810" s="187"/>
    </row>
    <row r="1811" spans="1:6" x14ac:dyDescent="0.2">
      <c r="A1811" s="275"/>
      <c r="B1811" s="78"/>
      <c r="C1811" s="189"/>
      <c r="D1811" s="185"/>
      <c r="E1811" s="186"/>
      <c r="F1811" s="187"/>
    </row>
    <row r="1812" spans="1:6" x14ac:dyDescent="0.2">
      <c r="A1812" s="275"/>
      <c r="B1812" s="78"/>
      <c r="C1812" s="189"/>
      <c r="D1812" s="185"/>
      <c r="E1812" s="186"/>
      <c r="F1812" s="187"/>
    </row>
    <row r="1813" spans="1:6" x14ac:dyDescent="0.2">
      <c r="A1813" s="275"/>
      <c r="B1813" s="78"/>
      <c r="C1813" s="189"/>
      <c r="D1813" s="185"/>
      <c r="E1813" s="186"/>
      <c r="F1813" s="187"/>
    </row>
    <row r="1814" spans="1:6" x14ac:dyDescent="0.2">
      <c r="A1814" s="275"/>
      <c r="B1814" s="78"/>
      <c r="C1814" s="189"/>
      <c r="D1814" s="185"/>
      <c r="E1814" s="186"/>
      <c r="F1814" s="187"/>
    </row>
    <row r="1815" spans="1:6" x14ac:dyDescent="0.2">
      <c r="A1815" s="275"/>
      <c r="B1815" s="78"/>
      <c r="C1815" s="189"/>
      <c r="D1815" s="185"/>
      <c r="E1815" s="186"/>
      <c r="F1815" s="187"/>
    </row>
    <row r="1816" spans="1:6" x14ac:dyDescent="0.2">
      <c r="A1816" s="275"/>
      <c r="B1816" s="78"/>
      <c r="C1816" s="189"/>
      <c r="D1816" s="185"/>
      <c r="E1816" s="186"/>
      <c r="F1816" s="187"/>
    </row>
    <row r="1817" spans="1:6" x14ac:dyDescent="0.2">
      <c r="A1817" s="275"/>
      <c r="B1817" s="78"/>
      <c r="C1817" s="189"/>
      <c r="D1817" s="185"/>
      <c r="E1817" s="186"/>
      <c r="F1817" s="187"/>
    </row>
    <row r="1818" spans="1:6" x14ac:dyDescent="0.2">
      <c r="A1818" s="275"/>
      <c r="B1818" s="78"/>
      <c r="C1818" s="189"/>
      <c r="D1818" s="185"/>
      <c r="E1818" s="186"/>
      <c r="F1818" s="187"/>
    </row>
    <row r="1819" spans="1:6" x14ac:dyDescent="0.2">
      <c r="A1819" s="275"/>
      <c r="B1819" s="78"/>
      <c r="C1819" s="189"/>
      <c r="D1819" s="185"/>
      <c r="E1819" s="186"/>
      <c r="F1819" s="187"/>
    </row>
    <row r="1820" spans="1:6" x14ac:dyDescent="0.2">
      <c r="A1820" s="275"/>
      <c r="B1820" s="78"/>
      <c r="C1820" s="189"/>
      <c r="D1820" s="185"/>
      <c r="E1820" s="186"/>
      <c r="F1820" s="187"/>
    </row>
    <row r="1821" spans="1:6" x14ac:dyDescent="0.2">
      <c r="A1821" s="275"/>
      <c r="B1821" s="78"/>
      <c r="C1821" s="189"/>
      <c r="D1821" s="185"/>
      <c r="E1821" s="186"/>
      <c r="F1821" s="187"/>
    </row>
    <row r="1822" spans="1:6" x14ac:dyDescent="0.2">
      <c r="A1822" s="275"/>
      <c r="B1822" s="78"/>
      <c r="C1822" s="189"/>
      <c r="D1822" s="185"/>
      <c r="E1822" s="186"/>
      <c r="F1822" s="187"/>
    </row>
    <row r="1823" spans="1:6" x14ac:dyDescent="0.2">
      <c r="A1823" s="275"/>
      <c r="B1823" s="78"/>
      <c r="C1823" s="189"/>
      <c r="D1823" s="185"/>
      <c r="E1823" s="186"/>
      <c r="F1823" s="187"/>
    </row>
    <row r="1824" spans="1:6" x14ac:dyDescent="0.2">
      <c r="A1824" s="275"/>
      <c r="B1824" s="78"/>
      <c r="C1824" s="189"/>
      <c r="D1824" s="185"/>
      <c r="E1824" s="186"/>
      <c r="F1824" s="187"/>
    </row>
    <row r="1825" spans="1:6" x14ac:dyDescent="0.2">
      <c r="A1825" s="275"/>
      <c r="B1825" s="78"/>
      <c r="C1825" s="189"/>
      <c r="D1825" s="185"/>
      <c r="E1825" s="186"/>
      <c r="F1825" s="187"/>
    </row>
    <row r="1826" spans="1:6" x14ac:dyDescent="0.2">
      <c r="A1826" s="275"/>
      <c r="B1826" s="78"/>
      <c r="C1826" s="189"/>
      <c r="D1826" s="185"/>
      <c r="E1826" s="186"/>
      <c r="F1826" s="187"/>
    </row>
    <row r="1827" spans="1:6" x14ac:dyDescent="0.2">
      <c r="A1827" s="275"/>
      <c r="B1827" s="78"/>
      <c r="C1827" s="189"/>
      <c r="D1827" s="185"/>
      <c r="E1827" s="186"/>
      <c r="F1827" s="187"/>
    </row>
    <row r="1828" spans="1:6" x14ac:dyDescent="0.2">
      <c r="A1828" s="275"/>
      <c r="B1828" s="78"/>
      <c r="C1828" s="189"/>
      <c r="D1828" s="185"/>
      <c r="E1828" s="186"/>
      <c r="F1828" s="187"/>
    </row>
    <row r="1829" spans="1:6" x14ac:dyDescent="0.2">
      <c r="A1829" s="275"/>
      <c r="B1829" s="78"/>
      <c r="C1829" s="189"/>
      <c r="D1829" s="185"/>
      <c r="E1829" s="186"/>
      <c r="F1829" s="187"/>
    </row>
    <row r="1830" spans="1:6" x14ac:dyDescent="0.2">
      <c r="A1830" s="275"/>
      <c r="B1830" s="78"/>
      <c r="C1830" s="189"/>
      <c r="D1830" s="185"/>
      <c r="E1830" s="186"/>
      <c r="F1830" s="187"/>
    </row>
    <row r="1831" spans="1:6" x14ac:dyDescent="0.2">
      <c r="A1831" s="275"/>
      <c r="B1831" s="78"/>
      <c r="C1831" s="189"/>
      <c r="D1831" s="185"/>
      <c r="E1831" s="186"/>
      <c r="F1831" s="187"/>
    </row>
    <row r="1832" spans="1:6" x14ac:dyDescent="0.2">
      <c r="A1832" s="275"/>
      <c r="B1832" s="78"/>
      <c r="C1832" s="189"/>
      <c r="D1832" s="185"/>
      <c r="E1832" s="186"/>
      <c r="F1832" s="187"/>
    </row>
    <row r="1833" spans="1:6" x14ac:dyDescent="0.2">
      <c r="A1833" s="275"/>
      <c r="B1833" s="78"/>
      <c r="C1833" s="189"/>
      <c r="D1833" s="185"/>
      <c r="E1833" s="186"/>
      <c r="F1833" s="187"/>
    </row>
    <row r="1834" spans="1:6" x14ac:dyDescent="0.2">
      <c r="A1834" s="275"/>
      <c r="B1834" s="78"/>
      <c r="C1834" s="189"/>
      <c r="D1834" s="185"/>
      <c r="E1834" s="186"/>
      <c r="F1834" s="187"/>
    </row>
    <row r="1835" spans="1:6" x14ac:dyDescent="0.2">
      <c r="A1835" s="275"/>
      <c r="B1835" s="78"/>
      <c r="C1835" s="189"/>
      <c r="D1835" s="185"/>
      <c r="E1835" s="186"/>
      <c r="F1835" s="187"/>
    </row>
    <row r="1836" spans="1:6" x14ac:dyDescent="0.2">
      <c r="A1836" s="275"/>
      <c r="B1836" s="78"/>
      <c r="C1836" s="189"/>
      <c r="D1836" s="185"/>
      <c r="E1836" s="186"/>
      <c r="F1836" s="187"/>
    </row>
    <row r="1837" spans="1:6" x14ac:dyDescent="0.2">
      <c r="A1837" s="275"/>
      <c r="B1837" s="78"/>
      <c r="C1837" s="189"/>
      <c r="D1837" s="185"/>
      <c r="E1837" s="186"/>
      <c r="F1837" s="187"/>
    </row>
    <row r="1838" spans="1:6" x14ac:dyDescent="0.2">
      <c r="A1838" s="275"/>
      <c r="B1838" s="78"/>
      <c r="C1838" s="189"/>
      <c r="D1838" s="185"/>
      <c r="E1838" s="186"/>
      <c r="F1838" s="187"/>
    </row>
    <row r="1839" spans="1:6" x14ac:dyDescent="0.2">
      <c r="A1839" s="275"/>
      <c r="B1839" s="78"/>
      <c r="C1839" s="189"/>
      <c r="D1839" s="185"/>
      <c r="E1839" s="186"/>
      <c r="F1839" s="187"/>
    </row>
    <row r="1840" spans="1:6" x14ac:dyDescent="0.2">
      <c r="A1840" s="275"/>
      <c r="B1840" s="78"/>
      <c r="C1840" s="189"/>
      <c r="D1840" s="185"/>
      <c r="E1840" s="186"/>
      <c r="F1840" s="187"/>
    </row>
    <row r="1841" spans="1:6" x14ac:dyDescent="0.2">
      <c r="A1841" s="275"/>
      <c r="B1841" s="78"/>
      <c r="C1841" s="189"/>
      <c r="D1841" s="185"/>
      <c r="E1841" s="186"/>
      <c r="F1841" s="187"/>
    </row>
    <row r="1842" spans="1:6" x14ac:dyDescent="0.2">
      <c r="A1842" s="275"/>
      <c r="B1842" s="78"/>
      <c r="C1842" s="189"/>
      <c r="D1842" s="185"/>
      <c r="E1842" s="186"/>
      <c r="F1842" s="187"/>
    </row>
    <row r="1843" spans="1:6" x14ac:dyDescent="0.2">
      <c r="A1843" s="275"/>
      <c r="B1843" s="78"/>
      <c r="C1843" s="189"/>
      <c r="D1843" s="185"/>
      <c r="E1843" s="186"/>
      <c r="F1843" s="187"/>
    </row>
    <row r="1844" spans="1:6" x14ac:dyDescent="0.2">
      <c r="A1844" s="275"/>
      <c r="B1844" s="78"/>
      <c r="C1844" s="189"/>
      <c r="D1844" s="185"/>
      <c r="E1844" s="186"/>
      <c r="F1844" s="187"/>
    </row>
    <row r="1845" spans="1:6" x14ac:dyDescent="0.2">
      <c r="A1845" s="275"/>
      <c r="B1845" s="78"/>
      <c r="C1845" s="189"/>
      <c r="D1845" s="185"/>
      <c r="E1845" s="186"/>
      <c r="F1845" s="187"/>
    </row>
    <row r="1846" spans="1:6" x14ac:dyDescent="0.2">
      <c r="A1846" s="275"/>
      <c r="B1846" s="78"/>
      <c r="C1846" s="189"/>
      <c r="D1846" s="185"/>
      <c r="E1846" s="186"/>
      <c r="F1846" s="187"/>
    </row>
    <row r="1847" spans="1:6" x14ac:dyDescent="0.2">
      <c r="A1847" s="275"/>
      <c r="B1847" s="78"/>
      <c r="C1847" s="189"/>
      <c r="D1847" s="185"/>
      <c r="E1847" s="186"/>
      <c r="F1847" s="187"/>
    </row>
    <row r="1848" spans="1:6" x14ac:dyDescent="0.2">
      <c r="A1848" s="275"/>
      <c r="B1848" s="78"/>
      <c r="C1848" s="189"/>
      <c r="D1848" s="185"/>
      <c r="E1848" s="186"/>
      <c r="F1848" s="187"/>
    </row>
    <row r="1849" spans="1:6" x14ac:dyDescent="0.2">
      <c r="A1849" s="275"/>
      <c r="B1849" s="78"/>
      <c r="C1849" s="189"/>
      <c r="D1849" s="185"/>
      <c r="E1849" s="186"/>
      <c r="F1849" s="187"/>
    </row>
    <row r="1850" spans="1:6" x14ac:dyDescent="0.2">
      <c r="A1850" s="275"/>
      <c r="B1850" s="78"/>
      <c r="C1850" s="189"/>
      <c r="D1850" s="185"/>
      <c r="E1850" s="186"/>
      <c r="F1850" s="187"/>
    </row>
    <row r="1851" spans="1:6" x14ac:dyDescent="0.2">
      <c r="A1851" s="275"/>
      <c r="B1851" s="78"/>
      <c r="C1851" s="189"/>
      <c r="D1851" s="185"/>
      <c r="E1851" s="186"/>
      <c r="F1851" s="187"/>
    </row>
  </sheetData>
  <sheetProtection algorithmName="SHA-512" hashValue="biYzp5CExkTlGDuN60hl77NWEggXYwFaofLgaQsjpfMlBRdZbMvvEOsDcqyo+xCuQGTPy6T1H2ZwYY+CRxIwSA==" saltValue="NgOZNP386jNOIRC3b+/pzg==" spinCount="100000" sheet="1" objects="1" scenarios="1"/>
  <mergeCells count="2">
    <mergeCell ref="B1:F1"/>
    <mergeCell ref="C27:E27"/>
  </mergeCells>
  <dataValidations disablePrompts="1" count="1">
    <dataValidation type="custom" showErrorMessage="1" errorTitle="Nepravilen vnos cene" error="Cena mora biti nenegativno število z največ dvema decimalkama!" sqref="E15:E17 E10:E13 E19:E26">
      <formula1>AND(ISNUMBER(E10),E10&gt;=0,ROUND(E10*100,6)-INT(E10*100)=0,NOT(ISBLANK(E10)))</formula1>
    </dataValidation>
  </dataValidations>
  <printOptions horizontalCentered="1"/>
  <pageMargins left="0.78740157480314965" right="0.39370078740157483" top="0.39370078740157483" bottom="0.98425196850393704" header="0.19685039370078741" footer="0.19685039370078741"/>
  <pageSetup paperSize="9" scale="89" fitToHeight="0" orientation="landscape" r:id="rId1"/>
  <headerFooter>
    <oddHeader>&amp;LRTP 110/20 kV Izola&amp;R&amp;G</oddHeader>
    <oddFooter>&amp;LDZR: Ponudbeni predračun
Datoteka: 4407.6G01.PP.rev1.xlsx&amp;R Stran: &amp;P od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A48D6182D3E043828A75073C024B8E" ma:contentTypeVersion="4" ma:contentTypeDescription="Create a new document." ma:contentTypeScope="" ma:versionID="065c54f93f4cc39f3b91a71689ed4b2b">
  <xsd:schema xmlns:xsd="http://www.w3.org/2001/XMLSchema" xmlns:xs="http://www.w3.org/2001/XMLSchema" xmlns:p="http://schemas.microsoft.com/office/2006/metadata/properties" xmlns:ns2="d1bf7b1a-facf-4776-8156-6b0994e9eb5c" xmlns:ns3="00d93420-39f4-45ae-9cbd-9a6edef18c89" targetNamespace="http://schemas.microsoft.com/office/2006/metadata/properties" ma:root="true" ma:fieldsID="18605ebb6fbe29a06ed9fedc1246e196" ns2:_="" ns3:_="">
    <xsd:import namespace="d1bf7b1a-facf-4776-8156-6b0994e9eb5c"/>
    <xsd:import namespace="00d93420-39f4-45ae-9cbd-9a6edef18c8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bf7b1a-facf-4776-8156-6b0994e9eb5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d93420-39f4-45ae-9cbd-9a6edef18c8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4E1DE5BC-ECD1-4D06-892D-DACCC2B5F2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bf7b1a-facf-4776-8156-6b0994e9eb5c"/>
    <ds:schemaRef ds:uri="00d93420-39f4-45ae-9cbd-9a6edef18c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4122E06-DA1E-4E81-8941-D66F30743855}">
  <ds:schemaRefs>
    <ds:schemaRef ds:uri="http://schemas.microsoft.com/sharepoint/v3/contenttype/forms"/>
  </ds:schemaRefs>
</ds:datastoreItem>
</file>

<file path=customXml/itemProps3.xml><?xml version="1.0" encoding="utf-8"?>
<ds:datastoreItem xmlns:ds="http://schemas.openxmlformats.org/officeDocument/2006/customXml" ds:itemID="{4EDDAF41-729E-4C3D-86D9-8147D8D00E59}">
  <ds:schemaRefs>
    <ds:schemaRef ds:uri="http://purl.org/dc/elements/1.1/"/>
    <ds:schemaRef ds:uri="http://schemas.microsoft.com/office/2006/documentManagement/types"/>
    <ds:schemaRef ds:uri="http://schemas.openxmlformats.org/package/2006/metadata/core-properties"/>
    <ds:schemaRef ds:uri="http://www.w3.org/XML/1998/namespace"/>
    <ds:schemaRef ds:uri="http://schemas.microsoft.com/office/infopath/2007/PartnerControls"/>
    <ds:schemaRef ds:uri="http://purl.org/dc/terms/"/>
    <ds:schemaRef ds:uri="00d93420-39f4-45ae-9cbd-9a6edef18c89"/>
    <ds:schemaRef ds:uri="d1bf7b1a-facf-4776-8156-6b0994e9eb5c"/>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17</vt:i4>
      </vt:variant>
      <vt:variant>
        <vt:lpstr>Imenovani obsegi</vt:lpstr>
      </vt:variant>
      <vt:variant>
        <vt:i4>32</vt:i4>
      </vt:variant>
    </vt:vector>
  </HeadingPairs>
  <TitlesOfParts>
    <vt:vector size="49" baseType="lpstr">
      <vt:lpstr>Rekapitulacija</vt:lpstr>
      <vt:lpstr>UVODNE PRIPOMBE</vt:lpstr>
      <vt:lpstr>1</vt:lpstr>
      <vt:lpstr>2.1</vt:lpstr>
      <vt:lpstr>2.2</vt:lpstr>
      <vt:lpstr>2.3</vt:lpstr>
      <vt:lpstr>2.4</vt:lpstr>
      <vt:lpstr>2.5</vt:lpstr>
      <vt:lpstr>2.6</vt:lpstr>
      <vt:lpstr>2.7</vt:lpstr>
      <vt:lpstr>2.8</vt:lpstr>
      <vt:lpstr>2.9</vt:lpstr>
      <vt:lpstr>3.1</vt:lpstr>
      <vt:lpstr>3.2</vt:lpstr>
      <vt:lpstr>4</vt:lpstr>
      <vt:lpstr>5</vt:lpstr>
      <vt:lpstr>6</vt:lpstr>
      <vt:lpstr>'1'!Področje_tiskanja</vt:lpstr>
      <vt:lpstr>'2.1'!Področje_tiskanja</vt:lpstr>
      <vt:lpstr>'2.2'!Področje_tiskanja</vt:lpstr>
      <vt:lpstr>'2.3'!Področje_tiskanja</vt:lpstr>
      <vt:lpstr>'2.4'!Področje_tiskanja</vt:lpstr>
      <vt:lpstr>'2.5'!Področje_tiskanja</vt:lpstr>
      <vt:lpstr>'2.6'!Področje_tiskanja</vt:lpstr>
      <vt:lpstr>'2.7'!Področje_tiskanja</vt:lpstr>
      <vt:lpstr>'2.8'!Področje_tiskanja</vt:lpstr>
      <vt:lpstr>'2.9'!Področje_tiskanja</vt:lpstr>
      <vt:lpstr>'3.1'!Področje_tiskanja</vt:lpstr>
      <vt:lpstr>'3.2'!Področje_tiskanja</vt:lpstr>
      <vt:lpstr>'4'!Področje_tiskanja</vt:lpstr>
      <vt:lpstr>'5'!Področje_tiskanja</vt:lpstr>
      <vt:lpstr>Rekapitulacija!Področje_tiskanja</vt:lpstr>
      <vt:lpstr>'UVODNE PRIPOMBE'!Področje_tiskanja</vt:lpstr>
      <vt:lpstr>'1'!Tiskanje_naslovov</vt:lpstr>
      <vt:lpstr>'2.1'!Tiskanje_naslovov</vt:lpstr>
      <vt:lpstr>'2.2'!Tiskanje_naslovov</vt:lpstr>
      <vt:lpstr>'2.3'!Tiskanje_naslovov</vt:lpstr>
      <vt:lpstr>'2.4'!Tiskanje_naslovov</vt:lpstr>
      <vt:lpstr>'2.5'!Tiskanje_naslovov</vt:lpstr>
      <vt:lpstr>'2.6'!Tiskanje_naslovov</vt:lpstr>
      <vt:lpstr>'2.7'!Tiskanje_naslovov</vt:lpstr>
      <vt:lpstr>'2.8'!Tiskanje_naslovov</vt:lpstr>
      <vt:lpstr>'2.9'!Tiskanje_naslovov</vt:lpstr>
      <vt:lpstr>'3.1'!Tiskanje_naslovov</vt:lpstr>
      <vt:lpstr>'3.2'!Tiskanje_naslovov</vt:lpstr>
      <vt:lpstr>'4'!Tiskanje_naslovov</vt:lpstr>
      <vt:lpstr>'5'!Tiskanje_naslovov</vt:lpstr>
      <vt:lpstr>'6'!Tiskanje_naslovov</vt:lpstr>
      <vt:lpstr>'UVODNE PRIPOMBE'!Tiskanje_naslovov</vt:lpstr>
    </vt:vector>
  </TitlesOfParts>
  <Manager/>
  <Company>Korona d.d.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4344.6T01</dc:title>
  <dc:subject/>
  <dc:creator>Boris Lagler</dc:creator>
  <cp:keywords/>
  <dc:description/>
  <cp:lastModifiedBy>Uroš Černigoj</cp:lastModifiedBy>
  <cp:revision/>
  <dcterms:created xsi:type="dcterms:W3CDTF">2004-11-25T12:49:11Z</dcterms:created>
  <dcterms:modified xsi:type="dcterms:W3CDTF">2021-01-18T11:47:00Z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0x0101005FA48D6182D3E043828A75073C024B8E</vt:lpwstr>
  </property>
  <property fmtid="{D5CDD505-2E9C-101B-9397-08002B2CF9AE}" pid="3" name="Naročnik">
    <vt:lpwstr/>
  </property>
  <property fmtid="{D5CDD505-2E9C-101B-9397-08002B2CF9AE}" pid="4" name="Del dokumentacije">
    <vt:lpwstr>Načrt</vt:lpwstr>
  </property>
  <property fmtid="{D5CDD505-2E9C-101B-9397-08002B2CF9AE}" pid="5" name="Lot">
    <vt:lpwstr/>
  </property>
  <property fmtid="{D5CDD505-2E9C-101B-9397-08002B2CF9AE}" pid="6" name="Povezava0">
    <vt:lpwstr/>
  </property>
  <property fmtid="{D5CDD505-2E9C-101B-9397-08002B2CF9AE}" pid="7" name="Klasifikacijska oz.">
    <vt:lpwstr/>
  </property>
  <property fmtid="{D5CDD505-2E9C-101B-9397-08002B2CF9AE}" pid="8" name="Povezava">
    <vt:lpwstr/>
  </property>
  <property fmtid="{D5CDD505-2E9C-101B-9397-08002B2CF9AE}" pid="9" name="Vsebina">
    <vt:lpwstr>110 kV stikališče</vt:lpwstr>
  </property>
  <property fmtid="{D5CDD505-2E9C-101B-9397-08002B2CF9AE}" pid="10" name="Datum">
    <vt:filetime>2011-01-19T23:00:00Z</vt:filetime>
  </property>
  <property fmtid="{D5CDD505-2E9C-101B-9397-08002B2CF9AE}" pid="11" name="Avtor">
    <vt:lpwstr>Lagler</vt:lpwstr>
  </property>
  <property fmtid="{D5CDD505-2E9C-101B-9397-08002B2CF9AE}" pid="12" name="Vrsta gradnje">
    <vt:lpwstr>Nova gradnja</vt:lpwstr>
  </property>
  <property fmtid="{D5CDD505-2E9C-101B-9397-08002B2CF9AE}" pid="13" name="Številka projekta">
    <vt:lpwstr>4344</vt:lpwstr>
  </property>
  <property fmtid="{D5CDD505-2E9C-101B-9397-08002B2CF9AE}" pid="14" name="Vrsta načrta">
    <vt:lpwstr>Načrt telekomunikacij</vt:lpwstr>
  </property>
  <property fmtid="{D5CDD505-2E9C-101B-9397-08002B2CF9AE}" pid="15" name="Vrsta proj. dokum.">
    <vt:lpwstr/>
  </property>
  <property fmtid="{D5CDD505-2E9C-101B-9397-08002B2CF9AE}" pid="16" name="Komentar">
    <vt:lpwstr/>
  </property>
  <property fmtid="{D5CDD505-2E9C-101B-9397-08002B2CF9AE}" pid="17" name="Del objekta">
    <vt:lpwstr>110 kV stikališče</vt:lpwstr>
  </property>
  <property fmtid="{D5CDD505-2E9C-101B-9397-08002B2CF9AE}" pid="18" name="Objekt">
    <vt:lpwstr>RTP 110/20 kV Ilirska Bistrica</vt:lpwstr>
  </property>
  <property fmtid="{D5CDD505-2E9C-101B-9397-08002B2CF9AE}" pid="19" name="Identifikacijska št.">
    <vt:lpwstr/>
  </property>
  <property fmtid="{D5CDD505-2E9C-101B-9397-08002B2CF9AE}" pid="20" name="Projekt. podjetje">
    <vt:lpwstr>Korona</vt:lpwstr>
  </property>
  <property fmtid="{D5CDD505-2E9C-101B-9397-08002B2CF9AE}" pid="21" name="Jezik">
    <vt:lpwstr>slovenski</vt:lpwstr>
  </property>
  <property fmtid="{D5CDD505-2E9C-101B-9397-08002B2CF9AE}" pid="22" name="Št. vrste nač.">
    <vt:r8>6</vt:r8>
  </property>
</Properties>
</file>